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.rang\Desktop\"/>
    </mc:Choice>
  </mc:AlternateContent>
  <xr:revisionPtr revIDLastSave="0" documentId="8_{106D12D6-2737-495F-85EA-53BE83DE206A}" xr6:coauthVersionLast="45" xr6:coauthVersionMax="45" xr10:uidLastSave="{00000000-0000-0000-0000-000000000000}"/>
  <bookViews>
    <workbookView xWindow="-98" yWindow="-98" windowWidth="20715" windowHeight="13276"/>
  </bookViews>
  <sheets>
    <sheet name="WA_School_Directory_07_17_20" sheetId="1" r:id="rId1"/>
  </sheets>
  <calcPr calcId="0"/>
</workbook>
</file>

<file path=xl/calcChain.xml><?xml version="1.0" encoding="utf-8"?>
<calcChain xmlns="http://schemas.openxmlformats.org/spreadsheetml/2006/main">
  <c r="A2" i="1" l="1"/>
  <c r="C2" i="1"/>
  <c r="E2" i="1"/>
  <c r="A3" i="1"/>
  <c r="C3" i="1"/>
  <c r="E3" i="1"/>
  <c r="A4" i="1"/>
  <c r="C4" i="1"/>
  <c r="E4" i="1"/>
  <c r="A5" i="1"/>
  <c r="C5" i="1"/>
  <c r="E5" i="1"/>
  <c r="A6" i="1"/>
  <c r="C6" i="1"/>
  <c r="E6" i="1"/>
  <c r="A7" i="1"/>
  <c r="C7" i="1"/>
  <c r="E7" i="1"/>
  <c r="A8" i="1"/>
  <c r="C8" i="1"/>
  <c r="E8" i="1"/>
  <c r="A9" i="1"/>
  <c r="C9" i="1"/>
  <c r="E9" i="1"/>
  <c r="A10" i="1"/>
  <c r="C10" i="1"/>
  <c r="E10" i="1"/>
  <c r="A11" i="1"/>
  <c r="C11" i="1"/>
  <c r="E11" i="1"/>
  <c r="A12" i="1"/>
  <c r="C12" i="1"/>
  <c r="E12" i="1"/>
  <c r="A13" i="1"/>
  <c r="C13" i="1"/>
  <c r="E13" i="1"/>
  <c r="A14" i="1"/>
  <c r="C14" i="1"/>
  <c r="E14" i="1"/>
  <c r="A15" i="1"/>
  <c r="C15" i="1"/>
  <c r="E15" i="1"/>
  <c r="A16" i="1"/>
  <c r="C16" i="1"/>
  <c r="E16" i="1"/>
  <c r="A17" i="1"/>
  <c r="C17" i="1"/>
  <c r="E17" i="1"/>
  <c r="A18" i="1"/>
  <c r="C18" i="1"/>
  <c r="E18" i="1"/>
  <c r="A19" i="1"/>
  <c r="C19" i="1"/>
  <c r="E19" i="1"/>
  <c r="A20" i="1"/>
  <c r="C20" i="1"/>
  <c r="E20" i="1"/>
  <c r="A21" i="1"/>
  <c r="C21" i="1"/>
  <c r="E21" i="1"/>
  <c r="A22" i="1"/>
  <c r="C22" i="1"/>
  <c r="E22" i="1"/>
  <c r="A23" i="1"/>
  <c r="C23" i="1"/>
  <c r="E23" i="1"/>
  <c r="A24" i="1"/>
  <c r="C24" i="1"/>
  <c r="E24" i="1"/>
  <c r="A25" i="1"/>
  <c r="C25" i="1"/>
  <c r="E25" i="1"/>
  <c r="A26" i="1"/>
  <c r="C26" i="1"/>
  <c r="E26" i="1"/>
  <c r="A27" i="1"/>
  <c r="C27" i="1"/>
  <c r="E27" i="1"/>
  <c r="A28" i="1"/>
  <c r="C28" i="1"/>
  <c r="E28" i="1"/>
  <c r="A29" i="1"/>
  <c r="C29" i="1"/>
  <c r="E29" i="1"/>
  <c r="A30" i="1"/>
  <c r="C30" i="1"/>
  <c r="E30" i="1"/>
  <c r="A31" i="1"/>
  <c r="C31" i="1"/>
  <c r="E31" i="1"/>
  <c r="A32" i="1"/>
  <c r="C32" i="1"/>
  <c r="E32" i="1"/>
  <c r="A33" i="1"/>
  <c r="C33" i="1"/>
  <c r="E33" i="1"/>
  <c r="A34" i="1"/>
  <c r="C34" i="1"/>
  <c r="E34" i="1"/>
  <c r="A35" i="1"/>
  <c r="C35" i="1"/>
  <c r="E35" i="1"/>
  <c r="A36" i="1"/>
  <c r="C36" i="1"/>
  <c r="E36" i="1"/>
  <c r="A37" i="1"/>
  <c r="C37" i="1"/>
  <c r="E37" i="1"/>
  <c r="A38" i="1"/>
  <c r="C38" i="1"/>
  <c r="E38" i="1"/>
  <c r="A39" i="1"/>
  <c r="C39" i="1"/>
  <c r="E39" i="1"/>
  <c r="A40" i="1"/>
  <c r="C40" i="1"/>
  <c r="E40" i="1"/>
  <c r="A41" i="1"/>
  <c r="C41" i="1"/>
  <c r="E41" i="1"/>
  <c r="A42" i="1"/>
  <c r="C42" i="1"/>
  <c r="E42" i="1"/>
  <c r="A43" i="1"/>
  <c r="C43" i="1"/>
  <c r="E43" i="1"/>
  <c r="A44" i="1"/>
  <c r="C44" i="1"/>
  <c r="E44" i="1"/>
  <c r="A45" i="1"/>
  <c r="C45" i="1"/>
  <c r="E45" i="1"/>
  <c r="A46" i="1"/>
  <c r="C46" i="1"/>
  <c r="E46" i="1"/>
  <c r="A47" i="1"/>
  <c r="C47" i="1"/>
  <c r="E47" i="1"/>
  <c r="A48" i="1"/>
  <c r="C48" i="1"/>
  <c r="E48" i="1"/>
  <c r="A49" i="1"/>
  <c r="C49" i="1"/>
  <c r="E49" i="1"/>
  <c r="A50" i="1"/>
  <c r="C50" i="1"/>
  <c r="E50" i="1"/>
  <c r="A51" i="1"/>
  <c r="C51" i="1"/>
  <c r="E51" i="1"/>
  <c r="A52" i="1"/>
  <c r="C52" i="1"/>
  <c r="E52" i="1"/>
  <c r="A53" i="1"/>
  <c r="C53" i="1"/>
  <c r="E53" i="1"/>
  <c r="A54" i="1"/>
  <c r="C54" i="1"/>
  <c r="E54" i="1"/>
  <c r="A55" i="1"/>
  <c r="C55" i="1"/>
  <c r="E55" i="1"/>
  <c r="A56" i="1"/>
  <c r="C56" i="1"/>
  <c r="E56" i="1"/>
  <c r="A57" i="1"/>
  <c r="C57" i="1"/>
  <c r="E57" i="1"/>
  <c r="A58" i="1"/>
  <c r="C58" i="1"/>
  <c r="E58" i="1"/>
  <c r="A59" i="1"/>
  <c r="C59" i="1"/>
  <c r="E59" i="1"/>
  <c r="A60" i="1"/>
  <c r="C60" i="1"/>
  <c r="E60" i="1"/>
  <c r="A61" i="1"/>
  <c r="C61" i="1"/>
  <c r="E61" i="1"/>
  <c r="A62" i="1"/>
  <c r="C62" i="1"/>
  <c r="E62" i="1"/>
  <c r="A63" i="1"/>
  <c r="C63" i="1"/>
  <c r="E63" i="1"/>
  <c r="A64" i="1"/>
  <c r="C64" i="1"/>
  <c r="E64" i="1"/>
  <c r="A65" i="1"/>
  <c r="C65" i="1"/>
  <c r="E65" i="1"/>
  <c r="A66" i="1"/>
  <c r="C66" i="1"/>
  <c r="E66" i="1"/>
  <c r="A67" i="1"/>
  <c r="C67" i="1"/>
  <c r="E67" i="1"/>
  <c r="A68" i="1"/>
  <c r="C68" i="1"/>
  <c r="E68" i="1"/>
  <c r="A69" i="1"/>
  <c r="C69" i="1"/>
  <c r="E69" i="1"/>
  <c r="A70" i="1"/>
  <c r="C70" i="1"/>
  <c r="E70" i="1"/>
  <c r="A71" i="1"/>
  <c r="C71" i="1"/>
  <c r="E71" i="1"/>
  <c r="A72" i="1"/>
  <c r="C72" i="1"/>
  <c r="E72" i="1"/>
  <c r="A73" i="1"/>
  <c r="C73" i="1"/>
  <c r="E73" i="1"/>
  <c r="A74" i="1"/>
  <c r="C74" i="1"/>
  <c r="E74" i="1"/>
  <c r="A75" i="1"/>
  <c r="C75" i="1"/>
  <c r="E75" i="1"/>
  <c r="A76" i="1"/>
  <c r="C76" i="1"/>
  <c r="E76" i="1"/>
  <c r="A77" i="1"/>
  <c r="C77" i="1"/>
  <c r="E77" i="1"/>
  <c r="A78" i="1"/>
  <c r="C78" i="1"/>
  <c r="E78" i="1"/>
  <c r="A79" i="1"/>
  <c r="C79" i="1"/>
  <c r="E79" i="1"/>
  <c r="A80" i="1"/>
  <c r="C80" i="1"/>
  <c r="E80" i="1"/>
  <c r="A81" i="1"/>
  <c r="C81" i="1"/>
  <c r="E81" i="1"/>
  <c r="A82" i="1"/>
  <c r="C82" i="1"/>
  <c r="E82" i="1"/>
  <c r="A83" i="1"/>
  <c r="C83" i="1"/>
  <c r="E83" i="1"/>
  <c r="A84" i="1"/>
  <c r="C84" i="1"/>
  <c r="E84" i="1"/>
  <c r="A85" i="1"/>
  <c r="C85" i="1"/>
  <c r="E85" i="1"/>
  <c r="A86" i="1"/>
  <c r="C86" i="1"/>
  <c r="E86" i="1"/>
  <c r="A87" i="1"/>
  <c r="C87" i="1"/>
  <c r="E87" i="1"/>
  <c r="A88" i="1"/>
  <c r="C88" i="1"/>
  <c r="E88" i="1"/>
  <c r="A89" i="1"/>
  <c r="C89" i="1"/>
  <c r="E89" i="1"/>
  <c r="A90" i="1"/>
  <c r="C90" i="1"/>
  <c r="E90" i="1"/>
  <c r="A91" i="1"/>
  <c r="C91" i="1"/>
  <c r="E91" i="1"/>
  <c r="A92" i="1"/>
  <c r="C92" i="1"/>
  <c r="E92" i="1"/>
  <c r="A93" i="1"/>
  <c r="C93" i="1"/>
  <c r="E93" i="1"/>
  <c r="A94" i="1"/>
  <c r="C94" i="1"/>
  <c r="E94" i="1"/>
  <c r="A95" i="1"/>
  <c r="C95" i="1"/>
  <c r="E95" i="1"/>
  <c r="A96" i="1"/>
  <c r="C96" i="1"/>
  <c r="E96" i="1"/>
  <c r="A97" i="1"/>
  <c r="C97" i="1"/>
  <c r="E97" i="1"/>
  <c r="A98" i="1"/>
  <c r="C98" i="1"/>
  <c r="E98" i="1"/>
  <c r="A99" i="1"/>
  <c r="C99" i="1"/>
  <c r="E99" i="1"/>
  <c r="A100" i="1"/>
  <c r="C100" i="1"/>
  <c r="E100" i="1"/>
  <c r="A101" i="1"/>
  <c r="C101" i="1"/>
  <c r="E101" i="1"/>
  <c r="A102" i="1"/>
  <c r="C102" i="1"/>
  <c r="E102" i="1"/>
  <c r="A103" i="1"/>
  <c r="C103" i="1"/>
  <c r="E103" i="1"/>
  <c r="A104" i="1"/>
  <c r="C104" i="1"/>
  <c r="E104" i="1"/>
  <c r="A105" i="1"/>
  <c r="C105" i="1"/>
  <c r="E105" i="1"/>
  <c r="A106" i="1"/>
  <c r="C106" i="1"/>
  <c r="E106" i="1"/>
  <c r="A107" i="1"/>
  <c r="C107" i="1"/>
  <c r="E107" i="1"/>
  <c r="A108" i="1"/>
  <c r="C108" i="1"/>
  <c r="E108" i="1"/>
  <c r="A109" i="1"/>
  <c r="C109" i="1"/>
  <c r="E109" i="1"/>
  <c r="A110" i="1"/>
  <c r="C110" i="1"/>
  <c r="E110" i="1"/>
  <c r="A111" i="1"/>
  <c r="C111" i="1"/>
  <c r="E111" i="1"/>
  <c r="A112" i="1"/>
  <c r="C112" i="1"/>
  <c r="E112" i="1"/>
  <c r="A113" i="1"/>
  <c r="C113" i="1"/>
  <c r="E113" i="1"/>
  <c r="A114" i="1"/>
  <c r="C114" i="1"/>
  <c r="E114" i="1"/>
  <c r="A115" i="1"/>
  <c r="C115" i="1"/>
  <c r="E115" i="1"/>
  <c r="A116" i="1"/>
  <c r="C116" i="1"/>
  <c r="E116" i="1"/>
  <c r="A117" i="1"/>
  <c r="C117" i="1"/>
  <c r="E117" i="1"/>
  <c r="A118" i="1"/>
  <c r="C118" i="1"/>
  <c r="E118" i="1"/>
  <c r="A119" i="1"/>
  <c r="C119" i="1"/>
  <c r="E119" i="1"/>
  <c r="A120" i="1"/>
  <c r="C120" i="1"/>
  <c r="E120" i="1"/>
  <c r="A121" i="1"/>
  <c r="C121" i="1"/>
  <c r="E121" i="1"/>
  <c r="A122" i="1"/>
  <c r="C122" i="1"/>
  <c r="E122" i="1"/>
  <c r="A123" i="1"/>
  <c r="C123" i="1"/>
  <c r="E123" i="1"/>
  <c r="A124" i="1"/>
  <c r="C124" i="1"/>
  <c r="E124" i="1"/>
  <c r="A125" i="1"/>
  <c r="C125" i="1"/>
  <c r="E125" i="1"/>
  <c r="A126" i="1"/>
  <c r="C126" i="1"/>
  <c r="E126" i="1"/>
  <c r="A127" i="1"/>
  <c r="C127" i="1"/>
  <c r="E127" i="1"/>
  <c r="A128" i="1"/>
  <c r="C128" i="1"/>
  <c r="E128" i="1"/>
  <c r="A129" i="1"/>
  <c r="C129" i="1"/>
  <c r="E129" i="1"/>
  <c r="A130" i="1"/>
  <c r="C130" i="1"/>
  <c r="E130" i="1"/>
  <c r="A131" i="1"/>
  <c r="C131" i="1"/>
  <c r="E131" i="1"/>
  <c r="A132" i="1"/>
  <c r="C132" i="1"/>
  <c r="E132" i="1"/>
  <c r="A133" i="1"/>
  <c r="C133" i="1"/>
  <c r="E133" i="1"/>
  <c r="A134" i="1"/>
  <c r="C134" i="1"/>
  <c r="E134" i="1"/>
  <c r="A135" i="1"/>
  <c r="C135" i="1"/>
  <c r="E135" i="1"/>
  <c r="A136" i="1"/>
  <c r="C136" i="1"/>
  <c r="E136" i="1"/>
  <c r="A137" i="1"/>
  <c r="C137" i="1"/>
  <c r="E137" i="1"/>
  <c r="A138" i="1"/>
  <c r="C138" i="1"/>
  <c r="E138" i="1"/>
  <c r="A139" i="1"/>
  <c r="C139" i="1"/>
  <c r="E139" i="1"/>
  <c r="A140" i="1"/>
  <c r="C140" i="1"/>
  <c r="E140" i="1"/>
  <c r="A141" i="1"/>
  <c r="C141" i="1"/>
  <c r="E141" i="1"/>
  <c r="A142" i="1"/>
  <c r="C142" i="1"/>
  <c r="E142" i="1"/>
  <c r="A143" i="1"/>
  <c r="C143" i="1"/>
  <c r="E143" i="1"/>
  <c r="A144" i="1"/>
  <c r="C144" i="1"/>
  <c r="E144" i="1"/>
  <c r="A145" i="1"/>
  <c r="C145" i="1"/>
  <c r="E145" i="1"/>
  <c r="A146" i="1"/>
  <c r="C146" i="1"/>
  <c r="E146" i="1"/>
  <c r="A147" i="1"/>
  <c r="C147" i="1"/>
  <c r="E147" i="1"/>
  <c r="A148" i="1"/>
  <c r="C148" i="1"/>
  <c r="E148" i="1"/>
  <c r="A149" i="1"/>
  <c r="C149" i="1"/>
  <c r="E149" i="1"/>
  <c r="A150" i="1"/>
  <c r="C150" i="1"/>
  <c r="E150" i="1"/>
  <c r="A151" i="1"/>
  <c r="C151" i="1"/>
  <c r="E151" i="1"/>
  <c r="A152" i="1"/>
  <c r="C152" i="1"/>
  <c r="E152" i="1"/>
  <c r="A153" i="1"/>
  <c r="C153" i="1"/>
  <c r="E153" i="1"/>
  <c r="A154" i="1"/>
  <c r="C154" i="1"/>
  <c r="E154" i="1"/>
  <c r="A155" i="1"/>
  <c r="C155" i="1"/>
  <c r="E155" i="1"/>
  <c r="A156" i="1"/>
  <c r="C156" i="1"/>
  <c r="E156" i="1"/>
  <c r="A157" i="1"/>
  <c r="C157" i="1"/>
  <c r="E157" i="1"/>
  <c r="A158" i="1"/>
  <c r="C158" i="1"/>
  <c r="E158" i="1"/>
  <c r="A159" i="1"/>
  <c r="C159" i="1"/>
  <c r="E159" i="1"/>
  <c r="A160" i="1"/>
  <c r="C160" i="1"/>
  <c r="E160" i="1"/>
  <c r="A161" i="1"/>
  <c r="C161" i="1"/>
  <c r="E161" i="1"/>
  <c r="A162" i="1"/>
  <c r="C162" i="1"/>
  <c r="E162" i="1"/>
  <c r="A163" i="1"/>
  <c r="C163" i="1"/>
  <c r="E163" i="1"/>
  <c r="A164" i="1"/>
  <c r="C164" i="1"/>
  <c r="E164" i="1"/>
  <c r="A165" i="1"/>
  <c r="C165" i="1"/>
  <c r="E165" i="1"/>
  <c r="A166" i="1"/>
  <c r="C166" i="1"/>
  <c r="E166" i="1"/>
  <c r="A167" i="1"/>
  <c r="C167" i="1"/>
  <c r="E167" i="1"/>
  <c r="A168" i="1"/>
  <c r="C168" i="1"/>
  <c r="E168" i="1"/>
  <c r="A169" i="1"/>
  <c r="C169" i="1"/>
  <c r="E169" i="1"/>
  <c r="A170" i="1"/>
  <c r="C170" i="1"/>
  <c r="E170" i="1"/>
  <c r="A171" i="1"/>
  <c r="C171" i="1"/>
  <c r="E171" i="1"/>
  <c r="A172" i="1"/>
  <c r="C172" i="1"/>
  <c r="E172" i="1"/>
  <c r="A173" i="1"/>
  <c r="C173" i="1"/>
  <c r="E173" i="1"/>
  <c r="A174" i="1"/>
  <c r="C174" i="1"/>
  <c r="E174" i="1"/>
  <c r="A175" i="1"/>
  <c r="C175" i="1"/>
  <c r="E175" i="1"/>
  <c r="A176" i="1"/>
  <c r="C176" i="1"/>
  <c r="E176" i="1"/>
  <c r="A177" i="1"/>
  <c r="C177" i="1"/>
  <c r="E177" i="1"/>
  <c r="A178" i="1"/>
  <c r="C178" i="1"/>
  <c r="E178" i="1"/>
  <c r="A179" i="1"/>
  <c r="C179" i="1"/>
  <c r="E179" i="1"/>
  <c r="A180" i="1"/>
  <c r="C180" i="1"/>
  <c r="E180" i="1"/>
  <c r="A181" i="1"/>
  <c r="C181" i="1"/>
  <c r="E181" i="1"/>
  <c r="A182" i="1"/>
  <c r="C182" i="1"/>
  <c r="E182" i="1"/>
  <c r="A183" i="1"/>
  <c r="C183" i="1"/>
  <c r="E183" i="1"/>
  <c r="A184" i="1"/>
  <c r="C184" i="1"/>
  <c r="E184" i="1"/>
  <c r="A185" i="1"/>
  <c r="C185" i="1"/>
  <c r="E185" i="1"/>
  <c r="A186" i="1"/>
  <c r="C186" i="1"/>
  <c r="E186" i="1"/>
  <c r="A187" i="1"/>
  <c r="C187" i="1"/>
  <c r="E187" i="1"/>
  <c r="A188" i="1"/>
  <c r="C188" i="1"/>
  <c r="E188" i="1"/>
  <c r="A189" i="1"/>
  <c r="C189" i="1"/>
  <c r="E189" i="1"/>
  <c r="A190" i="1"/>
  <c r="C190" i="1"/>
  <c r="E190" i="1"/>
  <c r="A191" i="1"/>
  <c r="C191" i="1"/>
  <c r="E191" i="1"/>
  <c r="A192" i="1"/>
  <c r="C192" i="1"/>
  <c r="E192" i="1"/>
  <c r="A193" i="1"/>
  <c r="C193" i="1"/>
  <c r="E193" i="1"/>
  <c r="A194" i="1"/>
  <c r="C194" i="1"/>
  <c r="E194" i="1"/>
  <c r="A195" i="1"/>
  <c r="C195" i="1"/>
  <c r="E195" i="1"/>
  <c r="A196" i="1"/>
  <c r="C196" i="1"/>
  <c r="E196" i="1"/>
  <c r="A197" i="1"/>
  <c r="C197" i="1"/>
  <c r="E197" i="1"/>
  <c r="A198" i="1"/>
  <c r="C198" i="1"/>
  <c r="E198" i="1"/>
  <c r="A199" i="1"/>
  <c r="C199" i="1"/>
  <c r="E199" i="1"/>
  <c r="A200" i="1"/>
  <c r="C200" i="1"/>
  <c r="E200" i="1"/>
  <c r="A201" i="1"/>
  <c r="C201" i="1"/>
  <c r="E201" i="1"/>
  <c r="A202" i="1"/>
  <c r="C202" i="1"/>
  <c r="E202" i="1"/>
  <c r="A203" i="1"/>
  <c r="C203" i="1"/>
  <c r="E203" i="1"/>
  <c r="A204" i="1"/>
  <c r="C204" i="1"/>
  <c r="E204" i="1"/>
  <c r="A205" i="1"/>
  <c r="C205" i="1"/>
  <c r="E205" i="1"/>
  <c r="A206" i="1"/>
  <c r="C206" i="1"/>
  <c r="E206" i="1"/>
  <c r="A207" i="1"/>
  <c r="C207" i="1"/>
  <c r="E207" i="1"/>
  <c r="A208" i="1"/>
  <c r="C208" i="1"/>
  <c r="E208" i="1"/>
  <c r="A209" i="1"/>
  <c r="C209" i="1"/>
  <c r="E209" i="1"/>
  <c r="A210" i="1"/>
  <c r="C210" i="1"/>
  <c r="E210" i="1"/>
  <c r="A211" i="1"/>
  <c r="C211" i="1"/>
  <c r="E211" i="1"/>
  <c r="A212" i="1"/>
  <c r="C212" i="1"/>
  <c r="E212" i="1"/>
  <c r="A213" i="1"/>
  <c r="C213" i="1"/>
  <c r="E213" i="1"/>
  <c r="A214" i="1"/>
  <c r="C214" i="1"/>
  <c r="E214" i="1"/>
  <c r="A215" i="1"/>
  <c r="C215" i="1"/>
  <c r="E215" i="1"/>
  <c r="A216" i="1"/>
  <c r="C216" i="1"/>
  <c r="E216" i="1"/>
  <c r="A217" i="1"/>
  <c r="C217" i="1"/>
  <c r="E217" i="1"/>
  <c r="A218" i="1"/>
  <c r="C218" i="1"/>
  <c r="E218" i="1"/>
  <c r="A219" i="1"/>
  <c r="C219" i="1"/>
  <c r="E219" i="1"/>
  <c r="A220" i="1"/>
  <c r="C220" i="1"/>
  <c r="E220" i="1"/>
  <c r="A221" i="1"/>
  <c r="C221" i="1"/>
  <c r="E221" i="1"/>
  <c r="A222" i="1"/>
  <c r="C222" i="1"/>
  <c r="E222" i="1"/>
  <c r="A223" i="1"/>
  <c r="C223" i="1"/>
  <c r="E223" i="1"/>
  <c r="A224" i="1"/>
  <c r="C224" i="1"/>
  <c r="E224" i="1"/>
  <c r="A225" i="1"/>
  <c r="C225" i="1"/>
  <c r="E225" i="1"/>
  <c r="A226" i="1"/>
  <c r="C226" i="1"/>
  <c r="E226" i="1"/>
  <c r="A227" i="1"/>
  <c r="C227" i="1"/>
  <c r="E227" i="1"/>
  <c r="A228" i="1"/>
  <c r="C228" i="1"/>
  <c r="E228" i="1"/>
  <c r="A229" i="1"/>
  <c r="C229" i="1"/>
  <c r="E229" i="1"/>
  <c r="A230" i="1"/>
  <c r="C230" i="1"/>
  <c r="E230" i="1"/>
  <c r="A231" i="1"/>
  <c r="C231" i="1"/>
  <c r="E231" i="1"/>
  <c r="A232" i="1"/>
  <c r="C232" i="1"/>
  <c r="E232" i="1"/>
  <c r="A233" i="1"/>
  <c r="C233" i="1"/>
  <c r="E233" i="1"/>
  <c r="A234" i="1"/>
  <c r="C234" i="1"/>
  <c r="E234" i="1"/>
  <c r="A235" i="1"/>
  <c r="C235" i="1"/>
  <c r="E235" i="1"/>
  <c r="A236" i="1"/>
  <c r="C236" i="1"/>
  <c r="E236" i="1"/>
  <c r="A237" i="1"/>
  <c r="C237" i="1"/>
  <c r="E237" i="1"/>
  <c r="A238" i="1"/>
  <c r="C238" i="1"/>
  <c r="E238" i="1"/>
  <c r="A239" i="1"/>
  <c r="C239" i="1"/>
  <c r="E239" i="1"/>
  <c r="A240" i="1"/>
  <c r="C240" i="1"/>
  <c r="E240" i="1"/>
  <c r="A241" i="1"/>
  <c r="C241" i="1"/>
  <c r="E241" i="1"/>
  <c r="A242" i="1"/>
  <c r="C242" i="1"/>
  <c r="E242" i="1"/>
  <c r="A243" i="1"/>
  <c r="C243" i="1"/>
  <c r="E243" i="1"/>
  <c r="A244" i="1"/>
  <c r="C244" i="1"/>
  <c r="E244" i="1"/>
  <c r="A245" i="1"/>
  <c r="C245" i="1"/>
  <c r="E245" i="1"/>
  <c r="A246" i="1"/>
  <c r="C246" i="1"/>
  <c r="E246" i="1"/>
  <c r="A247" i="1"/>
  <c r="C247" i="1"/>
  <c r="E247" i="1"/>
  <c r="A248" i="1"/>
  <c r="C248" i="1"/>
  <c r="E248" i="1"/>
  <c r="A249" i="1"/>
  <c r="C249" i="1"/>
  <c r="E249" i="1"/>
  <c r="A250" i="1"/>
  <c r="C250" i="1"/>
  <c r="E250" i="1"/>
  <c r="A251" i="1"/>
  <c r="C251" i="1"/>
  <c r="E251" i="1"/>
  <c r="A252" i="1"/>
  <c r="C252" i="1"/>
  <c r="E252" i="1"/>
  <c r="A253" i="1"/>
  <c r="C253" i="1"/>
  <c r="E253" i="1"/>
  <c r="A254" i="1"/>
  <c r="C254" i="1"/>
  <c r="E254" i="1"/>
  <c r="A255" i="1"/>
  <c r="C255" i="1"/>
  <c r="E255" i="1"/>
  <c r="A256" i="1"/>
  <c r="C256" i="1"/>
  <c r="E256" i="1"/>
  <c r="A257" i="1"/>
  <c r="C257" i="1"/>
  <c r="E257" i="1"/>
  <c r="A258" i="1"/>
  <c r="C258" i="1"/>
  <c r="E258" i="1"/>
  <c r="A259" i="1"/>
  <c r="C259" i="1"/>
  <c r="E259" i="1"/>
  <c r="A260" i="1"/>
  <c r="C260" i="1"/>
  <c r="E260" i="1"/>
  <c r="A261" i="1"/>
  <c r="C261" i="1"/>
  <c r="E261" i="1"/>
  <c r="A262" i="1"/>
  <c r="C262" i="1"/>
  <c r="E262" i="1"/>
  <c r="A263" i="1"/>
  <c r="C263" i="1"/>
  <c r="E263" i="1"/>
  <c r="A264" i="1"/>
  <c r="C264" i="1"/>
  <c r="E264" i="1"/>
  <c r="A265" i="1"/>
  <c r="C265" i="1"/>
  <c r="E265" i="1"/>
  <c r="A266" i="1"/>
  <c r="C266" i="1"/>
  <c r="E266" i="1"/>
  <c r="A267" i="1"/>
  <c r="C267" i="1"/>
  <c r="E267" i="1"/>
  <c r="A268" i="1"/>
  <c r="C268" i="1"/>
  <c r="E268" i="1"/>
  <c r="A269" i="1"/>
  <c r="C269" i="1"/>
  <c r="E269" i="1"/>
  <c r="A270" i="1"/>
  <c r="C270" i="1"/>
  <c r="E270" i="1"/>
  <c r="A271" i="1"/>
  <c r="C271" i="1"/>
  <c r="E271" i="1"/>
  <c r="A272" i="1"/>
  <c r="C272" i="1"/>
  <c r="E272" i="1"/>
  <c r="A273" i="1"/>
  <c r="C273" i="1"/>
  <c r="E273" i="1"/>
  <c r="A274" i="1"/>
  <c r="C274" i="1"/>
  <c r="E274" i="1"/>
  <c r="A275" i="1"/>
  <c r="C275" i="1"/>
  <c r="E275" i="1"/>
  <c r="A276" i="1"/>
  <c r="C276" i="1"/>
  <c r="E276" i="1"/>
  <c r="A277" i="1"/>
  <c r="C277" i="1"/>
  <c r="E277" i="1"/>
  <c r="A278" i="1"/>
  <c r="C278" i="1"/>
  <c r="E278" i="1"/>
  <c r="A279" i="1"/>
  <c r="C279" i="1"/>
  <c r="E279" i="1"/>
  <c r="A280" i="1"/>
  <c r="C280" i="1"/>
  <c r="E280" i="1"/>
  <c r="A281" i="1"/>
  <c r="C281" i="1"/>
  <c r="E281" i="1"/>
  <c r="A282" i="1"/>
  <c r="C282" i="1"/>
  <c r="E282" i="1"/>
  <c r="A283" i="1"/>
  <c r="C283" i="1"/>
  <c r="E283" i="1"/>
  <c r="A284" i="1"/>
  <c r="C284" i="1"/>
  <c r="E284" i="1"/>
  <c r="A285" i="1"/>
  <c r="C285" i="1"/>
  <c r="E285" i="1"/>
  <c r="A286" i="1"/>
  <c r="C286" i="1"/>
  <c r="E286" i="1"/>
  <c r="A287" i="1"/>
  <c r="C287" i="1"/>
  <c r="E287" i="1"/>
  <c r="A288" i="1"/>
  <c r="C288" i="1"/>
  <c r="E288" i="1"/>
  <c r="A289" i="1"/>
  <c r="C289" i="1"/>
  <c r="E289" i="1"/>
  <c r="A290" i="1"/>
  <c r="C290" i="1"/>
  <c r="E290" i="1"/>
  <c r="A291" i="1"/>
  <c r="C291" i="1"/>
  <c r="E291" i="1"/>
  <c r="A292" i="1"/>
  <c r="C292" i="1"/>
  <c r="E292" i="1"/>
  <c r="A293" i="1"/>
  <c r="C293" i="1"/>
  <c r="E293" i="1"/>
  <c r="A294" i="1"/>
  <c r="C294" i="1"/>
  <c r="E294" i="1"/>
  <c r="A295" i="1"/>
  <c r="C295" i="1"/>
  <c r="E295" i="1"/>
  <c r="A296" i="1"/>
  <c r="C296" i="1"/>
  <c r="E296" i="1"/>
  <c r="A297" i="1"/>
  <c r="C297" i="1"/>
  <c r="E297" i="1"/>
  <c r="A298" i="1"/>
  <c r="C298" i="1"/>
  <c r="E298" i="1"/>
  <c r="A299" i="1"/>
  <c r="C299" i="1"/>
  <c r="E299" i="1"/>
  <c r="A300" i="1"/>
  <c r="C300" i="1"/>
  <c r="E300" i="1"/>
  <c r="A301" i="1"/>
  <c r="C301" i="1"/>
  <c r="E301" i="1"/>
  <c r="A302" i="1"/>
  <c r="C302" i="1"/>
  <c r="E302" i="1"/>
  <c r="A303" i="1"/>
  <c r="C303" i="1"/>
  <c r="E303" i="1"/>
  <c r="A304" i="1"/>
  <c r="C304" i="1"/>
  <c r="E304" i="1"/>
  <c r="A305" i="1"/>
  <c r="C305" i="1"/>
  <c r="E305" i="1"/>
  <c r="A306" i="1"/>
  <c r="C306" i="1"/>
  <c r="E306" i="1"/>
  <c r="A307" i="1"/>
  <c r="C307" i="1"/>
  <c r="E307" i="1"/>
  <c r="A308" i="1"/>
  <c r="C308" i="1"/>
  <c r="E308" i="1"/>
  <c r="A309" i="1"/>
  <c r="C309" i="1"/>
  <c r="E309" i="1"/>
  <c r="A310" i="1"/>
  <c r="C310" i="1"/>
  <c r="E310" i="1"/>
  <c r="A311" i="1"/>
  <c r="C311" i="1"/>
  <c r="E311" i="1"/>
  <c r="A312" i="1"/>
  <c r="C312" i="1"/>
  <c r="E312" i="1"/>
  <c r="A313" i="1"/>
  <c r="C313" i="1"/>
  <c r="E313" i="1"/>
  <c r="A314" i="1"/>
  <c r="C314" i="1"/>
  <c r="E314" i="1"/>
  <c r="A315" i="1"/>
  <c r="C315" i="1"/>
  <c r="E315" i="1"/>
  <c r="A316" i="1"/>
  <c r="C316" i="1"/>
  <c r="E316" i="1"/>
  <c r="A317" i="1"/>
  <c r="C317" i="1"/>
  <c r="E317" i="1"/>
  <c r="A318" i="1"/>
  <c r="C318" i="1"/>
  <c r="E318" i="1"/>
  <c r="A319" i="1"/>
  <c r="C319" i="1"/>
  <c r="E319" i="1"/>
  <c r="A320" i="1"/>
  <c r="C320" i="1"/>
  <c r="E320" i="1"/>
  <c r="A321" i="1"/>
  <c r="C321" i="1"/>
  <c r="E321" i="1"/>
  <c r="A322" i="1"/>
  <c r="C322" i="1"/>
  <c r="E322" i="1"/>
  <c r="A323" i="1"/>
  <c r="C323" i="1"/>
  <c r="E323" i="1"/>
  <c r="A324" i="1"/>
  <c r="C324" i="1"/>
  <c r="E324" i="1"/>
  <c r="A325" i="1"/>
  <c r="C325" i="1"/>
  <c r="E325" i="1"/>
  <c r="A326" i="1"/>
  <c r="C326" i="1"/>
  <c r="E326" i="1"/>
  <c r="A327" i="1"/>
  <c r="C327" i="1"/>
  <c r="E327" i="1"/>
  <c r="A328" i="1"/>
  <c r="C328" i="1"/>
  <c r="E328" i="1"/>
  <c r="A329" i="1"/>
  <c r="C329" i="1"/>
  <c r="E329" i="1"/>
  <c r="A330" i="1"/>
  <c r="C330" i="1"/>
  <c r="E330" i="1"/>
  <c r="A331" i="1"/>
  <c r="C331" i="1"/>
  <c r="E331" i="1"/>
  <c r="A332" i="1"/>
  <c r="C332" i="1"/>
  <c r="E332" i="1"/>
  <c r="A333" i="1"/>
  <c r="C333" i="1"/>
  <c r="E333" i="1"/>
  <c r="A334" i="1"/>
  <c r="C334" i="1"/>
  <c r="E334" i="1"/>
  <c r="A335" i="1"/>
  <c r="C335" i="1"/>
  <c r="E335" i="1"/>
  <c r="A336" i="1"/>
  <c r="C336" i="1"/>
  <c r="E336" i="1"/>
  <c r="A337" i="1"/>
  <c r="C337" i="1"/>
  <c r="E337" i="1"/>
  <c r="A338" i="1"/>
  <c r="C338" i="1"/>
  <c r="E338" i="1"/>
  <c r="A339" i="1"/>
  <c r="C339" i="1"/>
  <c r="E339" i="1"/>
  <c r="A340" i="1"/>
  <c r="C340" i="1"/>
  <c r="E340" i="1"/>
  <c r="A341" i="1"/>
  <c r="C341" i="1"/>
  <c r="E341" i="1"/>
  <c r="A342" i="1"/>
  <c r="C342" i="1"/>
  <c r="E342" i="1"/>
  <c r="A343" i="1"/>
  <c r="C343" i="1"/>
  <c r="E343" i="1"/>
  <c r="A344" i="1"/>
  <c r="C344" i="1"/>
  <c r="E344" i="1"/>
  <c r="A345" i="1"/>
  <c r="C345" i="1"/>
  <c r="E345" i="1"/>
  <c r="A346" i="1"/>
  <c r="C346" i="1"/>
  <c r="E346" i="1"/>
  <c r="A347" i="1"/>
  <c r="C347" i="1"/>
  <c r="E347" i="1"/>
  <c r="A348" i="1"/>
  <c r="C348" i="1"/>
  <c r="E348" i="1"/>
  <c r="A349" i="1"/>
  <c r="C349" i="1"/>
  <c r="E349" i="1"/>
  <c r="A350" i="1"/>
  <c r="C350" i="1"/>
  <c r="E350" i="1"/>
  <c r="A351" i="1"/>
  <c r="C351" i="1"/>
  <c r="E351" i="1"/>
  <c r="A352" i="1"/>
  <c r="C352" i="1"/>
  <c r="E352" i="1"/>
  <c r="A353" i="1"/>
  <c r="C353" i="1"/>
  <c r="E353" i="1"/>
  <c r="A354" i="1"/>
  <c r="C354" i="1"/>
  <c r="E354" i="1"/>
  <c r="A355" i="1"/>
  <c r="C355" i="1"/>
  <c r="E355" i="1"/>
  <c r="A356" i="1"/>
  <c r="C356" i="1"/>
  <c r="E356" i="1"/>
  <c r="A357" i="1"/>
  <c r="C357" i="1"/>
  <c r="E357" i="1"/>
  <c r="A358" i="1"/>
  <c r="C358" i="1"/>
  <c r="E358" i="1"/>
  <c r="A359" i="1"/>
  <c r="C359" i="1"/>
  <c r="E359" i="1"/>
  <c r="A360" i="1"/>
  <c r="C360" i="1"/>
  <c r="E360" i="1"/>
  <c r="A361" i="1"/>
  <c r="C361" i="1"/>
  <c r="E361" i="1"/>
  <c r="A362" i="1"/>
  <c r="C362" i="1"/>
  <c r="E362" i="1"/>
  <c r="A363" i="1"/>
  <c r="C363" i="1"/>
  <c r="E363" i="1"/>
  <c r="A364" i="1"/>
  <c r="C364" i="1"/>
  <c r="E364" i="1"/>
  <c r="A365" i="1"/>
  <c r="C365" i="1"/>
  <c r="E365" i="1"/>
  <c r="A366" i="1"/>
  <c r="C366" i="1"/>
  <c r="E366" i="1"/>
  <c r="A367" i="1"/>
  <c r="C367" i="1"/>
  <c r="E367" i="1"/>
  <c r="A368" i="1"/>
  <c r="C368" i="1"/>
  <c r="E368" i="1"/>
  <c r="A369" i="1"/>
  <c r="C369" i="1"/>
  <c r="E369" i="1"/>
  <c r="A370" i="1"/>
  <c r="C370" i="1"/>
  <c r="E370" i="1"/>
  <c r="A371" i="1"/>
  <c r="C371" i="1"/>
  <c r="E371" i="1"/>
  <c r="A372" i="1"/>
  <c r="C372" i="1"/>
  <c r="E372" i="1"/>
  <c r="A373" i="1"/>
  <c r="C373" i="1"/>
  <c r="E373" i="1"/>
  <c r="A374" i="1"/>
  <c r="C374" i="1"/>
  <c r="E374" i="1"/>
  <c r="A375" i="1"/>
  <c r="C375" i="1"/>
  <c r="E375" i="1"/>
  <c r="A376" i="1"/>
  <c r="C376" i="1"/>
  <c r="E376" i="1"/>
  <c r="A377" i="1"/>
  <c r="C377" i="1"/>
  <c r="E377" i="1"/>
  <c r="A378" i="1"/>
  <c r="C378" i="1"/>
  <c r="E378" i="1"/>
  <c r="A379" i="1"/>
  <c r="C379" i="1"/>
  <c r="E379" i="1"/>
  <c r="A380" i="1"/>
  <c r="C380" i="1"/>
  <c r="E380" i="1"/>
  <c r="A381" i="1"/>
  <c r="C381" i="1"/>
  <c r="E381" i="1"/>
  <c r="A382" i="1"/>
  <c r="C382" i="1"/>
  <c r="E382" i="1"/>
  <c r="A383" i="1"/>
  <c r="C383" i="1"/>
  <c r="E383" i="1"/>
  <c r="A384" i="1"/>
  <c r="C384" i="1"/>
  <c r="E384" i="1"/>
  <c r="A385" i="1"/>
  <c r="C385" i="1"/>
  <c r="E385" i="1"/>
  <c r="A386" i="1"/>
  <c r="C386" i="1"/>
  <c r="E386" i="1"/>
  <c r="A387" i="1"/>
  <c r="C387" i="1"/>
  <c r="E387" i="1"/>
  <c r="A388" i="1"/>
  <c r="C388" i="1"/>
  <c r="E388" i="1"/>
  <c r="A389" i="1"/>
  <c r="C389" i="1"/>
  <c r="E389" i="1"/>
  <c r="A390" i="1"/>
  <c r="C390" i="1"/>
  <c r="E390" i="1"/>
  <c r="A391" i="1"/>
  <c r="C391" i="1"/>
  <c r="E391" i="1"/>
  <c r="A392" i="1"/>
  <c r="C392" i="1"/>
  <c r="E392" i="1"/>
  <c r="A393" i="1"/>
  <c r="C393" i="1"/>
  <c r="E393" i="1"/>
  <c r="A394" i="1"/>
  <c r="C394" i="1"/>
  <c r="E394" i="1"/>
  <c r="A395" i="1"/>
  <c r="C395" i="1"/>
  <c r="E395" i="1"/>
  <c r="A396" i="1"/>
  <c r="C396" i="1"/>
  <c r="E396" i="1"/>
  <c r="A397" i="1"/>
  <c r="C397" i="1"/>
  <c r="E397" i="1"/>
  <c r="A398" i="1"/>
  <c r="C398" i="1"/>
  <c r="E398" i="1"/>
  <c r="A399" i="1"/>
  <c r="C399" i="1"/>
  <c r="E399" i="1"/>
  <c r="A400" i="1"/>
  <c r="C400" i="1"/>
  <c r="E400" i="1"/>
  <c r="A401" i="1"/>
  <c r="C401" i="1"/>
  <c r="E401" i="1"/>
  <c r="A402" i="1"/>
  <c r="C402" i="1"/>
  <c r="E402" i="1"/>
  <c r="A403" i="1"/>
  <c r="C403" i="1"/>
  <c r="E403" i="1"/>
  <c r="A404" i="1"/>
  <c r="C404" i="1"/>
  <c r="E404" i="1"/>
  <c r="A405" i="1"/>
  <c r="C405" i="1"/>
  <c r="E405" i="1"/>
  <c r="A406" i="1"/>
  <c r="C406" i="1"/>
  <c r="E406" i="1"/>
  <c r="A407" i="1"/>
  <c r="C407" i="1"/>
  <c r="E407" i="1"/>
  <c r="A408" i="1"/>
  <c r="C408" i="1"/>
  <c r="E408" i="1"/>
  <c r="A409" i="1"/>
  <c r="C409" i="1"/>
  <c r="E409" i="1"/>
  <c r="A410" i="1"/>
  <c r="C410" i="1"/>
  <c r="E410" i="1"/>
  <c r="A411" i="1"/>
  <c r="C411" i="1"/>
  <c r="E411" i="1"/>
  <c r="A412" i="1"/>
  <c r="C412" i="1"/>
  <c r="E412" i="1"/>
  <c r="A413" i="1"/>
  <c r="C413" i="1"/>
  <c r="E413" i="1"/>
  <c r="A414" i="1"/>
  <c r="C414" i="1"/>
  <c r="E414" i="1"/>
  <c r="A415" i="1"/>
  <c r="C415" i="1"/>
  <c r="E415" i="1"/>
  <c r="A416" i="1"/>
  <c r="C416" i="1"/>
  <c r="E416" i="1"/>
  <c r="A417" i="1"/>
  <c r="C417" i="1"/>
  <c r="E417" i="1"/>
  <c r="A418" i="1"/>
  <c r="C418" i="1"/>
  <c r="E418" i="1"/>
  <c r="A419" i="1"/>
  <c r="C419" i="1"/>
  <c r="E419" i="1"/>
  <c r="A420" i="1"/>
  <c r="C420" i="1"/>
  <c r="E420" i="1"/>
  <c r="A421" i="1"/>
  <c r="C421" i="1"/>
  <c r="E421" i="1"/>
  <c r="A422" i="1"/>
  <c r="C422" i="1"/>
  <c r="E422" i="1"/>
  <c r="A423" i="1"/>
  <c r="C423" i="1"/>
  <c r="E423" i="1"/>
  <c r="A424" i="1"/>
  <c r="C424" i="1"/>
  <c r="E424" i="1"/>
  <c r="A425" i="1"/>
  <c r="C425" i="1"/>
  <c r="E425" i="1"/>
  <c r="A426" i="1"/>
  <c r="C426" i="1"/>
  <c r="E426" i="1"/>
  <c r="A427" i="1"/>
  <c r="C427" i="1"/>
  <c r="E427" i="1"/>
  <c r="A428" i="1"/>
  <c r="C428" i="1"/>
  <c r="E428" i="1"/>
  <c r="A429" i="1"/>
  <c r="C429" i="1"/>
  <c r="E429" i="1"/>
  <c r="A430" i="1"/>
  <c r="C430" i="1"/>
  <c r="E430" i="1"/>
  <c r="A431" i="1"/>
  <c r="C431" i="1"/>
  <c r="E431" i="1"/>
  <c r="A432" i="1"/>
  <c r="C432" i="1"/>
  <c r="E432" i="1"/>
  <c r="A433" i="1"/>
  <c r="C433" i="1"/>
  <c r="E433" i="1"/>
  <c r="A434" i="1"/>
  <c r="C434" i="1"/>
  <c r="E434" i="1"/>
  <c r="A435" i="1"/>
  <c r="C435" i="1"/>
  <c r="E435" i="1"/>
  <c r="A436" i="1"/>
  <c r="C436" i="1"/>
  <c r="E436" i="1"/>
  <c r="A437" i="1"/>
  <c r="C437" i="1"/>
  <c r="E437" i="1"/>
  <c r="A438" i="1"/>
  <c r="C438" i="1"/>
  <c r="E438" i="1"/>
  <c r="A439" i="1"/>
  <c r="C439" i="1"/>
  <c r="E439" i="1"/>
  <c r="A440" i="1"/>
  <c r="C440" i="1"/>
  <c r="E440" i="1"/>
  <c r="A441" i="1"/>
  <c r="C441" i="1"/>
  <c r="E441" i="1"/>
  <c r="A442" i="1"/>
  <c r="C442" i="1"/>
  <c r="E442" i="1"/>
  <c r="A443" i="1"/>
  <c r="C443" i="1"/>
  <c r="E443" i="1"/>
  <c r="A444" i="1"/>
  <c r="C444" i="1"/>
  <c r="E444" i="1"/>
  <c r="A445" i="1"/>
  <c r="C445" i="1"/>
  <c r="E445" i="1"/>
  <c r="A446" i="1"/>
  <c r="C446" i="1"/>
  <c r="E446" i="1"/>
  <c r="A447" i="1"/>
  <c r="C447" i="1"/>
  <c r="E447" i="1"/>
  <c r="A448" i="1"/>
  <c r="C448" i="1"/>
  <c r="E448" i="1"/>
  <c r="A449" i="1"/>
  <c r="C449" i="1"/>
  <c r="E449" i="1"/>
  <c r="A450" i="1"/>
  <c r="C450" i="1"/>
  <c r="E450" i="1"/>
  <c r="A451" i="1"/>
  <c r="C451" i="1"/>
  <c r="E451" i="1"/>
  <c r="A452" i="1"/>
  <c r="C452" i="1"/>
  <c r="E452" i="1"/>
  <c r="A453" i="1"/>
  <c r="C453" i="1"/>
  <c r="E453" i="1"/>
  <c r="A454" i="1"/>
  <c r="C454" i="1"/>
  <c r="E454" i="1"/>
  <c r="A455" i="1"/>
  <c r="C455" i="1"/>
  <c r="E455" i="1"/>
  <c r="A456" i="1"/>
  <c r="C456" i="1"/>
  <c r="E456" i="1"/>
  <c r="A457" i="1"/>
  <c r="C457" i="1"/>
  <c r="E457" i="1"/>
  <c r="A458" i="1"/>
  <c r="C458" i="1"/>
  <c r="E458" i="1"/>
  <c r="A459" i="1"/>
  <c r="C459" i="1"/>
  <c r="E459" i="1"/>
  <c r="A460" i="1"/>
  <c r="C460" i="1"/>
  <c r="E460" i="1"/>
  <c r="A461" i="1"/>
  <c r="C461" i="1"/>
  <c r="E461" i="1"/>
  <c r="A462" i="1"/>
  <c r="C462" i="1"/>
  <c r="E462" i="1"/>
  <c r="A463" i="1"/>
  <c r="C463" i="1"/>
  <c r="E463" i="1"/>
  <c r="A464" i="1"/>
  <c r="C464" i="1"/>
  <c r="E464" i="1"/>
  <c r="A465" i="1"/>
  <c r="C465" i="1"/>
  <c r="E465" i="1"/>
  <c r="A466" i="1"/>
  <c r="C466" i="1"/>
  <c r="E466" i="1"/>
  <c r="A467" i="1"/>
  <c r="C467" i="1"/>
  <c r="E467" i="1"/>
  <c r="A468" i="1"/>
  <c r="C468" i="1"/>
  <c r="E468" i="1"/>
  <c r="A469" i="1"/>
  <c r="C469" i="1"/>
  <c r="E469" i="1"/>
  <c r="A470" i="1"/>
  <c r="C470" i="1"/>
  <c r="E470" i="1"/>
  <c r="A471" i="1"/>
  <c r="C471" i="1"/>
  <c r="E471" i="1"/>
  <c r="A472" i="1"/>
  <c r="C472" i="1"/>
  <c r="E472" i="1"/>
  <c r="A473" i="1"/>
  <c r="C473" i="1"/>
  <c r="E473" i="1"/>
  <c r="A474" i="1"/>
  <c r="C474" i="1"/>
  <c r="E474" i="1"/>
  <c r="A475" i="1"/>
  <c r="C475" i="1"/>
  <c r="E475" i="1"/>
  <c r="A476" i="1"/>
  <c r="C476" i="1"/>
  <c r="E476" i="1"/>
  <c r="A477" i="1"/>
  <c r="C477" i="1"/>
  <c r="E477" i="1"/>
  <c r="A478" i="1"/>
  <c r="C478" i="1"/>
  <c r="E478" i="1"/>
  <c r="A479" i="1"/>
  <c r="C479" i="1"/>
  <c r="E479" i="1"/>
  <c r="A480" i="1"/>
  <c r="C480" i="1"/>
  <c r="E480" i="1"/>
  <c r="A481" i="1"/>
  <c r="C481" i="1"/>
  <c r="E481" i="1"/>
  <c r="A482" i="1"/>
  <c r="C482" i="1"/>
  <c r="E482" i="1"/>
  <c r="A483" i="1"/>
  <c r="C483" i="1"/>
  <c r="E483" i="1"/>
  <c r="A484" i="1"/>
  <c r="C484" i="1"/>
  <c r="E484" i="1"/>
  <c r="A485" i="1"/>
  <c r="C485" i="1"/>
  <c r="E485" i="1"/>
  <c r="A486" i="1"/>
  <c r="C486" i="1"/>
  <c r="E486" i="1"/>
  <c r="A487" i="1"/>
  <c r="C487" i="1"/>
  <c r="E487" i="1"/>
  <c r="A488" i="1"/>
  <c r="C488" i="1"/>
  <c r="E488" i="1"/>
  <c r="A489" i="1"/>
  <c r="C489" i="1"/>
  <c r="E489" i="1"/>
  <c r="A490" i="1"/>
  <c r="C490" i="1"/>
  <c r="E490" i="1"/>
  <c r="A491" i="1"/>
  <c r="C491" i="1"/>
  <c r="E491" i="1"/>
  <c r="A492" i="1"/>
  <c r="C492" i="1"/>
  <c r="E492" i="1"/>
  <c r="A493" i="1"/>
  <c r="C493" i="1"/>
  <c r="E493" i="1"/>
  <c r="A494" i="1"/>
  <c r="C494" i="1"/>
  <c r="E494" i="1"/>
  <c r="A495" i="1"/>
  <c r="C495" i="1"/>
  <c r="E495" i="1"/>
  <c r="A496" i="1"/>
  <c r="C496" i="1"/>
  <c r="E496" i="1"/>
  <c r="A497" i="1"/>
  <c r="C497" i="1"/>
  <c r="E497" i="1"/>
  <c r="A498" i="1"/>
  <c r="C498" i="1"/>
  <c r="E498" i="1"/>
  <c r="A499" i="1"/>
  <c r="C499" i="1"/>
  <c r="E499" i="1"/>
  <c r="A500" i="1"/>
  <c r="C500" i="1"/>
  <c r="E500" i="1"/>
  <c r="A501" i="1"/>
  <c r="C501" i="1"/>
  <c r="E501" i="1"/>
  <c r="A502" i="1"/>
  <c r="C502" i="1"/>
  <c r="E502" i="1"/>
  <c r="A503" i="1"/>
  <c r="C503" i="1"/>
  <c r="E503" i="1"/>
  <c r="A504" i="1"/>
  <c r="C504" i="1"/>
  <c r="E504" i="1"/>
  <c r="A505" i="1"/>
  <c r="C505" i="1"/>
  <c r="E505" i="1"/>
  <c r="A506" i="1"/>
  <c r="C506" i="1"/>
  <c r="E506" i="1"/>
  <c r="A507" i="1"/>
  <c r="C507" i="1"/>
  <c r="E507" i="1"/>
  <c r="A508" i="1"/>
  <c r="C508" i="1"/>
  <c r="E508" i="1"/>
  <c r="A509" i="1"/>
  <c r="C509" i="1"/>
  <c r="E509" i="1"/>
  <c r="A510" i="1"/>
  <c r="C510" i="1"/>
  <c r="E510" i="1"/>
  <c r="A511" i="1"/>
  <c r="C511" i="1"/>
  <c r="E511" i="1"/>
  <c r="A512" i="1"/>
  <c r="C512" i="1"/>
  <c r="E512" i="1"/>
  <c r="A513" i="1"/>
  <c r="C513" i="1"/>
  <c r="E513" i="1"/>
  <c r="A514" i="1"/>
  <c r="C514" i="1"/>
  <c r="E514" i="1"/>
  <c r="A515" i="1"/>
  <c r="C515" i="1"/>
  <c r="E515" i="1"/>
  <c r="A516" i="1"/>
  <c r="C516" i="1"/>
  <c r="E516" i="1"/>
  <c r="A517" i="1"/>
  <c r="C517" i="1"/>
  <c r="E517" i="1"/>
  <c r="A518" i="1"/>
  <c r="C518" i="1"/>
  <c r="E518" i="1"/>
  <c r="A519" i="1"/>
  <c r="C519" i="1"/>
  <c r="E519" i="1"/>
  <c r="A520" i="1"/>
  <c r="C520" i="1"/>
  <c r="E520" i="1"/>
  <c r="A521" i="1"/>
  <c r="C521" i="1"/>
  <c r="E521" i="1"/>
  <c r="A522" i="1"/>
  <c r="C522" i="1"/>
  <c r="E522" i="1"/>
  <c r="A523" i="1"/>
  <c r="C523" i="1"/>
  <c r="E523" i="1"/>
  <c r="A524" i="1"/>
  <c r="C524" i="1"/>
  <c r="E524" i="1"/>
  <c r="A525" i="1"/>
  <c r="C525" i="1"/>
  <c r="E525" i="1"/>
  <c r="A526" i="1"/>
  <c r="C526" i="1"/>
  <c r="E526" i="1"/>
  <c r="A527" i="1"/>
  <c r="C527" i="1"/>
  <c r="E527" i="1"/>
  <c r="A528" i="1"/>
  <c r="C528" i="1"/>
  <c r="E528" i="1"/>
  <c r="A529" i="1"/>
  <c r="C529" i="1"/>
  <c r="E529" i="1"/>
  <c r="A530" i="1"/>
  <c r="C530" i="1"/>
  <c r="E530" i="1"/>
  <c r="A531" i="1"/>
  <c r="C531" i="1"/>
  <c r="E531" i="1"/>
  <c r="A532" i="1"/>
  <c r="C532" i="1"/>
  <c r="E532" i="1"/>
  <c r="A533" i="1"/>
  <c r="C533" i="1"/>
  <c r="E533" i="1"/>
  <c r="A534" i="1"/>
  <c r="C534" i="1"/>
  <c r="E534" i="1"/>
  <c r="A535" i="1"/>
  <c r="C535" i="1"/>
  <c r="E535" i="1"/>
  <c r="A536" i="1"/>
  <c r="C536" i="1"/>
  <c r="E536" i="1"/>
  <c r="A537" i="1"/>
  <c r="C537" i="1"/>
  <c r="E537" i="1"/>
  <c r="A538" i="1"/>
  <c r="C538" i="1"/>
  <c r="E538" i="1"/>
  <c r="A539" i="1"/>
  <c r="C539" i="1"/>
  <c r="E539" i="1"/>
  <c r="A540" i="1"/>
  <c r="C540" i="1"/>
  <c r="E540" i="1"/>
  <c r="A541" i="1"/>
  <c r="C541" i="1"/>
  <c r="E541" i="1"/>
  <c r="A542" i="1"/>
  <c r="C542" i="1"/>
  <c r="E542" i="1"/>
  <c r="A543" i="1"/>
  <c r="C543" i="1"/>
  <c r="E543" i="1"/>
  <c r="A544" i="1"/>
  <c r="C544" i="1"/>
  <c r="E544" i="1"/>
  <c r="A545" i="1"/>
  <c r="C545" i="1"/>
  <c r="E545" i="1"/>
  <c r="A546" i="1"/>
  <c r="C546" i="1"/>
  <c r="E546" i="1"/>
  <c r="A547" i="1"/>
  <c r="C547" i="1"/>
  <c r="E547" i="1"/>
  <c r="A548" i="1"/>
  <c r="C548" i="1"/>
  <c r="E548" i="1"/>
  <c r="A549" i="1"/>
  <c r="C549" i="1"/>
  <c r="E549" i="1"/>
  <c r="A550" i="1"/>
  <c r="C550" i="1"/>
  <c r="E550" i="1"/>
  <c r="A551" i="1"/>
  <c r="C551" i="1"/>
  <c r="E551" i="1"/>
  <c r="A552" i="1"/>
  <c r="C552" i="1"/>
  <c r="E552" i="1"/>
  <c r="A553" i="1"/>
  <c r="C553" i="1"/>
  <c r="E553" i="1"/>
  <c r="A554" i="1"/>
  <c r="C554" i="1"/>
  <c r="E554" i="1"/>
  <c r="A555" i="1"/>
  <c r="C555" i="1"/>
  <c r="E555" i="1"/>
  <c r="A556" i="1"/>
  <c r="C556" i="1"/>
  <c r="E556" i="1"/>
  <c r="A557" i="1"/>
  <c r="C557" i="1"/>
  <c r="E557" i="1"/>
  <c r="A558" i="1"/>
  <c r="C558" i="1"/>
  <c r="E558" i="1"/>
  <c r="A559" i="1"/>
  <c r="C559" i="1"/>
  <c r="E559" i="1"/>
  <c r="A560" i="1"/>
  <c r="C560" i="1"/>
  <c r="E560" i="1"/>
  <c r="A561" i="1"/>
  <c r="C561" i="1"/>
  <c r="E561" i="1"/>
  <c r="A562" i="1"/>
  <c r="C562" i="1"/>
  <c r="E562" i="1"/>
  <c r="A563" i="1"/>
  <c r="C563" i="1"/>
  <c r="E563" i="1"/>
  <c r="A564" i="1"/>
  <c r="C564" i="1"/>
  <c r="E564" i="1"/>
  <c r="A565" i="1"/>
  <c r="C565" i="1"/>
  <c r="E565" i="1"/>
  <c r="A566" i="1"/>
  <c r="C566" i="1"/>
  <c r="E566" i="1"/>
  <c r="A567" i="1"/>
  <c r="C567" i="1"/>
  <c r="E567" i="1"/>
  <c r="A568" i="1"/>
  <c r="C568" i="1"/>
  <c r="E568" i="1"/>
  <c r="A569" i="1"/>
  <c r="C569" i="1"/>
  <c r="E569" i="1"/>
  <c r="A570" i="1"/>
  <c r="C570" i="1"/>
  <c r="E570" i="1"/>
  <c r="A571" i="1"/>
  <c r="C571" i="1"/>
  <c r="E571" i="1"/>
  <c r="A572" i="1"/>
  <c r="C572" i="1"/>
  <c r="E572" i="1"/>
  <c r="A573" i="1"/>
  <c r="C573" i="1"/>
  <c r="E573" i="1"/>
  <c r="A574" i="1"/>
  <c r="C574" i="1"/>
  <c r="E574" i="1"/>
  <c r="A575" i="1"/>
  <c r="C575" i="1"/>
  <c r="E575" i="1"/>
  <c r="A576" i="1"/>
  <c r="C576" i="1"/>
  <c r="E576" i="1"/>
  <c r="A577" i="1"/>
  <c r="C577" i="1"/>
  <c r="E577" i="1"/>
  <c r="A578" i="1"/>
  <c r="C578" i="1"/>
  <c r="E578" i="1"/>
  <c r="A579" i="1"/>
  <c r="C579" i="1"/>
  <c r="E579" i="1"/>
  <c r="A580" i="1"/>
  <c r="C580" i="1"/>
  <c r="E580" i="1"/>
  <c r="A581" i="1"/>
  <c r="C581" i="1"/>
  <c r="E581" i="1"/>
  <c r="A582" i="1"/>
  <c r="C582" i="1"/>
  <c r="E582" i="1"/>
  <c r="A583" i="1"/>
  <c r="C583" i="1"/>
  <c r="E583" i="1"/>
  <c r="A584" i="1"/>
  <c r="C584" i="1"/>
  <c r="E584" i="1"/>
  <c r="A585" i="1"/>
  <c r="C585" i="1"/>
  <c r="E585" i="1"/>
  <c r="A586" i="1"/>
  <c r="C586" i="1"/>
  <c r="E586" i="1"/>
  <c r="A587" i="1"/>
  <c r="C587" i="1"/>
  <c r="E587" i="1"/>
  <c r="A588" i="1"/>
  <c r="C588" i="1"/>
  <c r="E588" i="1"/>
  <c r="A589" i="1"/>
  <c r="C589" i="1"/>
  <c r="E589" i="1"/>
  <c r="A590" i="1"/>
  <c r="C590" i="1"/>
  <c r="E590" i="1"/>
  <c r="A591" i="1"/>
  <c r="C591" i="1"/>
  <c r="E591" i="1"/>
  <c r="A592" i="1"/>
  <c r="C592" i="1"/>
  <c r="E592" i="1"/>
  <c r="A593" i="1"/>
  <c r="C593" i="1"/>
  <c r="E593" i="1"/>
  <c r="A594" i="1"/>
  <c r="C594" i="1"/>
  <c r="E594" i="1"/>
  <c r="A595" i="1"/>
  <c r="C595" i="1"/>
  <c r="E595" i="1"/>
  <c r="A596" i="1"/>
  <c r="C596" i="1"/>
  <c r="E596" i="1"/>
  <c r="A597" i="1"/>
  <c r="C597" i="1"/>
  <c r="E597" i="1"/>
  <c r="A598" i="1"/>
  <c r="C598" i="1"/>
  <c r="E598" i="1"/>
  <c r="A599" i="1"/>
  <c r="C599" i="1"/>
  <c r="E599" i="1"/>
  <c r="A600" i="1"/>
  <c r="C600" i="1"/>
  <c r="E600" i="1"/>
  <c r="A601" i="1"/>
  <c r="C601" i="1"/>
  <c r="E601" i="1"/>
  <c r="A602" i="1"/>
  <c r="C602" i="1"/>
  <c r="E602" i="1"/>
  <c r="A603" i="1"/>
  <c r="C603" i="1"/>
  <c r="E603" i="1"/>
  <c r="A604" i="1"/>
  <c r="C604" i="1"/>
  <c r="E604" i="1"/>
  <c r="A605" i="1"/>
  <c r="C605" i="1"/>
  <c r="E605" i="1"/>
  <c r="A606" i="1"/>
  <c r="C606" i="1"/>
  <c r="E606" i="1"/>
  <c r="A607" i="1"/>
  <c r="C607" i="1"/>
  <c r="E607" i="1"/>
  <c r="A608" i="1"/>
  <c r="C608" i="1"/>
  <c r="E608" i="1"/>
  <c r="A609" i="1"/>
  <c r="C609" i="1"/>
  <c r="E609" i="1"/>
  <c r="A610" i="1"/>
  <c r="C610" i="1"/>
  <c r="E610" i="1"/>
  <c r="A611" i="1"/>
  <c r="C611" i="1"/>
  <c r="E611" i="1"/>
  <c r="A612" i="1"/>
  <c r="C612" i="1"/>
  <c r="E612" i="1"/>
  <c r="A613" i="1"/>
  <c r="C613" i="1"/>
  <c r="E613" i="1"/>
  <c r="A614" i="1"/>
  <c r="C614" i="1"/>
  <c r="E614" i="1"/>
  <c r="A615" i="1"/>
  <c r="C615" i="1"/>
  <c r="E615" i="1"/>
  <c r="A616" i="1"/>
  <c r="C616" i="1"/>
  <c r="E616" i="1"/>
  <c r="A617" i="1"/>
  <c r="C617" i="1"/>
  <c r="E617" i="1"/>
  <c r="A618" i="1"/>
  <c r="C618" i="1"/>
  <c r="E618" i="1"/>
  <c r="A619" i="1"/>
  <c r="C619" i="1"/>
  <c r="E619" i="1"/>
  <c r="A620" i="1"/>
  <c r="C620" i="1"/>
  <c r="E620" i="1"/>
  <c r="A621" i="1"/>
  <c r="C621" i="1"/>
  <c r="E621" i="1"/>
  <c r="A622" i="1"/>
  <c r="C622" i="1"/>
  <c r="E622" i="1"/>
  <c r="A623" i="1"/>
  <c r="C623" i="1"/>
  <c r="E623" i="1"/>
  <c r="A624" i="1"/>
  <c r="C624" i="1"/>
  <c r="E624" i="1"/>
  <c r="A625" i="1"/>
  <c r="C625" i="1"/>
  <c r="E625" i="1"/>
  <c r="A626" i="1"/>
  <c r="C626" i="1"/>
  <c r="E626" i="1"/>
  <c r="A627" i="1"/>
  <c r="C627" i="1"/>
  <c r="E627" i="1"/>
  <c r="A628" i="1"/>
  <c r="C628" i="1"/>
  <c r="E628" i="1"/>
  <c r="A629" i="1"/>
  <c r="C629" i="1"/>
  <c r="E629" i="1"/>
  <c r="A630" i="1"/>
  <c r="C630" i="1"/>
  <c r="E630" i="1"/>
  <c r="A631" i="1"/>
  <c r="C631" i="1"/>
  <c r="E631" i="1"/>
  <c r="A632" i="1"/>
  <c r="C632" i="1"/>
  <c r="E632" i="1"/>
  <c r="A633" i="1"/>
  <c r="C633" i="1"/>
  <c r="E633" i="1"/>
  <c r="A634" i="1"/>
  <c r="C634" i="1"/>
  <c r="E634" i="1"/>
  <c r="A635" i="1"/>
  <c r="C635" i="1"/>
  <c r="E635" i="1"/>
  <c r="A636" i="1"/>
  <c r="C636" i="1"/>
  <c r="E636" i="1"/>
  <c r="A637" i="1"/>
  <c r="C637" i="1"/>
  <c r="E637" i="1"/>
  <c r="A638" i="1"/>
  <c r="C638" i="1"/>
  <c r="E638" i="1"/>
  <c r="A639" i="1"/>
  <c r="C639" i="1"/>
  <c r="E639" i="1"/>
  <c r="A640" i="1"/>
  <c r="C640" i="1"/>
  <c r="E640" i="1"/>
  <c r="A641" i="1"/>
  <c r="C641" i="1"/>
  <c r="E641" i="1"/>
  <c r="A642" i="1"/>
  <c r="C642" i="1"/>
  <c r="E642" i="1"/>
  <c r="A643" i="1"/>
  <c r="C643" i="1"/>
  <c r="E643" i="1"/>
  <c r="A644" i="1"/>
  <c r="C644" i="1"/>
  <c r="E644" i="1"/>
  <c r="A645" i="1"/>
  <c r="C645" i="1"/>
  <c r="E645" i="1"/>
  <c r="A646" i="1"/>
  <c r="C646" i="1"/>
  <c r="E646" i="1"/>
  <c r="A647" i="1"/>
  <c r="C647" i="1"/>
  <c r="E647" i="1"/>
  <c r="A648" i="1"/>
  <c r="C648" i="1"/>
  <c r="E648" i="1"/>
  <c r="A649" i="1"/>
  <c r="C649" i="1"/>
  <c r="E649" i="1"/>
  <c r="A650" i="1"/>
  <c r="C650" i="1"/>
  <c r="E650" i="1"/>
  <c r="A651" i="1"/>
  <c r="C651" i="1"/>
  <c r="E651" i="1"/>
  <c r="A652" i="1"/>
  <c r="C652" i="1"/>
  <c r="E652" i="1"/>
  <c r="A653" i="1"/>
  <c r="C653" i="1"/>
  <c r="E653" i="1"/>
  <c r="A654" i="1"/>
  <c r="C654" i="1"/>
  <c r="E654" i="1"/>
  <c r="A655" i="1"/>
  <c r="C655" i="1"/>
  <c r="E655" i="1"/>
  <c r="A656" i="1"/>
  <c r="C656" i="1"/>
  <c r="E656" i="1"/>
  <c r="A657" i="1"/>
  <c r="C657" i="1"/>
  <c r="E657" i="1"/>
  <c r="A658" i="1"/>
  <c r="C658" i="1"/>
  <c r="E658" i="1"/>
  <c r="A659" i="1"/>
  <c r="C659" i="1"/>
  <c r="E659" i="1"/>
  <c r="A660" i="1"/>
  <c r="C660" i="1"/>
  <c r="E660" i="1"/>
  <c r="A661" i="1"/>
  <c r="C661" i="1"/>
  <c r="E661" i="1"/>
  <c r="A662" i="1"/>
  <c r="C662" i="1"/>
  <c r="E662" i="1"/>
  <c r="A663" i="1"/>
  <c r="C663" i="1"/>
  <c r="E663" i="1"/>
  <c r="A664" i="1"/>
  <c r="C664" i="1"/>
  <c r="E664" i="1"/>
  <c r="A665" i="1"/>
  <c r="C665" i="1"/>
  <c r="E665" i="1"/>
  <c r="A666" i="1"/>
  <c r="C666" i="1"/>
  <c r="E666" i="1"/>
  <c r="A667" i="1"/>
  <c r="C667" i="1"/>
  <c r="E667" i="1"/>
  <c r="A668" i="1"/>
  <c r="C668" i="1"/>
  <c r="E668" i="1"/>
  <c r="A669" i="1"/>
  <c r="C669" i="1"/>
  <c r="E669" i="1"/>
  <c r="A670" i="1"/>
  <c r="C670" i="1"/>
  <c r="E670" i="1"/>
  <c r="A671" i="1"/>
  <c r="C671" i="1"/>
  <c r="E671" i="1"/>
  <c r="A672" i="1"/>
  <c r="C672" i="1"/>
  <c r="E672" i="1"/>
  <c r="A673" i="1"/>
  <c r="C673" i="1"/>
  <c r="E673" i="1"/>
  <c r="A674" i="1"/>
  <c r="C674" i="1"/>
  <c r="E674" i="1"/>
  <c r="A675" i="1"/>
  <c r="C675" i="1"/>
  <c r="E675" i="1"/>
  <c r="A676" i="1"/>
  <c r="C676" i="1"/>
  <c r="E676" i="1"/>
  <c r="A677" i="1"/>
  <c r="C677" i="1"/>
  <c r="E677" i="1"/>
  <c r="A678" i="1"/>
  <c r="C678" i="1"/>
  <c r="E678" i="1"/>
  <c r="A679" i="1"/>
  <c r="C679" i="1"/>
  <c r="E679" i="1"/>
  <c r="A680" i="1"/>
  <c r="C680" i="1"/>
  <c r="E680" i="1"/>
  <c r="A681" i="1"/>
  <c r="C681" i="1"/>
  <c r="E681" i="1"/>
  <c r="A682" i="1"/>
  <c r="C682" i="1"/>
  <c r="E682" i="1"/>
  <c r="A683" i="1"/>
  <c r="C683" i="1"/>
  <c r="E683" i="1"/>
  <c r="A684" i="1"/>
  <c r="C684" i="1"/>
  <c r="E684" i="1"/>
  <c r="A685" i="1"/>
  <c r="C685" i="1"/>
  <c r="E685" i="1"/>
  <c r="A686" i="1"/>
  <c r="C686" i="1"/>
  <c r="E686" i="1"/>
  <c r="A687" i="1"/>
  <c r="C687" i="1"/>
  <c r="E687" i="1"/>
  <c r="A688" i="1"/>
  <c r="C688" i="1"/>
  <c r="E688" i="1"/>
  <c r="A689" i="1"/>
  <c r="C689" i="1"/>
  <c r="E689" i="1"/>
  <c r="A690" i="1"/>
  <c r="C690" i="1"/>
  <c r="E690" i="1"/>
  <c r="A691" i="1"/>
  <c r="C691" i="1"/>
  <c r="E691" i="1"/>
  <c r="A692" i="1"/>
  <c r="C692" i="1"/>
  <c r="E692" i="1"/>
  <c r="A693" i="1"/>
  <c r="C693" i="1"/>
  <c r="E693" i="1"/>
  <c r="A694" i="1"/>
  <c r="C694" i="1"/>
  <c r="E694" i="1"/>
  <c r="A695" i="1"/>
  <c r="C695" i="1"/>
  <c r="E695" i="1"/>
  <c r="A696" i="1"/>
  <c r="C696" i="1"/>
  <c r="E696" i="1"/>
  <c r="A697" i="1"/>
  <c r="C697" i="1"/>
  <c r="E697" i="1"/>
  <c r="A698" i="1"/>
  <c r="C698" i="1"/>
  <c r="E698" i="1"/>
  <c r="A699" i="1"/>
  <c r="C699" i="1"/>
  <c r="E699" i="1"/>
  <c r="A700" i="1"/>
  <c r="C700" i="1"/>
  <c r="E700" i="1"/>
  <c r="A701" i="1"/>
  <c r="C701" i="1"/>
  <c r="E701" i="1"/>
  <c r="A702" i="1"/>
  <c r="C702" i="1"/>
  <c r="E702" i="1"/>
  <c r="A703" i="1"/>
  <c r="C703" i="1"/>
  <c r="E703" i="1"/>
  <c r="A704" i="1"/>
  <c r="C704" i="1"/>
  <c r="E704" i="1"/>
  <c r="A705" i="1"/>
  <c r="C705" i="1"/>
  <c r="E705" i="1"/>
  <c r="A706" i="1"/>
  <c r="C706" i="1"/>
  <c r="E706" i="1"/>
  <c r="A707" i="1"/>
  <c r="C707" i="1"/>
  <c r="E707" i="1"/>
  <c r="A708" i="1"/>
  <c r="C708" i="1"/>
  <c r="E708" i="1"/>
  <c r="A709" i="1"/>
  <c r="C709" i="1"/>
  <c r="E709" i="1"/>
  <c r="A710" i="1"/>
  <c r="C710" i="1"/>
  <c r="E710" i="1"/>
  <c r="A711" i="1"/>
  <c r="C711" i="1"/>
  <c r="E711" i="1"/>
  <c r="A712" i="1"/>
  <c r="C712" i="1"/>
  <c r="E712" i="1"/>
  <c r="A713" i="1"/>
  <c r="C713" i="1"/>
  <c r="E713" i="1"/>
  <c r="A714" i="1"/>
  <c r="C714" i="1"/>
  <c r="E714" i="1"/>
  <c r="A715" i="1"/>
  <c r="C715" i="1"/>
  <c r="E715" i="1"/>
  <c r="A716" i="1"/>
  <c r="C716" i="1"/>
  <c r="E716" i="1"/>
  <c r="A717" i="1"/>
  <c r="C717" i="1"/>
  <c r="E717" i="1"/>
  <c r="A718" i="1"/>
  <c r="C718" i="1"/>
  <c r="E718" i="1"/>
  <c r="A719" i="1"/>
  <c r="C719" i="1"/>
  <c r="E719" i="1"/>
  <c r="A720" i="1"/>
  <c r="C720" i="1"/>
  <c r="E720" i="1"/>
  <c r="A721" i="1"/>
  <c r="C721" i="1"/>
  <c r="E721" i="1"/>
  <c r="A722" i="1"/>
  <c r="C722" i="1"/>
  <c r="E722" i="1"/>
  <c r="A723" i="1"/>
  <c r="C723" i="1"/>
  <c r="E723" i="1"/>
  <c r="A724" i="1"/>
  <c r="C724" i="1"/>
  <c r="E724" i="1"/>
  <c r="A725" i="1"/>
  <c r="C725" i="1"/>
  <c r="E725" i="1"/>
  <c r="A726" i="1"/>
  <c r="C726" i="1"/>
  <c r="E726" i="1"/>
  <c r="A727" i="1"/>
  <c r="C727" i="1"/>
  <c r="E727" i="1"/>
  <c r="A728" i="1"/>
  <c r="C728" i="1"/>
  <c r="E728" i="1"/>
  <c r="A729" i="1"/>
  <c r="C729" i="1"/>
  <c r="E729" i="1"/>
  <c r="A730" i="1"/>
  <c r="C730" i="1"/>
  <c r="E730" i="1"/>
  <c r="A731" i="1"/>
  <c r="C731" i="1"/>
  <c r="E731" i="1"/>
  <c r="A732" i="1"/>
  <c r="C732" i="1"/>
  <c r="E732" i="1"/>
  <c r="A733" i="1"/>
  <c r="C733" i="1"/>
  <c r="E733" i="1"/>
  <c r="A734" i="1"/>
  <c r="C734" i="1"/>
  <c r="E734" i="1"/>
  <c r="A735" i="1"/>
  <c r="C735" i="1"/>
  <c r="E735" i="1"/>
  <c r="A736" i="1"/>
  <c r="C736" i="1"/>
  <c r="E736" i="1"/>
  <c r="A737" i="1"/>
  <c r="C737" i="1"/>
  <c r="E737" i="1"/>
  <c r="A738" i="1"/>
  <c r="C738" i="1"/>
  <c r="E738" i="1"/>
  <c r="A739" i="1"/>
  <c r="C739" i="1"/>
  <c r="E739" i="1"/>
  <c r="A740" i="1"/>
  <c r="C740" i="1"/>
  <c r="E740" i="1"/>
  <c r="A741" i="1"/>
  <c r="C741" i="1"/>
  <c r="E741" i="1"/>
  <c r="A742" i="1"/>
  <c r="C742" i="1"/>
  <c r="E742" i="1"/>
  <c r="A743" i="1"/>
  <c r="C743" i="1"/>
  <c r="E743" i="1"/>
  <c r="A744" i="1"/>
  <c r="C744" i="1"/>
  <c r="E744" i="1"/>
  <c r="A745" i="1"/>
  <c r="C745" i="1"/>
  <c r="E745" i="1"/>
  <c r="A746" i="1"/>
  <c r="C746" i="1"/>
  <c r="E746" i="1"/>
  <c r="A747" i="1"/>
  <c r="C747" i="1"/>
  <c r="E747" i="1"/>
  <c r="A748" i="1"/>
  <c r="C748" i="1"/>
  <c r="E748" i="1"/>
  <c r="A749" i="1"/>
  <c r="C749" i="1"/>
  <c r="E749" i="1"/>
  <c r="A750" i="1"/>
  <c r="C750" i="1"/>
  <c r="E750" i="1"/>
  <c r="A751" i="1"/>
  <c r="C751" i="1"/>
  <c r="E751" i="1"/>
  <c r="A752" i="1"/>
  <c r="C752" i="1"/>
  <c r="E752" i="1"/>
  <c r="A753" i="1"/>
  <c r="C753" i="1"/>
  <c r="E753" i="1"/>
  <c r="A754" i="1"/>
  <c r="C754" i="1"/>
  <c r="E754" i="1"/>
  <c r="A755" i="1"/>
  <c r="C755" i="1"/>
  <c r="E755" i="1"/>
  <c r="A756" i="1"/>
  <c r="C756" i="1"/>
  <c r="E756" i="1"/>
  <c r="A757" i="1"/>
  <c r="C757" i="1"/>
  <c r="E757" i="1"/>
  <c r="A758" i="1"/>
  <c r="C758" i="1"/>
  <c r="E758" i="1"/>
  <c r="A759" i="1"/>
  <c r="C759" i="1"/>
  <c r="E759" i="1"/>
  <c r="A760" i="1"/>
  <c r="C760" i="1"/>
  <c r="E760" i="1"/>
  <c r="A761" i="1"/>
  <c r="C761" i="1"/>
  <c r="E761" i="1"/>
  <c r="A762" i="1"/>
  <c r="C762" i="1"/>
  <c r="E762" i="1"/>
  <c r="A763" i="1"/>
  <c r="C763" i="1"/>
  <c r="E763" i="1"/>
  <c r="A764" i="1"/>
  <c r="C764" i="1"/>
  <c r="E764" i="1"/>
  <c r="A765" i="1"/>
  <c r="C765" i="1"/>
  <c r="E765" i="1"/>
  <c r="A766" i="1"/>
  <c r="C766" i="1"/>
  <c r="E766" i="1"/>
  <c r="A767" i="1"/>
  <c r="C767" i="1"/>
  <c r="E767" i="1"/>
  <c r="A768" i="1"/>
  <c r="C768" i="1"/>
  <c r="E768" i="1"/>
  <c r="A769" i="1"/>
  <c r="C769" i="1"/>
  <c r="E769" i="1"/>
  <c r="A770" i="1"/>
  <c r="C770" i="1"/>
  <c r="E770" i="1"/>
  <c r="A771" i="1"/>
  <c r="C771" i="1"/>
  <c r="E771" i="1"/>
  <c r="A772" i="1"/>
  <c r="C772" i="1"/>
  <c r="E772" i="1"/>
  <c r="A773" i="1"/>
  <c r="C773" i="1"/>
  <c r="E773" i="1"/>
  <c r="A774" i="1"/>
  <c r="C774" i="1"/>
  <c r="E774" i="1"/>
  <c r="A775" i="1"/>
  <c r="C775" i="1"/>
  <c r="E775" i="1"/>
  <c r="A776" i="1"/>
  <c r="C776" i="1"/>
  <c r="E776" i="1"/>
  <c r="A777" i="1"/>
  <c r="C777" i="1"/>
  <c r="E777" i="1"/>
  <c r="A778" i="1"/>
  <c r="C778" i="1"/>
  <c r="E778" i="1"/>
  <c r="A779" i="1"/>
  <c r="C779" i="1"/>
  <c r="E779" i="1"/>
  <c r="A780" i="1"/>
  <c r="C780" i="1"/>
  <c r="E780" i="1"/>
  <c r="A781" i="1"/>
  <c r="C781" i="1"/>
  <c r="E781" i="1"/>
  <c r="A782" i="1"/>
  <c r="C782" i="1"/>
  <c r="E782" i="1"/>
  <c r="A783" i="1"/>
  <c r="C783" i="1"/>
  <c r="E783" i="1"/>
  <c r="A784" i="1"/>
  <c r="C784" i="1"/>
  <c r="E784" i="1"/>
  <c r="A785" i="1"/>
  <c r="C785" i="1"/>
  <c r="E785" i="1"/>
  <c r="A786" i="1"/>
  <c r="C786" i="1"/>
  <c r="E786" i="1"/>
  <c r="A787" i="1"/>
  <c r="C787" i="1"/>
  <c r="E787" i="1"/>
  <c r="A788" i="1"/>
  <c r="C788" i="1"/>
  <c r="E788" i="1"/>
  <c r="A789" i="1"/>
  <c r="C789" i="1"/>
  <c r="E789" i="1"/>
  <c r="A790" i="1"/>
  <c r="C790" i="1"/>
  <c r="E790" i="1"/>
  <c r="A791" i="1"/>
  <c r="C791" i="1"/>
  <c r="E791" i="1"/>
  <c r="A792" i="1"/>
  <c r="C792" i="1"/>
  <c r="E792" i="1"/>
  <c r="A793" i="1"/>
  <c r="C793" i="1"/>
  <c r="E793" i="1"/>
  <c r="A794" i="1"/>
  <c r="C794" i="1"/>
  <c r="E794" i="1"/>
  <c r="A795" i="1"/>
  <c r="C795" i="1"/>
  <c r="E795" i="1"/>
  <c r="A796" i="1"/>
  <c r="C796" i="1"/>
  <c r="E796" i="1"/>
  <c r="A797" i="1"/>
  <c r="C797" i="1"/>
  <c r="E797" i="1"/>
  <c r="A798" i="1"/>
  <c r="C798" i="1"/>
  <c r="E798" i="1"/>
  <c r="A799" i="1"/>
  <c r="C799" i="1"/>
  <c r="E799" i="1"/>
  <c r="A800" i="1"/>
  <c r="C800" i="1"/>
  <c r="E800" i="1"/>
  <c r="A801" i="1"/>
  <c r="C801" i="1"/>
  <c r="E801" i="1"/>
  <c r="A802" i="1"/>
  <c r="C802" i="1"/>
  <c r="E802" i="1"/>
  <c r="A803" i="1"/>
  <c r="C803" i="1"/>
  <c r="E803" i="1"/>
  <c r="A804" i="1"/>
  <c r="C804" i="1"/>
  <c r="E804" i="1"/>
  <c r="A805" i="1"/>
  <c r="C805" i="1"/>
  <c r="E805" i="1"/>
  <c r="A806" i="1"/>
  <c r="C806" i="1"/>
  <c r="E806" i="1"/>
  <c r="A807" i="1"/>
  <c r="C807" i="1"/>
  <c r="E807" i="1"/>
  <c r="A808" i="1"/>
  <c r="C808" i="1"/>
  <c r="E808" i="1"/>
  <c r="A809" i="1"/>
  <c r="C809" i="1"/>
  <c r="E809" i="1"/>
  <c r="A810" i="1"/>
  <c r="C810" i="1"/>
  <c r="E810" i="1"/>
  <c r="A811" i="1"/>
  <c r="C811" i="1"/>
  <c r="E811" i="1"/>
  <c r="A812" i="1"/>
  <c r="C812" i="1"/>
  <c r="E812" i="1"/>
  <c r="A813" i="1"/>
  <c r="C813" i="1"/>
  <c r="E813" i="1"/>
  <c r="A814" i="1"/>
  <c r="C814" i="1"/>
  <c r="E814" i="1"/>
  <c r="A815" i="1"/>
  <c r="C815" i="1"/>
  <c r="E815" i="1"/>
  <c r="A816" i="1"/>
  <c r="C816" i="1"/>
  <c r="E816" i="1"/>
  <c r="A817" i="1"/>
  <c r="C817" i="1"/>
  <c r="E817" i="1"/>
  <c r="A818" i="1"/>
  <c r="C818" i="1"/>
  <c r="E818" i="1"/>
  <c r="A819" i="1"/>
  <c r="C819" i="1"/>
  <c r="E819" i="1"/>
  <c r="A820" i="1"/>
  <c r="C820" i="1"/>
  <c r="E820" i="1"/>
  <c r="A821" i="1"/>
  <c r="C821" i="1"/>
  <c r="E821" i="1"/>
  <c r="A822" i="1"/>
  <c r="C822" i="1"/>
  <c r="E822" i="1"/>
  <c r="A823" i="1"/>
  <c r="C823" i="1"/>
  <c r="E823" i="1"/>
  <c r="A824" i="1"/>
  <c r="C824" i="1"/>
  <c r="E824" i="1"/>
  <c r="A825" i="1"/>
  <c r="C825" i="1"/>
  <c r="E825" i="1"/>
  <c r="A826" i="1"/>
  <c r="C826" i="1"/>
  <c r="E826" i="1"/>
  <c r="A827" i="1"/>
  <c r="C827" i="1"/>
  <c r="E827" i="1"/>
  <c r="A828" i="1"/>
  <c r="C828" i="1"/>
  <c r="E828" i="1"/>
  <c r="A829" i="1"/>
  <c r="C829" i="1"/>
  <c r="E829" i="1"/>
  <c r="A830" i="1"/>
  <c r="C830" i="1"/>
  <c r="E830" i="1"/>
  <c r="A831" i="1"/>
  <c r="C831" i="1"/>
  <c r="E831" i="1"/>
  <c r="A832" i="1"/>
  <c r="C832" i="1"/>
  <c r="E832" i="1"/>
  <c r="A833" i="1"/>
  <c r="C833" i="1"/>
  <c r="E833" i="1"/>
  <c r="A834" i="1"/>
  <c r="C834" i="1"/>
  <c r="E834" i="1"/>
  <c r="A835" i="1"/>
  <c r="C835" i="1"/>
  <c r="E835" i="1"/>
  <c r="A836" i="1"/>
  <c r="C836" i="1"/>
  <c r="E836" i="1"/>
  <c r="A837" i="1"/>
  <c r="C837" i="1"/>
  <c r="E837" i="1"/>
  <c r="A838" i="1"/>
  <c r="C838" i="1"/>
  <c r="E838" i="1"/>
  <c r="A839" i="1"/>
  <c r="C839" i="1"/>
  <c r="E839" i="1"/>
  <c r="A840" i="1"/>
  <c r="C840" i="1"/>
  <c r="E840" i="1"/>
  <c r="A841" i="1"/>
  <c r="C841" i="1"/>
  <c r="E841" i="1"/>
  <c r="A842" i="1"/>
  <c r="C842" i="1"/>
  <c r="E842" i="1"/>
  <c r="A843" i="1"/>
  <c r="C843" i="1"/>
  <c r="E843" i="1"/>
  <c r="A844" i="1"/>
  <c r="C844" i="1"/>
  <c r="E844" i="1"/>
  <c r="A845" i="1"/>
  <c r="C845" i="1"/>
  <c r="E845" i="1"/>
  <c r="A846" i="1"/>
  <c r="C846" i="1"/>
  <c r="E846" i="1"/>
  <c r="A847" i="1"/>
  <c r="C847" i="1"/>
  <c r="E847" i="1"/>
  <c r="A848" i="1"/>
  <c r="C848" i="1"/>
  <c r="E848" i="1"/>
  <c r="A849" i="1"/>
  <c r="C849" i="1"/>
  <c r="E849" i="1"/>
  <c r="A850" i="1"/>
  <c r="C850" i="1"/>
  <c r="E850" i="1"/>
  <c r="A851" i="1"/>
  <c r="C851" i="1"/>
  <c r="E851" i="1"/>
  <c r="A852" i="1"/>
  <c r="C852" i="1"/>
  <c r="E852" i="1"/>
  <c r="A853" i="1"/>
  <c r="C853" i="1"/>
  <c r="E853" i="1"/>
  <c r="A854" i="1"/>
  <c r="C854" i="1"/>
  <c r="E854" i="1"/>
  <c r="A855" i="1"/>
  <c r="C855" i="1"/>
  <c r="E855" i="1"/>
  <c r="A856" i="1"/>
  <c r="C856" i="1"/>
  <c r="E856" i="1"/>
  <c r="A857" i="1"/>
  <c r="C857" i="1"/>
  <c r="E857" i="1"/>
  <c r="A858" i="1"/>
  <c r="C858" i="1"/>
  <c r="E858" i="1"/>
  <c r="A859" i="1"/>
  <c r="C859" i="1"/>
  <c r="E859" i="1"/>
  <c r="A860" i="1"/>
  <c r="C860" i="1"/>
  <c r="E860" i="1"/>
  <c r="A861" i="1"/>
  <c r="C861" i="1"/>
  <c r="E861" i="1"/>
  <c r="A862" i="1"/>
  <c r="C862" i="1"/>
  <c r="E862" i="1"/>
  <c r="A863" i="1"/>
  <c r="C863" i="1"/>
  <c r="E863" i="1"/>
  <c r="A864" i="1"/>
  <c r="C864" i="1"/>
  <c r="E864" i="1"/>
  <c r="A865" i="1"/>
  <c r="C865" i="1"/>
  <c r="E865" i="1"/>
  <c r="A866" i="1"/>
  <c r="C866" i="1"/>
  <c r="E866" i="1"/>
  <c r="A867" i="1"/>
  <c r="C867" i="1"/>
  <c r="E867" i="1"/>
  <c r="A868" i="1"/>
  <c r="C868" i="1"/>
  <c r="E868" i="1"/>
  <c r="A869" i="1"/>
  <c r="C869" i="1"/>
  <c r="E869" i="1"/>
  <c r="A870" i="1"/>
  <c r="C870" i="1"/>
  <c r="E870" i="1"/>
  <c r="A871" i="1"/>
  <c r="C871" i="1"/>
  <c r="E871" i="1"/>
  <c r="A872" i="1"/>
  <c r="C872" i="1"/>
  <c r="E872" i="1"/>
  <c r="A873" i="1"/>
  <c r="C873" i="1"/>
  <c r="E873" i="1"/>
  <c r="A874" i="1"/>
  <c r="C874" i="1"/>
  <c r="E874" i="1"/>
  <c r="A875" i="1"/>
  <c r="C875" i="1"/>
  <c r="E875" i="1"/>
  <c r="A876" i="1"/>
  <c r="C876" i="1"/>
  <c r="E876" i="1"/>
  <c r="A877" i="1"/>
  <c r="C877" i="1"/>
  <c r="E877" i="1"/>
  <c r="A878" i="1"/>
  <c r="C878" i="1"/>
  <c r="E878" i="1"/>
  <c r="A879" i="1"/>
  <c r="C879" i="1"/>
  <c r="E879" i="1"/>
  <c r="A880" i="1"/>
  <c r="C880" i="1"/>
  <c r="E880" i="1"/>
  <c r="A881" i="1"/>
  <c r="C881" i="1"/>
  <c r="E881" i="1"/>
  <c r="A882" i="1"/>
  <c r="C882" i="1"/>
  <c r="E882" i="1"/>
  <c r="A883" i="1"/>
  <c r="C883" i="1"/>
  <c r="E883" i="1"/>
  <c r="A884" i="1"/>
  <c r="C884" i="1"/>
  <c r="E884" i="1"/>
  <c r="A885" i="1"/>
  <c r="C885" i="1"/>
  <c r="E885" i="1"/>
  <c r="A886" i="1"/>
  <c r="C886" i="1"/>
  <c r="E886" i="1"/>
  <c r="A887" i="1"/>
  <c r="C887" i="1"/>
  <c r="E887" i="1"/>
  <c r="A888" i="1"/>
  <c r="C888" i="1"/>
  <c r="E888" i="1"/>
  <c r="A889" i="1"/>
  <c r="C889" i="1"/>
  <c r="E889" i="1"/>
  <c r="A890" i="1"/>
  <c r="C890" i="1"/>
  <c r="E890" i="1"/>
  <c r="A891" i="1"/>
  <c r="C891" i="1"/>
  <c r="E891" i="1"/>
  <c r="A892" i="1"/>
  <c r="C892" i="1"/>
  <c r="E892" i="1"/>
  <c r="A893" i="1"/>
  <c r="C893" i="1"/>
  <c r="E893" i="1"/>
  <c r="A894" i="1"/>
  <c r="C894" i="1"/>
  <c r="E894" i="1"/>
  <c r="A895" i="1"/>
  <c r="C895" i="1"/>
  <c r="E895" i="1"/>
  <c r="A896" i="1"/>
  <c r="C896" i="1"/>
  <c r="E896" i="1"/>
  <c r="A897" i="1"/>
  <c r="C897" i="1"/>
  <c r="E897" i="1"/>
  <c r="A898" i="1"/>
  <c r="C898" i="1"/>
  <c r="E898" i="1"/>
  <c r="A899" i="1"/>
  <c r="C899" i="1"/>
  <c r="E899" i="1"/>
  <c r="A900" i="1"/>
  <c r="C900" i="1"/>
  <c r="E900" i="1"/>
  <c r="A901" i="1"/>
  <c r="C901" i="1"/>
  <c r="E901" i="1"/>
  <c r="A902" i="1"/>
  <c r="C902" i="1"/>
  <c r="E902" i="1"/>
  <c r="A903" i="1"/>
  <c r="C903" i="1"/>
  <c r="E903" i="1"/>
  <c r="A904" i="1"/>
  <c r="C904" i="1"/>
  <c r="E904" i="1"/>
  <c r="A905" i="1"/>
  <c r="C905" i="1"/>
  <c r="E905" i="1"/>
  <c r="A906" i="1"/>
  <c r="C906" i="1"/>
  <c r="E906" i="1"/>
  <c r="A907" i="1"/>
  <c r="C907" i="1"/>
  <c r="E907" i="1"/>
  <c r="A908" i="1"/>
  <c r="C908" i="1"/>
  <c r="E908" i="1"/>
  <c r="A909" i="1"/>
  <c r="C909" i="1"/>
  <c r="E909" i="1"/>
  <c r="A910" i="1"/>
  <c r="C910" i="1"/>
  <c r="E910" i="1"/>
  <c r="A911" i="1"/>
  <c r="C911" i="1"/>
  <c r="E911" i="1"/>
  <c r="A912" i="1"/>
  <c r="C912" i="1"/>
  <c r="E912" i="1"/>
  <c r="A913" i="1"/>
  <c r="C913" i="1"/>
  <c r="E913" i="1"/>
  <c r="A914" i="1"/>
  <c r="C914" i="1"/>
  <c r="E914" i="1"/>
  <c r="A915" i="1"/>
  <c r="C915" i="1"/>
  <c r="E915" i="1"/>
  <c r="A916" i="1"/>
  <c r="C916" i="1"/>
  <c r="E916" i="1"/>
  <c r="A917" i="1"/>
  <c r="C917" i="1"/>
  <c r="E917" i="1"/>
  <c r="A918" i="1"/>
  <c r="C918" i="1"/>
  <c r="E918" i="1"/>
  <c r="A919" i="1"/>
  <c r="C919" i="1"/>
  <c r="E919" i="1"/>
  <c r="A920" i="1"/>
  <c r="C920" i="1"/>
  <c r="E920" i="1"/>
  <c r="A921" i="1"/>
  <c r="C921" i="1"/>
  <c r="E921" i="1"/>
  <c r="A922" i="1"/>
  <c r="C922" i="1"/>
  <c r="E922" i="1"/>
  <c r="A923" i="1"/>
  <c r="C923" i="1"/>
  <c r="E923" i="1"/>
  <c r="A924" i="1"/>
  <c r="C924" i="1"/>
  <c r="E924" i="1"/>
  <c r="A925" i="1"/>
  <c r="C925" i="1"/>
  <c r="E925" i="1"/>
  <c r="A926" i="1"/>
  <c r="C926" i="1"/>
  <c r="E926" i="1"/>
  <c r="A927" i="1"/>
  <c r="C927" i="1"/>
  <c r="E927" i="1"/>
  <c r="A928" i="1"/>
  <c r="C928" i="1"/>
  <c r="E928" i="1"/>
  <c r="A929" i="1"/>
  <c r="C929" i="1"/>
  <c r="E929" i="1"/>
  <c r="A930" i="1"/>
  <c r="C930" i="1"/>
  <c r="E930" i="1"/>
  <c r="A931" i="1"/>
  <c r="C931" i="1"/>
  <c r="E931" i="1"/>
  <c r="A932" i="1"/>
  <c r="C932" i="1"/>
  <c r="E932" i="1"/>
  <c r="A933" i="1"/>
  <c r="C933" i="1"/>
  <c r="E933" i="1"/>
  <c r="A934" i="1"/>
  <c r="C934" i="1"/>
  <c r="E934" i="1"/>
  <c r="A935" i="1"/>
  <c r="C935" i="1"/>
  <c r="E935" i="1"/>
  <c r="A936" i="1"/>
  <c r="C936" i="1"/>
  <c r="E936" i="1"/>
  <c r="A937" i="1"/>
  <c r="C937" i="1"/>
  <c r="E937" i="1"/>
  <c r="A938" i="1"/>
  <c r="C938" i="1"/>
  <c r="E938" i="1"/>
  <c r="A939" i="1"/>
  <c r="C939" i="1"/>
  <c r="E939" i="1"/>
  <c r="A940" i="1"/>
  <c r="C940" i="1"/>
  <c r="E940" i="1"/>
  <c r="A941" i="1"/>
  <c r="C941" i="1"/>
  <c r="E941" i="1"/>
  <c r="A942" i="1"/>
  <c r="C942" i="1"/>
  <c r="E942" i="1"/>
  <c r="A943" i="1"/>
  <c r="C943" i="1"/>
  <c r="E943" i="1"/>
  <c r="A944" i="1"/>
  <c r="C944" i="1"/>
  <c r="E944" i="1"/>
  <c r="A945" i="1"/>
  <c r="C945" i="1"/>
  <c r="E945" i="1"/>
  <c r="A946" i="1"/>
  <c r="C946" i="1"/>
  <c r="E946" i="1"/>
  <c r="A947" i="1"/>
  <c r="C947" i="1"/>
  <c r="E947" i="1"/>
  <c r="A948" i="1"/>
  <c r="C948" i="1"/>
  <c r="E948" i="1"/>
  <c r="A949" i="1"/>
  <c r="C949" i="1"/>
  <c r="E949" i="1"/>
  <c r="A950" i="1"/>
  <c r="C950" i="1"/>
  <c r="E950" i="1"/>
  <c r="A951" i="1"/>
  <c r="C951" i="1"/>
  <c r="E951" i="1"/>
  <c r="A952" i="1"/>
  <c r="C952" i="1"/>
  <c r="E952" i="1"/>
  <c r="A953" i="1"/>
  <c r="C953" i="1"/>
  <c r="E953" i="1"/>
  <c r="A954" i="1"/>
  <c r="C954" i="1"/>
  <c r="E954" i="1"/>
  <c r="A955" i="1"/>
  <c r="C955" i="1"/>
  <c r="E955" i="1"/>
  <c r="A956" i="1"/>
  <c r="C956" i="1"/>
  <c r="E956" i="1"/>
  <c r="A957" i="1"/>
  <c r="C957" i="1"/>
  <c r="E957" i="1"/>
  <c r="A958" i="1"/>
  <c r="C958" i="1"/>
  <c r="E958" i="1"/>
  <c r="A959" i="1"/>
  <c r="C959" i="1"/>
  <c r="E959" i="1"/>
  <c r="A960" i="1"/>
  <c r="C960" i="1"/>
  <c r="E960" i="1"/>
  <c r="A961" i="1"/>
  <c r="C961" i="1"/>
  <c r="E961" i="1"/>
  <c r="A962" i="1"/>
  <c r="C962" i="1"/>
  <c r="E962" i="1"/>
  <c r="A963" i="1"/>
  <c r="C963" i="1"/>
  <c r="E963" i="1"/>
  <c r="A964" i="1"/>
  <c r="C964" i="1"/>
  <c r="E964" i="1"/>
  <c r="A965" i="1"/>
  <c r="C965" i="1"/>
  <c r="E965" i="1"/>
  <c r="A966" i="1"/>
  <c r="C966" i="1"/>
  <c r="E966" i="1"/>
  <c r="A967" i="1"/>
  <c r="C967" i="1"/>
  <c r="E967" i="1"/>
  <c r="A968" i="1"/>
  <c r="C968" i="1"/>
  <c r="E968" i="1"/>
  <c r="A969" i="1"/>
  <c r="C969" i="1"/>
  <c r="E969" i="1"/>
  <c r="A970" i="1"/>
  <c r="C970" i="1"/>
  <c r="E970" i="1"/>
  <c r="A971" i="1"/>
  <c r="C971" i="1"/>
  <c r="E971" i="1"/>
  <c r="A972" i="1"/>
  <c r="C972" i="1"/>
  <c r="E972" i="1"/>
  <c r="A973" i="1"/>
  <c r="C973" i="1"/>
  <c r="E973" i="1"/>
  <c r="A974" i="1"/>
  <c r="C974" i="1"/>
  <c r="E974" i="1"/>
  <c r="A975" i="1"/>
  <c r="C975" i="1"/>
  <c r="E975" i="1"/>
  <c r="A976" i="1"/>
  <c r="C976" i="1"/>
  <c r="E976" i="1"/>
  <c r="A977" i="1"/>
  <c r="C977" i="1"/>
  <c r="E977" i="1"/>
  <c r="A978" i="1"/>
  <c r="C978" i="1"/>
  <c r="E978" i="1"/>
  <c r="A979" i="1"/>
  <c r="C979" i="1"/>
  <c r="E979" i="1"/>
  <c r="A980" i="1"/>
  <c r="C980" i="1"/>
  <c r="E980" i="1"/>
  <c r="A981" i="1"/>
  <c r="C981" i="1"/>
  <c r="E981" i="1"/>
  <c r="A982" i="1"/>
  <c r="C982" i="1"/>
  <c r="E982" i="1"/>
  <c r="A983" i="1"/>
  <c r="C983" i="1"/>
  <c r="E983" i="1"/>
  <c r="A984" i="1"/>
  <c r="C984" i="1"/>
  <c r="E984" i="1"/>
  <c r="A985" i="1"/>
  <c r="C985" i="1"/>
  <c r="E985" i="1"/>
  <c r="A986" i="1"/>
  <c r="C986" i="1"/>
  <c r="E986" i="1"/>
  <c r="A987" i="1"/>
  <c r="C987" i="1"/>
  <c r="E987" i="1"/>
  <c r="A988" i="1"/>
  <c r="C988" i="1"/>
  <c r="E988" i="1"/>
  <c r="A989" i="1"/>
  <c r="C989" i="1"/>
  <c r="E989" i="1"/>
  <c r="A990" i="1"/>
  <c r="C990" i="1"/>
  <c r="E990" i="1"/>
  <c r="A991" i="1"/>
  <c r="C991" i="1"/>
  <c r="E991" i="1"/>
  <c r="A992" i="1"/>
  <c r="C992" i="1"/>
  <c r="E992" i="1"/>
  <c r="A993" i="1"/>
  <c r="C993" i="1"/>
  <c r="E993" i="1"/>
  <c r="A994" i="1"/>
  <c r="C994" i="1"/>
  <c r="E994" i="1"/>
  <c r="A995" i="1"/>
  <c r="C995" i="1"/>
  <c r="E995" i="1"/>
  <c r="A996" i="1"/>
  <c r="C996" i="1"/>
  <c r="E996" i="1"/>
  <c r="A997" i="1"/>
  <c r="C997" i="1"/>
  <c r="E997" i="1"/>
  <c r="A998" i="1"/>
  <c r="C998" i="1"/>
  <c r="E998" i="1"/>
  <c r="A999" i="1"/>
  <c r="C999" i="1"/>
  <c r="E999" i="1"/>
  <c r="A1000" i="1"/>
  <c r="C1000" i="1"/>
  <c r="E1000" i="1"/>
  <c r="A1001" i="1"/>
  <c r="C1001" i="1"/>
  <c r="E1001" i="1"/>
  <c r="A1002" i="1"/>
  <c r="C1002" i="1"/>
  <c r="E1002" i="1"/>
  <c r="A1003" i="1"/>
  <c r="C1003" i="1"/>
  <c r="E1003" i="1"/>
  <c r="A1004" i="1"/>
  <c r="C1004" i="1"/>
  <c r="E1004" i="1"/>
  <c r="A1005" i="1"/>
  <c r="C1005" i="1"/>
  <c r="E1005" i="1"/>
  <c r="A1006" i="1"/>
  <c r="C1006" i="1"/>
  <c r="E1006" i="1"/>
  <c r="A1007" i="1"/>
  <c r="C1007" i="1"/>
  <c r="E1007" i="1"/>
  <c r="A1008" i="1"/>
  <c r="C1008" i="1"/>
  <c r="E1008" i="1"/>
  <c r="A1009" i="1"/>
  <c r="C1009" i="1"/>
  <c r="E1009" i="1"/>
  <c r="A1010" i="1"/>
  <c r="C1010" i="1"/>
  <c r="E1010" i="1"/>
  <c r="A1011" i="1"/>
  <c r="C1011" i="1"/>
  <c r="E1011" i="1"/>
  <c r="A1012" i="1"/>
  <c r="C1012" i="1"/>
  <c r="E1012" i="1"/>
  <c r="A1013" i="1"/>
  <c r="C1013" i="1"/>
  <c r="E1013" i="1"/>
  <c r="A1014" i="1"/>
  <c r="C1014" i="1"/>
  <c r="E1014" i="1"/>
  <c r="A1015" i="1"/>
  <c r="C1015" i="1"/>
  <c r="E1015" i="1"/>
  <c r="A1016" i="1"/>
  <c r="C1016" i="1"/>
  <c r="E1016" i="1"/>
  <c r="A1017" i="1"/>
  <c r="C1017" i="1"/>
  <c r="E1017" i="1"/>
  <c r="A1018" i="1"/>
  <c r="C1018" i="1"/>
  <c r="E1018" i="1"/>
  <c r="A1019" i="1"/>
  <c r="C1019" i="1"/>
  <c r="E1019" i="1"/>
  <c r="A1020" i="1"/>
  <c r="C1020" i="1"/>
  <c r="E1020" i="1"/>
  <c r="A1021" i="1"/>
  <c r="C1021" i="1"/>
  <c r="E1021" i="1"/>
  <c r="A1022" i="1"/>
  <c r="C1022" i="1"/>
  <c r="E1022" i="1"/>
  <c r="A1023" i="1"/>
  <c r="C1023" i="1"/>
  <c r="E1023" i="1"/>
  <c r="A1024" i="1"/>
  <c r="C1024" i="1"/>
  <c r="E1024" i="1"/>
  <c r="A1025" i="1"/>
  <c r="C1025" i="1"/>
  <c r="E1025" i="1"/>
  <c r="A1026" i="1"/>
  <c r="C1026" i="1"/>
  <c r="E1026" i="1"/>
  <c r="A1027" i="1"/>
  <c r="C1027" i="1"/>
  <c r="E1027" i="1"/>
  <c r="A1028" i="1"/>
  <c r="C1028" i="1"/>
  <c r="E1028" i="1"/>
  <c r="A1029" i="1"/>
  <c r="C1029" i="1"/>
  <c r="E1029" i="1"/>
  <c r="A1030" i="1"/>
  <c r="C1030" i="1"/>
  <c r="E1030" i="1"/>
  <c r="A1031" i="1"/>
  <c r="C1031" i="1"/>
  <c r="E1031" i="1"/>
  <c r="A1032" i="1"/>
  <c r="C1032" i="1"/>
  <c r="E1032" i="1"/>
  <c r="A1033" i="1"/>
  <c r="C1033" i="1"/>
  <c r="E1033" i="1"/>
  <c r="A1034" i="1"/>
  <c r="C1034" i="1"/>
  <c r="E1034" i="1"/>
  <c r="A1035" i="1"/>
  <c r="C1035" i="1"/>
  <c r="E1035" i="1"/>
  <c r="A1036" i="1"/>
  <c r="C1036" i="1"/>
  <c r="E1036" i="1"/>
  <c r="A1037" i="1"/>
  <c r="C1037" i="1"/>
  <c r="E1037" i="1"/>
  <c r="A1038" i="1"/>
  <c r="C1038" i="1"/>
  <c r="E1038" i="1"/>
  <c r="A1039" i="1"/>
  <c r="C1039" i="1"/>
  <c r="E1039" i="1"/>
  <c r="A1040" i="1"/>
  <c r="C1040" i="1"/>
  <c r="E1040" i="1"/>
  <c r="A1041" i="1"/>
  <c r="C1041" i="1"/>
  <c r="E1041" i="1"/>
  <c r="A1042" i="1"/>
  <c r="C1042" i="1"/>
  <c r="E1042" i="1"/>
  <c r="A1043" i="1"/>
  <c r="C1043" i="1"/>
  <c r="E1043" i="1"/>
  <c r="A1044" i="1"/>
  <c r="C1044" i="1"/>
  <c r="E1044" i="1"/>
  <c r="A1045" i="1"/>
  <c r="C1045" i="1"/>
  <c r="E1045" i="1"/>
  <c r="A1046" i="1"/>
  <c r="C1046" i="1"/>
  <c r="E1046" i="1"/>
  <c r="A1047" i="1"/>
  <c r="C1047" i="1"/>
  <c r="E1047" i="1"/>
  <c r="A1048" i="1"/>
  <c r="C1048" i="1"/>
  <c r="E1048" i="1"/>
  <c r="A1049" i="1"/>
  <c r="C1049" i="1"/>
  <c r="E1049" i="1"/>
  <c r="A1050" i="1"/>
  <c r="C1050" i="1"/>
  <c r="E1050" i="1"/>
  <c r="A1051" i="1"/>
  <c r="C1051" i="1"/>
  <c r="E1051" i="1"/>
  <c r="A1052" i="1"/>
  <c r="C1052" i="1"/>
  <c r="E1052" i="1"/>
  <c r="A1053" i="1"/>
  <c r="C1053" i="1"/>
  <c r="E1053" i="1"/>
  <c r="A1054" i="1"/>
  <c r="C1054" i="1"/>
  <c r="E1054" i="1"/>
  <c r="A1055" i="1"/>
  <c r="C1055" i="1"/>
  <c r="E1055" i="1"/>
  <c r="A1056" i="1"/>
  <c r="C1056" i="1"/>
  <c r="E1056" i="1"/>
  <c r="A1057" i="1"/>
  <c r="C1057" i="1"/>
  <c r="E1057" i="1"/>
  <c r="A1058" i="1"/>
  <c r="C1058" i="1"/>
  <c r="E1058" i="1"/>
  <c r="A1059" i="1"/>
  <c r="C1059" i="1"/>
  <c r="E1059" i="1"/>
  <c r="A1060" i="1"/>
  <c r="C1060" i="1"/>
  <c r="E1060" i="1"/>
  <c r="A1061" i="1"/>
  <c r="C1061" i="1"/>
  <c r="E1061" i="1"/>
  <c r="A1062" i="1"/>
  <c r="C1062" i="1"/>
  <c r="E1062" i="1"/>
  <c r="A1063" i="1"/>
  <c r="C1063" i="1"/>
  <c r="E1063" i="1"/>
  <c r="A1064" i="1"/>
  <c r="C1064" i="1"/>
  <c r="E1064" i="1"/>
  <c r="A1065" i="1"/>
  <c r="C1065" i="1"/>
  <c r="E1065" i="1"/>
  <c r="A1066" i="1"/>
  <c r="C1066" i="1"/>
  <c r="E1066" i="1"/>
  <c r="A1067" i="1"/>
  <c r="C1067" i="1"/>
  <c r="E1067" i="1"/>
  <c r="A1068" i="1"/>
  <c r="C1068" i="1"/>
  <c r="E1068" i="1"/>
  <c r="A1069" i="1"/>
  <c r="C1069" i="1"/>
  <c r="E1069" i="1"/>
  <c r="A1070" i="1"/>
  <c r="C1070" i="1"/>
  <c r="E1070" i="1"/>
  <c r="A1071" i="1"/>
  <c r="C1071" i="1"/>
  <c r="E1071" i="1"/>
  <c r="A1072" i="1"/>
  <c r="C1072" i="1"/>
  <c r="E1072" i="1"/>
  <c r="A1073" i="1"/>
  <c r="C1073" i="1"/>
  <c r="E1073" i="1"/>
  <c r="A1074" i="1"/>
  <c r="C1074" i="1"/>
  <c r="E1074" i="1"/>
  <c r="A1075" i="1"/>
  <c r="C1075" i="1"/>
  <c r="E1075" i="1"/>
  <c r="A1076" i="1"/>
  <c r="C1076" i="1"/>
  <c r="E1076" i="1"/>
  <c r="A1077" i="1"/>
  <c r="C1077" i="1"/>
  <c r="E1077" i="1"/>
  <c r="A1078" i="1"/>
  <c r="C1078" i="1"/>
  <c r="E1078" i="1"/>
  <c r="A1079" i="1"/>
  <c r="C1079" i="1"/>
  <c r="E1079" i="1"/>
  <c r="A1080" i="1"/>
  <c r="C1080" i="1"/>
  <c r="E1080" i="1"/>
  <c r="A1081" i="1"/>
  <c r="C1081" i="1"/>
  <c r="E1081" i="1"/>
  <c r="A1082" i="1"/>
  <c r="C1082" i="1"/>
  <c r="E1082" i="1"/>
  <c r="A1083" i="1"/>
  <c r="C1083" i="1"/>
  <c r="E1083" i="1"/>
  <c r="A1084" i="1"/>
  <c r="C1084" i="1"/>
  <c r="E1084" i="1"/>
  <c r="A1085" i="1"/>
  <c r="C1085" i="1"/>
  <c r="E1085" i="1"/>
  <c r="A1086" i="1"/>
  <c r="C1086" i="1"/>
  <c r="E1086" i="1"/>
  <c r="A1087" i="1"/>
  <c r="C1087" i="1"/>
  <c r="E1087" i="1"/>
  <c r="A1088" i="1"/>
  <c r="C1088" i="1"/>
  <c r="E1088" i="1"/>
  <c r="A1089" i="1"/>
  <c r="C1089" i="1"/>
  <c r="E1089" i="1"/>
  <c r="A1090" i="1"/>
  <c r="C1090" i="1"/>
  <c r="E1090" i="1"/>
  <c r="A1091" i="1"/>
  <c r="C1091" i="1"/>
  <c r="E1091" i="1"/>
  <c r="A1092" i="1"/>
  <c r="C1092" i="1"/>
  <c r="E1092" i="1"/>
  <c r="A1093" i="1"/>
  <c r="C1093" i="1"/>
  <c r="E1093" i="1"/>
  <c r="A1094" i="1"/>
  <c r="C1094" i="1"/>
  <c r="E1094" i="1"/>
  <c r="A1095" i="1"/>
  <c r="C1095" i="1"/>
  <c r="E1095" i="1"/>
  <c r="A1096" i="1"/>
  <c r="C1096" i="1"/>
  <c r="E1096" i="1"/>
  <c r="A1097" i="1"/>
  <c r="C1097" i="1"/>
  <c r="E1097" i="1"/>
  <c r="A1098" i="1"/>
  <c r="C1098" i="1"/>
  <c r="E1098" i="1"/>
  <c r="A1099" i="1"/>
  <c r="C1099" i="1"/>
  <c r="E1099" i="1"/>
  <c r="A1100" i="1"/>
  <c r="C1100" i="1"/>
  <c r="E1100" i="1"/>
  <c r="A1101" i="1"/>
  <c r="C1101" i="1"/>
  <c r="E1101" i="1"/>
  <c r="A1102" i="1"/>
  <c r="C1102" i="1"/>
  <c r="E1102" i="1"/>
  <c r="A1103" i="1"/>
  <c r="C1103" i="1"/>
  <c r="E1103" i="1"/>
  <c r="A1104" i="1"/>
  <c r="C1104" i="1"/>
  <c r="E1104" i="1"/>
  <c r="A1105" i="1"/>
  <c r="C1105" i="1"/>
  <c r="E1105" i="1"/>
  <c r="A1106" i="1"/>
  <c r="C1106" i="1"/>
  <c r="E1106" i="1"/>
  <c r="A1107" i="1"/>
  <c r="C1107" i="1"/>
  <c r="E1107" i="1"/>
  <c r="A1108" i="1"/>
  <c r="C1108" i="1"/>
  <c r="E1108" i="1"/>
  <c r="A1109" i="1"/>
  <c r="C1109" i="1"/>
  <c r="E1109" i="1"/>
  <c r="A1110" i="1"/>
  <c r="C1110" i="1"/>
  <c r="E1110" i="1"/>
  <c r="A1111" i="1"/>
  <c r="C1111" i="1"/>
  <c r="E1111" i="1"/>
  <c r="A1112" i="1"/>
  <c r="C1112" i="1"/>
  <c r="E1112" i="1"/>
  <c r="A1113" i="1"/>
  <c r="C1113" i="1"/>
  <c r="E1113" i="1"/>
  <c r="A1114" i="1"/>
  <c r="C1114" i="1"/>
  <c r="E1114" i="1"/>
  <c r="A1115" i="1"/>
  <c r="C1115" i="1"/>
  <c r="E1115" i="1"/>
  <c r="A1116" i="1"/>
  <c r="C1116" i="1"/>
  <c r="E1116" i="1"/>
  <c r="A1117" i="1"/>
  <c r="C1117" i="1"/>
  <c r="E1117" i="1"/>
  <c r="A1118" i="1"/>
  <c r="C1118" i="1"/>
  <c r="E1118" i="1"/>
  <c r="A1119" i="1"/>
  <c r="C1119" i="1"/>
  <c r="E1119" i="1"/>
  <c r="A1120" i="1"/>
  <c r="C1120" i="1"/>
  <c r="E1120" i="1"/>
  <c r="A1121" i="1"/>
  <c r="C1121" i="1"/>
  <c r="E1121" i="1"/>
  <c r="A1122" i="1"/>
  <c r="C1122" i="1"/>
  <c r="E1122" i="1"/>
  <c r="A1123" i="1"/>
  <c r="C1123" i="1"/>
  <c r="E1123" i="1"/>
  <c r="A1124" i="1"/>
  <c r="C1124" i="1"/>
  <c r="E1124" i="1"/>
  <c r="A1125" i="1"/>
  <c r="C1125" i="1"/>
  <c r="E1125" i="1"/>
  <c r="A1126" i="1"/>
  <c r="C1126" i="1"/>
  <c r="E1126" i="1"/>
  <c r="A1127" i="1"/>
  <c r="C1127" i="1"/>
  <c r="E1127" i="1"/>
  <c r="A1128" i="1"/>
  <c r="C1128" i="1"/>
  <c r="E1128" i="1"/>
  <c r="A1129" i="1"/>
  <c r="C1129" i="1"/>
  <c r="E1129" i="1"/>
  <c r="A1130" i="1"/>
  <c r="C1130" i="1"/>
  <c r="E1130" i="1"/>
  <c r="A1131" i="1"/>
  <c r="C1131" i="1"/>
  <c r="E1131" i="1"/>
  <c r="A1132" i="1"/>
  <c r="C1132" i="1"/>
  <c r="E1132" i="1"/>
  <c r="A1133" i="1"/>
  <c r="C1133" i="1"/>
  <c r="E1133" i="1"/>
  <c r="A1134" i="1"/>
  <c r="C1134" i="1"/>
  <c r="E1134" i="1"/>
  <c r="A1135" i="1"/>
  <c r="C1135" i="1"/>
  <c r="E1135" i="1"/>
  <c r="A1136" i="1"/>
  <c r="C1136" i="1"/>
  <c r="E1136" i="1"/>
  <c r="A1137" i="1"/>
  <c r="C1137" i="1"/>
  <c r="E1137" i="1"/>
  <c r="A1138" i="1"/>
  <c r="C1138" i="1"/>
  <c r="E1138" i="1"/>
  <c r="A1139" i="1"/>
  <c r="C1139" i="1"/>
  <c r="E1139" i="1"/>
  <c r="A1140" i="1"/>
  <c r="C1140" i="1"/>
  <c r="E1140" i="1"/>
  <c r="A1141" i="1"/>
  <c r="C1141" i="1"/>
  <c r="E1141" i="1"/>
  <c r="A1142" i="1"/>
  <c r="C1142" i="1"/>
  <c r="E1142" i="1"/>
  <c r="A1143" i="1"/>
  <c r="C1143" i="1"/>
  <c r="E1143" i="1"/>
  <c r="A1144" i="1"/>
  <c r="C1144" i="1"/>
  <c r="E1144" i="1"/>
  <c r="A1145" i="1"/>
  <c r="C1145" i="1"/>
  <c r="E1145" i="1"/>
  <c r="A1146" i="1"/>
  <c r="C1146" i="1"/>
  <c r="E1146" i="1"/>
  <c r="A1147" i="1"/>
  <c r="C1147" i="1"/>
  <c r="E1147" i="1"/>
  <c r="A1148" i="1"/>
  <c r="C1148" i="1"/>
  <c r="E1148" i="1"/>
  <c r="A1149" i="1"/>
  <c r="C1149" i="1"/>
  <c r="E1149" i="1"/>
  <c r="A1150" i="1"/>
  <c r="C1150" i="1"/>
  <c r="E1150" i="1"/>
  <c r="A1151" i="1"/>
  <c r="C1151" i="1"/>
  <c r="E1151" i="1"/>
  <c r="A1152" i="1"/>
  <c r="C1152" i="1"/>
  <c r="E1152" i="1"/>
  <c r="A1153" i="1"/>
  <c r="C1153" i="1"/>
  <c r="E1153" i="1"/>
  <c r="A1154" i="1"/>
  <c r="C1154" i="1"/>
  <c r="E1154" i="1"/>
  <c r="A1155" i="1"/>
  <c r="C1155" i="1"/>
  <c r="E1155" i="1"/>
  <c r="A1156" i="1"/>
  <c r="C1156" i="1"/>
  <c r="E1156" i="1"/>
  <c r="A1157" i="1"/>
  <c r="C1157" i="1"/>
  <c r="E1157" i="1"/>
  <c r="A1158" i="1"/>
  <c r="C1158" i="1"/>
  <c r="E1158" i="1"/>
  <c r="A1159" i="1"/>
  <c r="C1159" i="1"/>
  <c r="E1159" i="1"/>
  <c r="A1160" i="1"/>
  <c r="C1160" i="1"/>
  <c r="E1160" i="1"/>
  <c r="A1161" i="1"/>
  <c r="C1161" i="1"/>
  <c r="E1161" i="1"/>
  <c r="A1162" i="1"/>
  <c r="C1162" i="1"/>
  <c r="E1162" i="1"/>
  <c r="A1163" i="1"/>
  <c r="C1163" i="1"/>
  <c r="E1163" i="1"/>
  <c r="A1164" i="1"/>
  <c r="C1164" i="1"/>
  <c r="E1164" i="1"/>
  <c r="A1165" i="1"/>
  <c r="C1165" i="1"/>
  <c r="E1165" i="1"/>
  <c r="A1166" i="1"/>
  <c r="C1166" i="1"/>
  <c r="E1166" i="1"/>
  <c r="A1167" i="1"/>
  <c r="C1167" i="1"/>
  <c r="E1167" i="1"/>
  <c r="A1168" i="1"/>
  <c r="C1168" i="1"/>
  <c r="E1168" i="1"/>
  <c r="A1169" i="1"/>
  <c r="C1169" i="1"/>
  <c r="E1169" i="1"/>
  <c r="A1170" i="1"/>
  <c r="C1170" i="1"/>
  <c r="E1170" i="1"/>
  <c r="A1171" i="1"/>
  <c r="C1171" i="1"/>
  <c r="E1171" i="1"/>
  <c r="A1172" i="1"/>
  <c r="C1172" i="1"/>
  <c r="E1172" i="1"/>
  <c r="A1173" i="1"/>
  <c r="C1173" i="1"/>
  <c r="E1173" i="1"/>
  <c r="A1174" i="1"/>
  <c r="C1174" i="1"/>
  <c r="E1174" i="1"/>
  <c r="A1175" i="1"/>
  <c r="C1175" i="1"/>
  <c r="E1175" i="1"/>
  <c r="A1176" i="1"/>
  <c r="C1176" i="1"/>
  <c r="E1176" i="1"/>
  <c r="A1177" i="1"/>
  <c r="C1177" i="1"/>
  <c r="E1177" i="1"/>
  <c r="A1178" i="1"/>
  <c r="C1178" i="1"/>
  <c r="E1178" i="1"/>
  <c r="A1179" i="1"/>
  <c r="C1179" i="1"/>
  <c r="E1179" i="1"/>
  <c r="A1180" i="1"/>
  <c r="C1180" i="1"/>
  <c r="E1180" i="1"/>
  <c r="A1181" i="1"/>
  <c r="C1181" i="1"/>
  <c r="E1181" i="1"/>
  <c r="A1182" i="1"/>
  <c r="C1182" i="1"/>
  <c r="E1182" i="1"/>
  <c r="A1183" i="1"/>
  <c r="C1183" i="1"/>
  <c r="E1183" i="1"/>
  <c r="A1184" i="1"/>
  <c r="C1184" i="1"/>
  <c r="E1184" i="1"/>
  <c r="A1185" i="1"/>
  <c r="C1185" i="1"/>
  <c r="E1185" i="1"/>
  <c r="A1186" i="1"/>
  <c r="C1186" i="1"/>
  <c r="E1186" i="1"/>
  <c r="A1187" i="1"/>
  <c r="C1187" i="1"/>
  <c r="E1187" i="1"/>
  <c r="A1188" i="1"/>
  <c r="C1188" i="1"/>
  <c r="E1188" i="1"/>
  <c r="A1189" i="1"/>
  <c r="C1189" i="1"/>
  <c r="E1189" i="1"/>
  <c r="A1190" i="1"/>
  <c r="C1190" i="1"/>
  <c r="E1190" i="1"/>
  <c r="A1191" i="1"/>
  <c r="C1191" i="1"/>
  <c r="E1191" i="1"/>
  <c r="A1192" i="1"/>
  <c r="C1192" i="1"/>
  <c r="E1192" i="1"/>
  <c r="A1193" i="1"/>
  <c r="C1193" i="1"/>
  <c r="E1193" i="1"/>
  <c r="A1194" i="1"/>
  <c r="C1194" i="1"/>
  <c r="E1194" i="1"/>
  <c r="A1195" i="1"/>
  <c r="C1195" i="1"/>
  <c r="E1195" i="1"/>
  <c r="A1196" i="1"/>
  <c r="C1196" i="1"/>
  <c r="E1196" i="1"/>
  <c r="A1197" i="1"/>
  <c r="C1197" i="1"/>
  <c r="E1197" i="1"/>
  <c r="A1198" i="1"/>
  <c r="C1198" i="1"/>
  <c r="E1198" i="1"/>
  <c r="A1199" i="1"/>
  <c r="C1199" i="1"/>
  <c r="E1199" i="1"/>
  <c r="A1200" i="1"/>
  <c r="C1200" i="1"/>
  <c r="E1200" i="1"/>
  <c r="A1201" i="1"/>
  <c r="C1201" i="1"/>
  <c r="E1201" i="1"/>
  <c r="A1202" i="1"/>
  <c r="C1202" i="1"/>
  <c r="E1202" i="1"/>
  <c r="A1203" i="1"/>
  <c r="C1203" i="1"/>
  <c r="E1203" i="1"/>
  <c r="A1204" i="1"/>
  <c r="C1204" i="1"/>
  <c r="E1204" i="1"/>
  <c r="A1205" i="1"/>
  <c r="C1205" i="1"/>
  <c r="E1205" i="1"/>
  <c r="A1206" i="1"/>
  <c r="C1206" i="1"/>
  <c r="E1206" i="1"/>
  <c r="A1207" i="1"/>
  <c r="C1207" i="1"/>
  <c r="E1207" i="1"/>
  <c r="A1208" i="1"/>
  <c r="C1208" i="1"/>
  <c r="E1208" i="1"/>
  <c r="A1209" i="1"/>
  <c r="C1209" i="1"/>
  <c r="E1209" i="1"/>
  <c r="A1210" i="1"/>
  <c r="C1210" i="1"/>
  <c r="E1210" i="1"/>
  <c r="A1211" i="1"/>
  <c r="C1211" i="1"/>
  <c r="E1211" i="1"/>
  <c r="A1212" i="1"/>
  <c r="C1212" i="1"/>
  <c r="E1212" i="1"/>
  <c r="A1213" i="1"/>
  <c r="C1213" i="1"/>
  <c r="E1213" i="1"/>
  <c r="A1214" i="1"/>
  <c r="C1214" i="1"/>
  <c r="E1214" i="1"/>
  <c r="A1215" i="1"/>
  <c r="C1215" i="1"/>
  <c r="E1215" i="1"/>
  <c r="A1216" i="1"/>
  <c r="C1216" i="1"/>
  <c r="E1216" i="1"/>
  <c r="A1217" i="1"/>
  <c r="C1217" i="1"/>
  <c r="E1217" i="1"/>
  <c r="A1218" i="1"/>
  <c r="C1218" i="1"/>
  <c r="E1218" i="1"/>
  <c r="A1219" i="1"/>
  <c r="C1219" i="1"/>
  <c r="E1219" i="1"/>
  <c r="A1220" i="1"/>
  <c r="C1220" i="1"/>
  <c r="E1220" i="1"/>
  <c r="A1221" i="1"/>
  <c r="C1221" i="1"/>
  <c r="E1221" i="1"/>
  <c r="A1222" i="1"/>
  <c r="C1222" i="1"/>
  <c r="E1222" i="1"/>
  <c r="A1223" i="1"/>
  <c r="C1223" i="1"/>
  <c r="E1223" i="1"/>
  <c r="A1224" i="1"/>
  <c r="C1224" i="1"/>
  <c r="E1224" i="1"/>
  <c r="A1225" i="1"/>
  <c r="C1225" i="1"/>
  <c r="E1225" i="1"/>
  <c r="A1226" i="1"/>
  <c r="C1226" i="1"/>
  <c r="E1226" i="1"/>
  <c r="A1227" i="1"/>
  <c r="C1227" i="1"/>
  <c r="E1227" i="1"/>
  <c r="A1228" i="1"/>
  <c r="C1228" i="1"/>
  <c r="E1228" i="1"/>
  <c r="A1229" i="1"/>
  <c r="C1229" i="1"/>
  <c r="E1229" i="1"/>
  <c r="A1230" i="1"/>
  <c r="C1230" i="1"/>
  <c r="E1230" i="1"/>
  <c r="A1231" i="1"/>
  <c r="C1231" i="1"/>
  <c r="E1231" i="1"/>
  <c r="A1232" i="1"/>
  <c r="C1232" i="1"/>
  <c r="E1232" i="1"/>
  <c r="A1233" i="1"/>
  <c r="C1233" i="1"/>
  <c r="E1233" i="1"/>
  <c r="A1234" i="1"/>
  <c r="C1234" i="1"/>
  <c r="E1234" i="1"/>
  <c r="A1235" i="1"/>
  <c r="C1235" i="1"/>
  <c r="E1235" i="1"/>
  <c r="A1236" i="1"/>
  <c r="C1236" i="1"/>
  <c r="E1236" i="1"/>
  <c r="A1237" i="1"/>
  <c r="C1237" i="1"/>
  <c r="E1237" i="1"/>
  <c r="A1238" i="1"/>
  <c r="C1238" i="1"/>
  <c r="E1238" i="1"/>
  <c r="A1239" i="1"/>
  <c r="C1239" i="1"/>
  <c r="E1239" i="1"/>
  <c r="A1240" i="1"/>
  <c r="C1240" i="1"/>
  <c r="E1240" i="1"/>
  <c r="A1241" i="1"/>
  <c r="C1241" i="1"/>
  <c r="E1241" i="1"/>
  <c r="A1242" i="1"/>
  <c r="C1242" i="1"/>
  <c r="E1242" i="1"/>
  <c r="A1243" i="1"/>
  <c r="C1243" i="1"/>
  <c r="E1243" i="1"/>
  <c r="A1244" i="1"/>
  <c r="C1244" i="1"/>
  <c r="E1244" i="1"/>
  <c r="A1245" i="1"/>
  <c r="C1245" i="1"/>
  <c r="E1245" i="1"/>
  <c r="A1246" i="1"/>
  <c r="C1246" i="1"/>
  <c r="E1246" i="1"/>
  <c r="A1247" i="1"/>
  <c r="C1247" i="1"/>
  <c r="E1247" i="1"/>
  <c r="A1248" i="1"/>
  <c r="C1248" i="1"/>
  <c r="E1248" i="1"/>
  <c r="A1249" i="1"/>
  <c r="C1249" i="1"/>
  <c r="E1249" i="1"/>
  <c r="A1250" i="1"/>
  <c r="C1250" i="1"/>
  <c r="E1250" i="1"/>
  <c r="A1251" i="1"/>
  <c r="C1251" i="1"/>
  <c r="E1251" i="1"/>
  <c r="A1252" i="1"/>
  <c r="C1252" i="1"/>
  <c r="E1252" i="1"/>
  <c r="A1253" i="1"/>
  <c r="C1253" i="1"/>
  <c r="E1253" i="1"/>
  <c r="A1254" i="1"/>
  <c r="C1254" i="1"/>
  <c r="E1254" i="1"/>
  <c r="A1255" i="1"/>
  <c r="C1255" i="1"/>
  <c r="E1255" i="1"/>
  <c r="A1256" i="1"/>
  <c r="C1256" i="1"/>
  <c r="E1256" i="1"/>
  <c r="A1257" i="1"/>
  <c r="C1257" i="1"/>
  <c r="E1257" i="1"/>
  <c r="A1258" i="1"/>
  <c r="C1258" i="1"/>
  <c r="E1258" i="1"/>
  <c r="A1259" i="1"/>
  <c r="C1259" i="1"/>
  <c r="E1259" i="1"/>
  <c r="A1260" i="1"/>
  <c r="C1260" i="1"/>
  <c r="E1260" i="1"/>
  <c r="A1261" i="1"/>
  <c r="C1261" i="1"/>
  <c r="E1261" i="1"/>
  <c r="A1262" i="1"/>
  <c r="C1262" i="1"/>
  <c r="E1262" i="1"/>
  <c r="A1263" i="1"/>
  <c r="C1263" i="1"/>
  <c r="E1263" i="1"/>
  <c r="A1264" i="1"/>
  <c r="C1264" i="1"/>
  <c r="E1264" i="1"/>
  <c r="A1265" i="1"/>
  <c r="C1265" i="1"/>
  <c r="E1265" i="1"/>
  <c r="A1266" i="1"/>
  <c r="C1266" i="1"/>
  <c r="E1266" i="1"/>
  <c r="A1267" i="1"/>
  <c r="C1267" i="1"/>
  <c r="E1267" i="1"/>
  <c r="A1268" i="1"/>
  <c r="C1268" i="1"/>
  <c r="E1268" i="1"/>
  <c r="A1269" i="1"/>
  <c r="C1269" i="1"/>
  <c r="E1269" i="1"/>
  <c r="A1270" i="1"/>
  <c r="C1270" i="1"/>
  <c r="E1270" i="1"/>
  <c r="A1271" i="1"/>
  <c r="C1271" i="1"/>
  <c r="E1271" i="1"/>
  <c r="A1272" i="1"/>
  <c r="C1272" i="1"/>
  <c r="E1272" i="1"/>
  <c r="A1273" i="1"/>
  <c r="C1273" i="1"/>
  <c r="E1273" i="1"/>
  <c r="A1274" i="1"/>
  <c r="C1274" i="1"/>
  <c r="E1274" i="1"/>
  <c r="A1275" i="1"/>
  <c r="C1275" i="1"/>
  <c r="E1275" i="1"/>
  <c r="A1276" i="1"/>
  <c r="C1276" i="1"/>
  <c r="E1276" i="1"/>
  <c r="A1277" i="1"/>
  <c r="C1277" i="1"/>
  <c r="E1277" i="1"/>
  <c r="A1278" i="1"/>
  <c r="C1278" i="1"/>
  <c r="E1278" i="1"/>
  <c r="A1279" i="1"/>
  <c r="C1279" i="1"/>
  <c r="E1279" i="1"/>
  <c r="A1280" i="1"/>
  <c r="C1280" i="1"/>
  <c r="E1280" i="1"/>
  <c r="A1281" i="1"/>
  <c r="C1281" i="1"/>
  <c r="E1281" i="1"/>
  <c r="A1282" i="1"/>
  <c r="C1282" i="1"/>
  <c r="E1282" i="1"/>
  <c r="A1283" i="1"/>
  <c r="C1283" i="1"/>
  <c r="E1283" i="1"/>
  <c r="A1284" i="1"/>
  <c r="C1284" i="1"/>
  <c r="E1284" i="1"/>
  <c r="A1285" i="1"/>
  <c r="C1285" i="1"/>
  <c r="E1285" i="1"/>
  <c r="A1286" i="1"/>
  <c r="C1286" i="1"/>
  <c r="E1286" i="1"/>
  <c r="A1287" i="1"/>
  <c r="C1287" i="1"/>
  <c r="E1287" i="1"/>
  <c r="A1288" i="1"/>
  <c r="C1288" i="1"/>
  <c r="E1288" i="1"/>
  <c r="A1289" i="1"/>
  <c r="C1289" i="1"/>
  <c r="E1289" i="1"/>
  <c r="A1290" i="1"/>
  <c r="C1290" i="1"/>
  <c r="E1290" i="1"/>
  <c r="A1291" i="1"/>
  <c r="C1291" i="1"/>
  <c r="E1291" i="1"/>
  <c r="A1292" i="1"/>
  <c r="C1292" i="1"/>
  <c r="E1292" i="1"/>
  <c r="A1293" i="1"/>
  <c r="C1293" i="1"/>
  <c r="E1293" i="1"/>
  <c r="A1294" i="1"/>
  <c r="C1294" i="1"/>
  <c r="E1294" i="1"/>
  <c r="A1295" i="1"/>
  <c r="C1295" i="1"/>
  <c r="E1295" i="1"/>
  <c r="A1296" i="1"/>
  <c r="C1296" i="1"/>
  <c r="E1296" i="1"/>
  <c r="A1297" i="1"/>
  <c r="C1297" i="1"/>
  <c r="E1297" i="1"/>
  <c r="A1298" i="1"/>
  <c r="C1298" i="1"/>
  <c r="E1298" i="1"/>
  <c r="A1299" i="1"/>
  <c r="C1299" i="1"/>
  <c r="E1299" i="1"/>
  <c r="A1300" i="1"/>
  <c r="C1300" i="1"/>
  <c r="E1300" i="1"/>
  <c r="A1301" i="1"/>
  <c r="C1301" i="1"/>
  <c r="E1301" i="1"/>
  <c r="A1302" i="1"/>
  <c r="C1302" i="1"/>
  <c r="E1302" i="1"/>
  <c r="A1303" i="1"/>
  <c r="C1303" i="1"/>
  <c r="E1303" i="1"/>
  <c r="A1304" i="1"/>
  <c r="C1304" i="1"/>
  <c r="E1304" i="1"/>
  <c r="A1305" i="1"/>
  <c r="C1305" i="1"/>
  <c r="E1305" i="1"/>
  <c r="A1306" i="1"/>
  <c r="C1306" i="1"/>
  <c r="E1306" i="1"/>
  <c r="A1307" i="1"/>
  <c r="C1307" i="1"/>
  <c r="E1307" i="1"/>
  <c r="A1308" i="1"/>
  <c r="C1308" i="1"/>
  <c r="E1308" i="1"/>
  <c r="A1309" i="1"/>
  <c r="C1309" i="1"/>
  <c r="E1309" i="1"/>
  <c r="A1310" i="1"/>
  <c r="C1310" i="1"/>
  <c r="E1310" i="1"/>
  <c r="A1311" i="1"/>
  <c r="C1311" i="1"/>
  <c r="E1311" i="1"/>
  <c r="A1312" i="1"/>
  <c r="C1312" i="1"/>
  <c r="E1312" i="1"/>
  <c r="A1313" i="1"/>
  <c r="C1313" i="1"/>
  <c r="E1313" i="1"/>
  <c r="A1314" i="1"/>
  <c r="C1314" i="1"/>
  <c r="E1314" i="1"/>
  <c r="A1315" i="1"/>
  <c r="C1315" i="1"/>
  <c r="E1315" i="1"/>
  <c r="A1316" i="1"/>
  <c r="C1316" i="1"/>
  <c r="E1316" i="1"/>
  <c r="A1317" i="1"/>
  <c r="C1317" i="1"/>
  <c r="E1317" i="1"/>
  <c r="A1318" i="1"/>
  <c r="C1318" i="1"/>
  <c r="E1318" i="1"/>
  <c r="A1319" i="1"/>
  <c r="C1319" i="1"/>
  <c r="E1319" i="1"/>
  <c r="A1320" i="1"/>
  <c r="C1320" i="1"/>
  <c r="E1320" i="1"/>
  <c r="A1321" i="1"/>
  <c r="C1321" i="1"/>
  <c r="E1321" i="1"/>
  <c r="A1322" i="1"/>
  <c r="C1322" i="1"/>
  <c r="E1322" i="1"/>
  <c r="A1323" i="1"/>
  <c r="C1323" i="1"/>
  <c r="E1323" i="1"/>
  <c r="A1324" i="1"/>
  <c r="C1324" i="1"/>
  <c r="E1324" i="1"/>
  <c r="A1325" i="1"/>
  <c r="C1325" i="1"/>
  <c r="E1325" i="1"/>
  <c r="A1326" i="1"/>
  <c r="C1326" i="1"/>
  <c r="E1326" i="1"/>
  <c r="A1327" i="1"/>
  <c r="C1327" i="1"/>
  <c r="E1327" i="1"/>
  <c r="A1328" i="1"/>
  <c r="C1328" i="1"/>
  <c r="E1328" i="1"/>
  <c r="A1329" i="1"/>
  <c r="C1329" i="1"/>
  <c r="E1329" i="1"/>
  <c r="A1330" i="1"/>
  <c r="C1330" i="1"/>
  <c r="E1330" i="1"/>
  <c r="A1331" i="1"/>
  <c r="C1331" i="1"/>
  <c r="E1331" i="1"/>
  <c r="A1332" i="1"/>
  <c r="C1332" i="1"/>
  <c r="E1332" i="1"/>
  <c r="A1333" i="1"/>
  <c r="C1333" i="1"/>
  <c r="E1333" i="1"/>
  <c r="A1334" i="1"/>
  <c r="C1334" i="1"/>
  <c r="E1334" i="1"/>
  <c r="A1335" i="1"/>
  <c r="C1335" i="1"/>
  <c r="E1335" i="1"/>
  <c r="A1336" i="1"/>
  <c r="C1336" i="1"/>
  <c r="E1336" i="1"/>
  <c r="A1337" i="1"/>
  <c r="C1337" i="1"/>
  <c r="E1337" i="1"/>
  <c r="A1338" i="1"/>
  <c r="C1338" i="1"/>
  <c r="E1338" i="1"/>
  <c r="A1339" i="1"/>
  <c r="C1339" i="1"/>
  <c r="E1339" i="1"/>
  <c r="A1340" i="1"/>
  <c r="C1340" i="1"/>
  <c r="E1340" i="1"/>
  <c r="A1341" i="1"/>
  <c r="C1341" i="1"/>
  <c r="E1341" i="1"/>
  <c r="A1342" i="1"/>
  <c r="C1342" i="1"/>
  <c r="E1342" i="1"/>
  <c r="A1343" i="1"/>
  <c r="C1343" i="1"/>
  <c r="E1343" i="1"/>
  <c r="A1344" i="1"/>
  <c r="C1344" i="1"/>
  <c r="E1344" i="1"/>
  <c r="A1345" i="1"/>
  <c r="C1345" i="1"/>
  <c r="E1345" i="1"/>
  <c r="A1346" i="1"/>
  <c r="C1346" i="1"/>
  <c r="E1346" i="1"/>
  <c r="A1347" i="1"/>
  <c r="C1347" i="1"/>
  <c r="E1347" i="1"/>
  <c r="A1348" i="1"/>
  <c r="C1348" i="1"/>
  <c r="E1348" i="1"/>
  <c r="A1349" i="1"/>
  <c r="C1349" i="1"/>
  <c r="E1349" i="1"/>
  <c r="A1350" i="1"/>
  <c r="C1350" i="1"/>
  <c r="E1350" i="1"/>
  <c r="A1351" i="1"/>
  <c r="C1351" i="1"/>
  <c r="E1351" i="1"/>
  <c r="A1352" i="1"/>
  <c r="C1352" i="1"/>
  <c r="E1352" i="1"/>
  <c r="A1353" i="1"/>
  <c r="C1353" i="1"/>
  <c r="E1353" i="1"/>
  <c r="A1354" i="1"/>
  <c r="C1354" i="1"/>
  <c r="E1354" i="1"/>
  <c r="A1355" i="1"/>
  <c r="C1355" i="1"/>
  <c r="E1355" i="1"/>
  <c r="A1356" i="1"/>
  <c r="C1356" i="1"/>
  <c r="E1356" i="1"/>
  <c r="A1357" i="1"/>
  <c r="C1357" i="1"/>
  <c r="E1357" i="1"/>
  <c r="A1358" i="1"/>
  <c r="C1358" i="1"/>
  <c r="E1358" i="1"/>
  <c r="A1359" i="1"/>
  <c r="C1359" i="1"/>
  <c r="E1359" i="1"/>
  <c r="A1360" i="1"/>
  <c r="C1360" i="1"/>
  <c r="E1360" i="1"/>
  <c r="A1361" i="1"/>
  <c r="C1361" i="1"/>
  <c r="E1361" i="1"/>
  <c r="A1362" i="1"/>
  <c r="C1362" i="1"/>
  <c r="E1362" i="1"/>
  <c r="A1363" i="1"/>
  <c r="C1363" i="1"/>
  <c r="E1363" i="1"/>
  <c r="A1364" i="1"/>
  <c r="C1364" i="1"/>
  <c r="E1364" i="1"/>
  <c r="A1365" i="1"/>
  <c r="C1365" i="1"/>
  <c r="E1365" i="1"/>
  <c r="A1366" i="1"/>
  <c r="C1366" i="1"/>
  <c r="E1366" i="1"/>
  <c r="A1367" i="1"/>
  <c r="C1367" i="1"/>
  <c r="E1367" i="1"/>
  <c r="A1368" i="1"/>
  <c r="C1368" i="1"/>
  <c r="E1368" i="1"/>
  <c r="A1369" i="1"/>
  <c r="C1369" i="1"/>
  <c r="E1369" i="1"/>
  <c r="A1370" i="1"/>
  <c r="C1370" i="1"/>
  <c r="E1370" i="1"/>
  <c r="A1371" i="1"/>
  <c r="C1371" i="1"/>
  <c r="E1371" i="1"/>
  <c r="A1372" i="1"/>
  <c r="C1372" i="1"/>
  <c r="E1372" i="1"/>
  <c r="A1373" i="1"/>
  <c r="C1373" i="1"/>
  <c r="E1373" i="1"/>
  <c r="A1374" i="1"/>
  <c r="C1374" i="1"/>
  <c r="E1374" i="1"/>
  <c r="A1375" i="1"/>
  <c r="C1375" i="1"/>
  <c r="E1375" i="1"/>
  <c r="A1376" i="1"/>
  <c r="C1376" i="1"/>
  <c r="E1376" i="1"/>
  <c r="A1377" i="1"/>
  <c r="C1377" i="1"/>
  <c r="E1377" i="1"/>
  <c r="A1378" i="1"/>
  <c r="C1378" i="1"/>
  <c r="E1378" i="1"/>
  <c r="A1379" i="1"/>
  <c r="C1379" i="1"/>
  <c r="E1379" i="1"/>
  <c r="A1380" i="1"/>
  <c r="C1380" i="1"/>
  <c r="E1380" i="1"/>
  <c r="A1381" i="1"/>
  <c r="C1381" i="1"/>
  <c r="E1381" i="1"/>
  <c r="A1382" i="1"/>
  <c r="C1382" i="1"/>
  <c r="E1382" i="1"/>
  <c r="A1383" i="1"/>
  <c r="C1383" i="1"/>
  <c r="E1383" i="1"/>
  <c r="A1384" i="1"/>
  <c r="C1384" i="1"/>
  <c r="E1384" i="1"/>
  <c r="A1385" i="1"/>
  <c r="C1385" i="1"/>
  <c r="E1385" i="1"/>
  <c r="A1386" i="1"/>
  <c r="C1386" i="1"/>
  <c r="E1386" i="1"/>
  <c r="A1387" i="1"/>
  <c r="C1387" i="1"/>
  <c r="E1387" i="1"/>
  <c r="A1388" i="1"/>
  <c r="C1388" i="1"/>
  <c r="E1388" i="1"/>
  <c r="A1389" i="1"/>
  <c r="C1389" i="1"/>
  <c r="E1389" i="1"/>
  <c r="A1390" i="1"/>
  <c r="C1390" i="1"/>
  <c r="E1390" i="1"/>
  <c r="A1391" i="1"/>
  <c r="C1391" i="1"/>
  <c r="E1391" i="1"/>
  <c r="A1392" i="1"/>
  <c r="C1392" i="1"/>
  <c r="E1392" i="1"/>
  <c r="A1393" i="1"/>
  <c r="C1393" i="1"/>
  <c r="E1393" i="1"/>
  <c r="A1394" i="1"/>
  <c r="C1394" i="1"/>
  <c r="E1394" i="1"/>
  <c r="A1395" i="1"/>
  <c r="C1395" i="1"/>
  <c r="E1395" i="1"/>
  <c r="A1396" i="1"/>
  <c r="C1396" i="1"/>
  <c r="E1396" i="1"/>
  <c r="A1397" i="1"/>
  <c r="C1397" i="1"/>
  <c r="E1397" i="1"/>
  <c r="A1398" i="1"/>
  <c r="C1398" i="1"/>
  <c r="E1398" i="1"/>
  <c r="A1399" i="1"/>
  <c r="C1399" i="1"/>
  <c r="E1399" i="1"/>
  <c r="A1400" i="1"/>
  <c r="C1400" i="1"/>
  <c r="E1400" i="1"/>
  <c r="A1401" i="1"/>
  <c r="C1401" i="1"/>
  <c r="E1401" i="1"/>
  <c r="A1402" i="1"/>
  <c r="C1402" i="1"/>
  <c r="E1402" i="1"/>
  <c r="A1403" i="1"/>
  <c r="C1403" i="1"/>
  <c r="E1403" i="1"/>
  <c r="A1404" i="1"/>
  <c r="C1404" i="1"/>
  <c r="E1404" i="1"/>
  <c r="A1405" i="1"/>
  <c r="C1405" i="1"/>
  <c r="E1405" i="1"/>
  <c r="A1406" i="1"/>
  <c r="C1406" i="1"/>
  <c r="E1406" i="1"/>
  <c r="A1407" i="1"/>
  <c r="C1407" i="1"/>
  <c r="E1407" i="1"/>
  <c r="A1408" i="1"/>
  <c r="C1408" i="1"/>
  <c r="E1408" i="1"/>
  <c r="A1409" i="1"/>
  <c r="C1409" i="1"/>
  <c r="E1409" i="1"/>
  <c r="A1410" i="1"/>
  <c r="C1410" i="1"/>
  <c r="E1410" i="1"/>
  <c r="A1411" i="1"/>
  <c r="C1411" i="1"/>
  <c r="E1411" i="1"/>
  <c r="A1412" i="1"/>
  <c r="C1412" i="1"/>
  <c r="E1412" i="1"/>
  <c r="A1413" i="1"/>
  <c r="C1413" i="1"/>
  <c r="E1413" i="1"/>
  <c r="A1414" i="1"/>
  <c r="C1414" i="1"/>
  <c r="E1414" i="1"/>
  <c r="A1415" i="1"/>
  <c r="C1415" i="1"/>
  <c r="E1415" i="1"/>
  <c r="A1416" i="1"/>
  <c r="C1416" i="1"/>
  <c r="E1416" i="1"/>
  <c r="A1417" i="1"/>
  <c r="C1417" i="1"/>
  <c r="E1417" i="1"/>
  <c r="A1418" i="1"/>
  <c r="C1418" i="1"/>
  <c r="E1418" i="1"/>
  <c r="A1419" i="1"/>
  <c r="C1419" i="1"/>
  <c r="E1419" i="1"/>
  <c r="A1420" i="1"/>
  <c r="C1420" i="1"/>
  <c r="E1420" i="1"/>
  <c r="A1421" i="1"/>
  <c r="C1421" i="1"/>
  <c r="E1421" i="1"/>
  <c r="A1422" i="1"/>
  <c r="C1422" i="1"/>
  <c r="E1422" i="1"/>
  <c r="A1423" i="1"/>
  <c r="C1423" i="1"/>
  <c r="E1423" i="1"/>
  <c r="A1424" i="1"/>
  <c r="C1424" i="1"/>
  <c r="E1424" i="1"/>
  <c r="A1425" i="1"/>
  <c r="C1425" i="1"/>
  <c r="E1425" i="1"/>
  <c r="A1426" i="1"/>
  <c r="C1426" i="1"/>
  <c r="E1426" i="1"/>
  <c r="A1427" i="1"/>
  <c r="C1427" i="1"/>
  <c r="E1427" i="1"/>
  <c r="A1428" i="1"/>
  <c r="C1428" i="1"/>
  <c r="E1428" i="1"/>
  <c r="A1429" i="1"/>
  <c r="C1429" i="1"/>
  <c r="E1429" i="1"/>
  <c r="A1430" i="1"/>
  <c r="C1430" i="1"/>
  <c r="E1430" i="1"/>
  <c r="A1431" i="1"/>
  <c r="C1431" i="1"/>
  <c r="E1431" i="1"/>
  <c r="A1432" i="1"/>
  <c r="C1432" i="1"/>
  <c r="E1432" i="1"/>
  <c r="A1433" i="1"/>
  <c r="C1433" i="1"/>
  <c r="E1433" i="1"/>
  <c r="A1434" i="1"/>
  <c r="C1434" i="1"/>
  <c r="E1434" i="1"/>
  <c r="A1435" i="1"/>
  <c r="C1435" i="1"/>
  <c r="E1435" i="1"/>
  <c r="A1436" i="1"/>
  <c r="C1436" i="1"/>
  <c r="E1436" i="1"/>
  <c r="A1437" i="1"/>
  <c r="C1437" i="1"/>
  <c r="E1437" i="1"/>
  <c r="A1438" i="1"/>
  <c r="C1438" i="1"/>
  <c r="E1438" i="1"/>
  <c r="A1439" i="1"/>
  <c r="C1439" i="1"/>
  <c r="E1439" i="1"/>
  <c r="A1440" i="1"/>
  <c r="C1440" i="1"/>
  <c r="E1440" i="1"/>
  <c r="A1441" i="1"/>
  <c r="C1441" i="1"/>
  <c r="E1441" i="1"/>
  <c r="A1442" i="1"/>
  <c r="C1442" i="1"/>
  <c r="E1442" i="1"/>
  <c r="A1443" i="1"/>
  <c r="C1443" i="1"/>
  <c r="E1443" i="1"/>
  <c r="A1444" i="1"/>
  <c r="C1444" i="1"/>
  <c r="E1444" i="1"/>
  <c r="A1445" i="1"/>
  <c r="C1445" i="1"/>
  <c r="E1445" i="1"/>
  <c r="A1446" i="1"/>
  <c r="C1446" i="1"/>
  <c r="E1446" i="1"/>
  <c r="A1447" i="1"/>
  <c r="C1447" i="1"/>
  <c r="E1447" i="1"/>
  <c r="A1448" i="1"/>
  <c r="C1448" i="1"/>
  <c r="E1448" i="1"/>
  <c r="A1449" i="1"/>
  <c r="C1449" i="1"/>
  <c r="E1449" i="1"/>
  <c r="A1450" i="1"/>
  <c r="C1450" i="1"/>
  <c r="E1450" i="1"/>
  <c r="A1451" i="1"/>
  <c r="C1451" i="1"/>
  <c r="E1451" i="1"/>
  <c r="A1452" i="1"/>
  <c r="C1452" i="1"/>
  <c r="E1452" i="1"/>
  <c r="A1453" i="1"/>
  <c r="C1453" i="1"/>
  <c r="E1453" i="1"/>
  <c r="A1454" i="1"/>
  <c r="C1454" i="1"/>
  <c r="E1454" i="1"/>
  <c r="A1455" i="1"/>
  <c r="C1455" i="1"/>
  <c r="E1455" i="1"/>
  <c r="A1456" i="1"/>
  <c r="C1456" i="1"/>
  <c r="E1456" i="1"/>
  <c r="A1457" i="1"/>
  <c r="C1457" i="1"/>
  <c r="E1457" i="1"/>
  <c r="A1458" i="1"/>
  <c r="C1458" i="1"/>
  <c r="E1458" i="1"/>
  <c r="A1459" i="1"/>
  <c r="C1459" i="1"/>
  <c r="E1459" i="1"/>
  <c r="A1460" i="1"/>
  <c r="C1460" i="1"/>
  <c r="E1460" i="1"/>
  <c r="A1461" i="1"/>
  <c r="C1461" i="1"/>
  <c r="E1461" i="1"/>
  <c r="A1462" i="1"/>
  <c r="C1462" i="1"/>
  <c r="E1462" i="1"/>
  <c r="A1463" i="1"/>
  <c r="C1463" i="1"/>
  <c r="E1463" i="1"/>
  <c r="A1464" i="1"/>
  <c r="C1464" i="1"/>
  <c r="E1464" i="1"/>
  <c r="A1465" i="1"/>
  <c r="C1465" i="1"/>
  <c r="E1465" i="1"/>
  <c r="A1466" i="1"/>
  <c r="C1466" i="1"/>
  <c r="E1466" i="1"/>
  <c r="A1467" i="1"/>
  <c r="C1467" i="1"/>
  <c r="E1467" i="1"/>
  <c r="A1468" i="1"/>
  <c r="C1468" i="1"/>
  <c r="E1468" i="1"/>
  <c r="A1469" i="1"/>
  <c r="C1469" i="1"/>
  <c r="E1469" i="1"/>
  <c r="A1470" i="1"/>
  <c r="C1470" i="1"/>
  <c r="E1470" i="1"/>
  <c r="A1471" i="1"/>
  <c r="C1471" i="1"/>
  <c r="E1471" i="1"/>
  <c r="A1472" i="1"/>
  <c r="C1472" i="1"/>
  <c r="E1472" i="1"/>
  <c r="A1473" i="1"/>
  <c r="C1473" i="1"/>
  <c r="E1473" i="1"/>
  <c r="A1474" i="1"/>
  <c r="C1474" i="1"/>
  <c r="E1474" i="1"/>
  <c r="A1475" i="1"/>
  <c r="C1475" i="1"/>
  <c r="E1475" i="1"/>
  <c r="A1476" i="1"/>
  <c r="C1476" i="1"/>
  <c r="E1476" i="1"/>
  <c r="A1477" i="1"/>
  <c r="C1477" i="1"/>
  <c r="E1477" i="1"/>
  <c r="A1478" i="1"/>
  <c r="C1478" i="1"/>
  <c r="E1478" i="1"/>
  <c r="A1479" i="1"/>
  <c r="C1479" i="1"/>
  <c r="E1479" i="1"/>
  <c r="A1480" i="1"/>
  <c r="C1480" i="1"/>
  <c r="E1480" i="1"/>
  <c r="A1481" i="1"/>
  <c r="C1481" i="1"/>
  <c r="E1481" i="1"/>
  <c r="A1482" i="1"/>
  <c r="C1482" i="1"/>
  <c r="E1482" i="1"/>
  <c r="A1483" i="1"/>
  <c r="C1483" i="1"/>
  <c r="E1483" i="1"/>
  <c r="A1484" i="1"/>
  <c r="C1484" i="1"/>
  <c r="E1484" i="1"/>
  <c r="A1485" i="1"/>
  <c r="C1485" i="1"/>
  <c r="E1485" i="1"/>
  <c r="A1486" i="1"/>
  <c r="C1486" i="1"/>
  <c r="E1486" i="1"/>
  <c r="A1487" i="1"/>
  <c r="C1487" i="1"/>
  <c r="E1487" i="1"/>
  <c r="A1488" i="1"/>
  <c r="C1488" i="1"/>
  <c r="E1488" i="1"/>
  <c r="A1489" i="1"/>
  <c r="C1489" i="1"/>
  <c r="E1489" i="1"/>
  <c r="A1490" i="1"/>
  <c r="C1490" i="1"/>
  <c r="E1490" i="1"/>
  <c r="A1491" i="1"/>
  <c r="C1491" i="1"/>
  <c r="E1491" i="1"/>
  <c r="A1492" i="1"/>
  <c r="C1492" i="1"/>
  <c r="E1492" i="1"/>
  <c r="A1493" i="1"/>
  <c r="C1493" i="1"/>
  <c r="E1493" i="1"/>
  <c r="A1494" i="1"/>
  <c r="C1494" i="1"/>
  <c r="E1494" i="1"/>
  <c r="A1495" i="1"/>
  <c r="C1495" i="1"/>
  <c r="E1495" i="1"/>
  <c r="A1496" i="1"/>
  <c r="C1496" i="1"/>
  <c r="E1496" i="1"/>
  <c r="A1497" i="1"/>
  <c r="C1497" i="1"/>
  <c r="E1497" i="1"/>
  <c r="A1498" i="1"/>
  <c r="C1498" i="1"/>
  <c r="E1498" i="1"/>
  <c r="A1499" i="1"/>
  <c r="C1499" i="1"/>
  <c r="E1499" i="1"/>
  <c r="A1500" i="1"/>
  <c r="C1500" i="1"/>
  <c r="E1500" i="1"/>
  <c r="A1501" i="1"/>
  <c r="C1501" i="1"/>
  <c r="E1501" i="1"/>
  <c r="A1502" i="1"/>
  <c r="C1502" i="1"/>
  <c r="E1502" i="1"/>
  <c r="A1503" i="1"/>
  <c r="C1503" i="1"/>
  <c r="E1503" i="1"/>
  <c r="A1504" i="1"/>
  <c r="C1504" i="1"/>
  <c r="E1504" i="1"/>
  <c r="A1505" i="1"/>
  <c r="C1505" i="1"/>
  <c r="E1505" i="1"/>
  <c r="A1506" i="1"/>
  <c r="C1506" i="1"/>
  <c r="E1506" i="1"/>
  <c r="A1507" i="1"/>
  <c r="C1507" i="1"/>
  <c r="E1507" i="1"/>
  <c r="A1508" i="1"/>
  <c r="C1508" i="1"/>
  <c r="E1508" i="1"/>
  <c r="A1509" i="1"/>
  <c r="C1509" i="1"/>
  <c r="E1509" i="1"/>
  <c r="A1510" i="1"/>
  <c r="C1510" i="1"/>
  <c r="E1510" i="1"/>
  <c r="A1511" i="1"/>
  <c r="C1511" i="1"/>
  <c r="E1511" i="1"/>
  <c r="A1512" i="1"/>
  <c r="C1512" i="1"/>
  <c r="E1512" i="1"/>
  <c r="A1513" i="1"/>
  <c r="C1513" i="1"/>
  <c r="E1513" i="1"/>
  <c r="A1514" i="1"/>
  <c r="C1514" i="1"/>
  <c r="E1514" i="1"/>
  <c r="A1515" i="1"/>
  <c r="C1515" i="1"/>
  <c r="E1515" i="1"/>
  <c r="A1516" i="1"/>
  <c r="C1516" i="1"/>
  <c r="E1516" i="1"/>
  <c r="A1517" i="1"/>
  <c r="C1517" i="1"/>
  <c r="E1517" i="1"/>
  <c r="A1518" i="1"/>
  <c r="C1518" i="1"/>
  <c r="E1518" i="1"/>
  <c r="A1519" i="1"/>
  <c r="C1519" i="1"/>
  <c r="E1519" i="1"/>
  <c r="A1520" i="1"/>
  <c r="C1520" i="1"/>
  <c r="E1520" i="1"/>
  <c r="A1521" i="1"/>
  <c r="C1521" i="1"/>
  <c r="E1521" i="1"/>
  <c r="A1522" i="1"/>
  <c r="C1522" i="1"/>
  <c r="E1522" i="1"/>
  <c r="A1523" i="1"/>
  <c r="C1523" i="1"/>
  <c r="E1523" i="1"/>
  <c r="A1524" i="1"/>
  <c r="C1524" i="1"/>
  <c r="E1524" i="1"/>
  <c r="A1525" i="1"/>
  <c r="C1525" i="1"/>
  <c r="E1525" i="1"/>
  <c r="A1526" i="1"/>
  <c r="C1526" i="1"/>
  <c r="E1526" i="1"/>
  <c r="A1527" i="1"/>
  <c r="C1527" i="1"/>
  <c r="E1527" i="1"/>
  <c r="A1528" i="1"/>
  <c r="C1528" i="1"/>
  <c r="E1528" i="1"/>
  <c r="A1529" i="1"/>
  <c r="C1529" i="1"/>
  <c r="E1529" i="1"/>
  <c r="A1530" i="1"/>
  <c r="C1530" i="1"/>
  <c r="E1530" i="1"/>
  <c r="A1531" i="1"/>
  <c r="C1531" i="1"/>
  <c r="E1531" i="1"/>
  <c r="A1532" i="1"/>
  <c r="C1532" i="1"/>
  <c r="E1532" i="1"/>
  <c r="A1533" i="1"/>
  <c r="C1533" i="1"/>
  <c r="E1533" i="1"/>
  <c r="A1534" i="1"/>
  <c r="C1534" i="1"/>
  <c r="E1534" i="1"/>
  <c r="A1535" i="1"/>
  <c r="C1535" i="1"/>
  <c r="E1535" i="1"/>
  <c r="A1536" i="1"/>
  <c r="C1536" i="1"/>
  <c r="E1536" i="1"/>
  <c r="A1537" i="1"/>
  <c r="C1537" i="1"/>
  <c r="E1537" i="1"/>
  <c r="A1538" i="1"/>
  <c r="C1538" i="1"/>
  <c r="E1538" i="1"/>
  <c r="A1539" i="1"/>
  <c r="C1539" i="1"/>
  <c r="E1539" i="1"/>
  <c r="A1540" i="1"/>
  <c r="C1540" i="1"/>
  <c r="E1540" i="1"/>
  <c r="A1541" i="1"/>
  <c r="C1541" i="1"/>
  <c r="E1541" i="1"/>
  <c r="A1542" i="1"/>
  <c r="C1542" i="1"/>
  <c r="E1542" i="1"/>
  <c r="A1543" i="1"/>
  <c r="C1543" i="1"/>
  <c r="E1543" i="1"/>
  <c r="A1544" i="1"/>
  <c r="C1544" i="1"/>
  <c r="E1544" i="1"/>
  <c r="A1545" i="1"/>
  <c r="C1545" i="1"/>
  <c r="E1545" i="1"/>
  <c r="A1546" i="1"/>
  <c r="C1546" i="1"/>
  <c r="E1546" i="1"/>
  <c r="A1547" i="1"/>
  <c r="C1547" i="1"/>
  <c r="E1547" i="1"/>
  <c r="A1548" i="1"/>
  <c r="C1548" i="1"/>
  <c r="E1548" i="1"/>
  <c r="A1549" i="1"/>
  <c r="C1549" i="1"/>
  <c r="E1549" i="1"/>
  <c r="A1550" i="1"/>
  <c r="C1550" i="1"/>
  <c r="E1550" i="1"/>
  <c r="A1551" i="1"/>
  <c r="C1551" i="1"/>
  <c r="E1551" i="1"/>
  <c r="A1552" i="1"/>
  <c r="C1552" i="1"/>
  <c r="E1552" i="1"/>
  <c r="A1553" i="1"/>
  <c r="C1553" i="1"/>
  <c r="E1553" i="1"/>
  <c r="A1554" i="1"/>
  <c r="C1554" i="1"/>
  <c r="E1554" i="1"/>
  <c r="A1555" i="1"/>
  <c r="C1555" i="1"/>
  <c r="E1555" i="1"/>
  <c r="A1556" i="1"/>
  <c r="C1556" i="1"/>
  <c r="E1556" i="1"/>
  <c r="A1557" i="1"/>
  <c r="C1557" i="1"/>
  <c r="E1557" i="1"/>
  <c r="A1558" i="1"/>
  <c r="C1558" i="1"/>
  <c r="E1558" i="1"/>
  <c r="A1559" i="1"/>
  <c r="C1559" i="1"/>
  <c r="E1559" i="1"/>
  <c r="A1560" i="1"/>
  <c r="C1560" i="1"/>
  <c r="E1560" i="1"/>
  <c r="A1561" i="1"/>
  <c r="C1561" i="1"/>
  <c r="E1561" i="1"/>
  <c r="A1562" i="1"/>
  <c r="C1562" i="1"/>
  <c r="E1562" i="1"/>
  <c r="A1563" i="1"/>
  <c r="C1563" i="1"/>
  <c r="E1563" i="1"/>
  <c r="A1564" i="1"/>
  <c r="C1564" i="1"/>
  <c r="E1564" i="1"/>
  <c r="A1565" i="1"/>
  <c r="C1565" i="1"/>
  <c r="E1565" i="1"/>
  <c r="A1566" i="1"/>
  <c r="C1566" i="1"/>
  <c r="E1566" i="1"/>
  <c r="A1567" i="1"/>
  <c r="C1567" i="1"/>
  <c r="E1567" i="1"/>
  <c r="A1568" i="1"/>
  <c r="C1568" i="1"/>
  <c r="E1568" i="1"/>
  <c r="A1569" i="1"/>
  <c r="C1569" i="1"/>
  <c r="E1569" i="1"/>
  <c r="A1570" i="1"/>
  <c r="C1570" i="1"/>
  <c r="E1570" i="1"/>
  <c r="A1571" i="1"/>
  <c r="C1571" i="1"/>
  <c r="E1571" i="1"/>
  <c r="A1572" i="1"/>
  <c r="C1572" i="1"/>
  <c r="E1572" i="1"/>
  <c r="A1573" i="1"/>
  <c r="C1573" i="1"/>
  <c r="E1573" i="1"/>
  <c r="A1574" i="1"/>
  <c r="C1574" i="1"/>
  <c r="E1574" i="1"/>
  <c r="A1575" i="1"/>
  <c r="C1575" i="1"/>
  <c r="E1575" i="1"/>
  <c r="A1576" i="1"/>
  <c r="C1576" i="1"/>
  <c r="E1576" i="1"/>
  <c r="A1577" i="1"/>
  <c r="C1577" i="1"/>
  <c r="E1577" i="1"/>
  <c r="A1578" i="1"/>
  <c r="C1578" i="1"/>
  <c r="E1578" i="1"/>
  <c r="A1579" i="1"/>
  <c r="C1579" i="1"/>
  <c r="E1579" i="1"/>
  <c r="A1580" i="1"/>
  <c r="C1580" i="1"/>
  <c r="E1580" i="1"/>
  <c r="A1581" i="1"/>
  <c r="C1581" i="1"/>
  <c r="E1581" i="1"/>
  <c r="A1582" i="1"/>
  <c r="C1582" i="1"/>
  <c r="E1582" i="1"/>
  <c r="A1583" i="1"/>
  <c r="C1583" i="1"/>
  <c r="E1583" i="1"/>
  <c r="A1584" i="1"/>
  <c r="C1584" i="1"/>
  <c r="E1584" i="1"/>
  <c r="A1585" i="1"/>
  <c r="C1585" i="1"/>
  <c r="E1585" i="1"/>
  <c r="A1586" i="1"/>
  <c r="C1586" i="1"/>
  <c r="E1586" i="1"/>
  <c r="A1587" i="1"/>
  <c r="C1587" i="1"/>
  <c r="E1587" i="1"/>
  <c r="A1588" i="1"/>
  <c r="C1588" i="1"/>
  <c r="E1588" i="1"/>
  <c r="A1589" i="1"/>
  <c r="C1589" i="1"/>
  <c r="E1589" i="1"/>
  <c r="A1590" i="1"/>
  <c r="C1590" i="1"/>
  <c r="E1590" i="1"/>
  <c r="A1591" i="1"/>
  <c r="C1591" i="1"/>
  <c r="E1591" i="1"/>
  <c r="A1592" i="1"/>
  <c r="C1592" i="1"/>
  <c r="E1592" i="1"/>
  <c r="A1593" i="1"/>
  <c r="C1593" i="1"/>
  <c r="E1593" i="1"/>
  <c r="A1594" i="1"/>
  <c r="C1594" i="1"/>
  <c r="E1594" i="1"/>
  <c r="A1595" i="1"/>
  <c r="C1595" i="1"/>
  <c r="E1595" i="1"/>
  <c r="A1596" i="1"/>
  <c r="C1596" i="1"/>
  <c r="E1596" i="1"/>
  <c r="A1597" i="1"/>
  <c r="C1597" i="1"/>
  <c r="E1597" i="1"/>
  <c r="A1598" i="1"/>
  <c r="C1598" i="1"/>
  <c r="E1598" i="1"/>
  <c r="A1599" i="1"/>
  <c r="C1599" i="1"/>
  <c r="E1599" i="1"/>
  <c r="A1600" i="1"/>
  <c r="C1600" i="1"/>
  <c r="E1600" i="1"/>
  <c r="A1601" i="1"/>
  <c r="C1601" i="1"/>
  <c r="E1601" i="1"/>
  <c r="A1602" i="1"/>
  <c r="C1602" i="1"/>
  <c r="E1602" i="1"/>
  <c r="A1603" i="1"/>
  <c r="C1603" i="1"/>
  <c r="E1603" i="1"/>
  <c r="A1604" i="1"/>
  <c r="C1604" i="1"/>
  <c r="E1604" i="1"/>
  <c r="A1605" i="1"/>
  <c r="C1605" i="1"/>
  <c r="E1605" i="1"/>
  <c r="A1606" i="1"/>
  <c r="C1606" i="1"/>
  <c r="E1606" i="1"/>
  <c r="A1607" i="1"/>
  <c r="C1607" i="1"/>
  <c r="E1607" i="1"/>
  <c r="A1608" i="1"/>
  <c r="C1608" i="1"/>
  <c r="E1608" i="1"/>
  <c r="A1609" i="1"/>
  <c r="C1609" i="1"/>
  <c r="E1609" i="1"/>
  <c r="A1610" i="1"/>
  <c r="C1610" i="1"/>
  <c r="E1610" i="1"/>
  <c r="A1611" i="1"/>
  <c r="C1611" i="1"/>
  <c r="E1611" i="1"/>
  <c r="A1612" i="1"/>
  <c r="C1612" i="1"/>
  <c r="E1612" i="1"/>
  <c r="A1613" i="1"/>
  <c r="C1613" i="1"/>
  <c r="E1613" i="1"/>
  <c r="A1614" i="1"/>
  <c r="C1614" i="1"/>
  <c r="E1614" i="1"/>
  <c r="A1615" i="1"/>
  <c r="C1615" i="1"/>
  <c r="E1615" i="1"/>
  <c r="A1616" i="1"/>
  <c r="C1616" i="1"/>
  <c r="E1616" i="1"/>
  <c r="A1617" i="1"/>
  <c r="C1617" i="1"/>
  <c r="E1617" i="1"/>
  <c r="A1618" i="1"/>
  <c r="C1618" i="1"/>
  <c r="E1618" i="1"/>
  <c r="A1619" i="1"/>
  <c r="C1619" i="1"/>
  <c r="E1619" i="1"/>
  <c r="A1620" i="1"/>
  <c r="C1620" i="1"/>
  <c r="E1620" i="1"/>
  <c r="A1621" i="1"/>
  <c r="C1621" i="1"/>
  <c r="E1621" i="1"/>
  <c r="A1622" i="1"/>
  <c r="C1622" i="1"/>
  <c r="E1622" i="1"/>
  <c r="A1623" i="1"/>
  <c r="C1623" i="1"/>
  <c r="E1623" i="1"/>
  <c r="A1624" i="1"/>
  <c r="C1624" i="1"/>
  <c r="E1624" i="1"/>
  <c r="A1625" i="1"/>
  <c r="C1625" i="1"/>
  <c r="E1625" i="1"/>
  <c r="A1626" i="1"/>
  <c r="C1626" i="1"/>
  <c r="E1626" i="1"/>
  <c r="A1627" i="1"/>
  <c r="C1627" i="1"/>
  <c r="E1627" i="1"/>
  <c r="A1628" i="1"/>
  <c r="C1628" i="1"/>
  <c r="E1628" i="1"/>
  <c r="A1629" i="1"/>
  <c r="C1629" i="1"/>
  <c r="E1629" i="1"/>
  <c r="A1630" i="1"/>
  <c r="C1630" i="1"/>
  <c r="E1630" i="1"/>
  <c r="A1631" i="1"/>
  <c r="C1631" i="1"/>
  <c r="E1631" i="1"/>
  <c r="A1632" i="1"/>
  <c r="C1632" i="1"/>
  <c r="E1632" i="1"/>
  <c r="A1633" i="1"/>
  <c r="C1633" i="1"/>
  <c r="E1633" i="1"/>
  <c r="A1634" i="1"/>
  <c r="C1634" i="1"/>
  <c r="E1634" i="1"/>
  <c r="A1635" i="1"/>
  <c r="C1635" i="1"/>
  <c r="E1635" i="1"/>
  <c r="A1636" i="1"/>
  <c r="C1636" i="1"/>
  <c r="E1636" i="1"/>
  <c r="A1637" i="1"/>
  <c r="C1637" i="1"/>
  <c r="E1637" i="1"/>
  <c r="A1638" i="1"/>
  <c r="C1638" i="1"/>
  <c r="E1638" i="1"/>
  <c r="A1639" i="1"/>
  <c r="C1639" i="1"/>
  <c r="E1639" i="1"/>
  <c r="A1640" i="1"/>
  <c r="C1640" i="1"/>
  <c r="E1640" i="1"/>
  <c r="A1641" i="1"/>
  <c r="C1641" i="1"/>
  <c r="E1641" i="1"/>
  <c r="A1642" i="1"/>
  <c r="C1642" i="1"/>
  <c r="E1642" i="1"/>
  <c r="A1643" i="1"/>
  <c r="C1643" i="1"/>
  <c r="E1643" i="1"/>
  <c r="A1644" i="1"/>
  <c r="C1644" i="1"/>
  <c r="E1644" i="1"/>
  <c r="A1645" i="1"/>
  <c r="C1645" i="1"/>
  <c r="E1645" i="1"/>
  <c r="A1646" i="1"/>
  <c r="C1646" i="1"/>
  <c r="E1646" i="1"/>
  <c r="A1647" i="1"/>
  <c r="C1647" i="1"/>
  <c r="E1647" i="1"/>
  <c r="A1648" i="1"/>
  <c r="C1648" i="1"/>
  <c r="E1648" i="1"/>
  <c r="A1649" i="1"/>
  <c r="C1649" i="1"/>
  <c r="E1649" i="1"/>
  <c r="A1650" i="1"/>
  <c r="C1650" i="1"/>
  <c r="E1650" i="1"/>
  <c r="A1651" i="1"/>
  <c r="C1651" i="1"/>
  <c r="E1651" i="1"/>
  <c r="A1652" i="1"/>
  <c r="C1652" i="1"/>
  <c r="E1652" i="1"/>
  <c r="A1653" i="1"/>
  <c r="C1653" i="1"/>
  <c r="E1653" i="1"/>
  <c r="A1654" i="1"/>
  <c r="C1654" i="1"/>
  <c r="E1654" i="1"/>
  <c r="A1655" i="1"/>
  <c r="C1655" i="1"/>
  <c r="E1655" i="1"/>
  <c r="A1656" i="1"/>
  <c r="C1656" i="1"/>
  <c r="E1656" i="1"/>
  <c r="A1657" i="1"/>
  <c r="C1657" i="1"/>
  <c r="E1657" i="1"/>
  <c r="A1658" i="1"/>
  <c r="C1658" i="1"/>
  <c r="E1658" i="1"/>
  <c r="A1659" i="1"/>
  <c r="C1659" i="1"/>
  <c r="E1659" i="1"/>
  <c r="A1660" i="1"/>
  <c r="C1660" i="1"/>
  <c r="E1660" i="1"/>
  <c r="A1661" i="1"/>
  <c r="C1661" i="1"/>
  <c r="E1661" i="1"/>
  <c r="A1662" i="1"/>
  <c r="C1662" i="1"/>
  <c r="E1662" i="1"/>
  <c r="A1663" i="1"/>
  <c r="C1663" i="1"/>
  <c r="E1663" i="1"/>
  <c r="A1664" i="1"/>
  <c r="C1664" i="1"/>
  <c r="E1664" i="1"/>
  <c r="A1665" i="1"/>
  <c r="C1665" i="1"/>
  <c r="E1665" i="1"/>
  <c r="A1666" i="1"/>
  <c r="C1666" i="1"/>
  <c r="E1666" i="1"/>
  <c r="A1667" i="1"/>
  <c r="C1667" i="1"/>
  <c r="E1667" i="1"/>
  <c r="A1668" i="1"/>
  <c r="C1668" i="1"/>
  <c r="E1668" i="1"/>
  <c r="A1669" i="1"/>
  <c r="C1669" i="1"/>
  <c r="E1669" i="1"/>
  <c r="A1670" i="1"/>
  <c r="C1670" i="1"/>
  <c r="E1670" i="1"/>
  <c r="A1671" i="1"/>
  <c r="C1671" i="1"/>
  <c r="E1671" i="1"/>
  <c r="A1672" i="1"/>
  <c r="C1672" i="1"/>
  <c r="E1672" i="1"/>
  <c r="A1673" i="1"/>
  <c r="C1673" i="1"/>
  <c r="E1673" i="1"/>
  <c r="A1674" i="1"/>
  <c r="C1674" i="1"/>
  <c r="E1674" i="1"/>
  <c r="A1675" i="1"/>
  <c r="C1675" i="1"/>
  <c r="E1675" i="1"/>
  <c r="A1676" i="1"/>
  <c r="C1676" i="1"/>
  <c r="E1676" i="1"/>
  <c r="A1677" i="1"/>
  <c r="C1677" i="1"/>
  <c r="E1677" i="1"/>
  <c r="A1678" i="1"/>
  <c r="C1678" i="1"/>
  <c r="E1678" i="1"/>
  <c r="A1679" i="1"/>
  <c r="C1679" i="1"/>
  <c r="E1679" i="1"/>
  <c r="A1680" i="1"/>
  <c r="C1680" i="1"/>
  <c r="E1680" i="1"/>
  <c r="A1681" i="1"/>
  <c r="C1681" i="1"/>
  <c r="E1681" i="1"/>
  <c r="A1682" i="1"/>
  <c r="C1682" i="1"/>
  <c r="E1682" i="1"/>
  <c r="A1683" i="1"/>
  <c r="C1683" i="1"/>
  <c r="E1683" i="1"/>
  <c r="A1684" i="1"/>
  <c r="C1684" i="1"/>
  <c r="E1684" i="1"/>
  <c r="A1685" i="1"/>
  <c r="C1685" i="1"/>
  <c r="E1685" i="1"/>
  <c r="A1686" i="1"/>
  <c r="C1686" i="1"/>
  <c r="E1686" i="1"/>
  <c r="A1687" i="1"/>
  <c r="C1687" i="1"/>
  <c r="E1687" i="1"/>
  <c r="A1688" i="1"/>
  <c r="C1688" i="1"/>
  <c r="E1688" i="1"/>
  <c r="A1689" i="1"/>
  <c r="C1689" i="1"/>
  <c r="E1689" i="1"/>
  <c r="A1690" i="1"/>
  <c r="C1690" i="1"/>
  <c r="E1690" i="1"/>
  <c r="A1691" i="1"/>
  <c r="C1691" i="1"/>
  <c r="E1691" i="1"/>
  <c r="A1692" i="1"/>
  <c r="C1692" i="1"/>
  <c r="E1692" i="1"/>
  <c r="A1693" i="1"/>
  <c r="C1693" i="1"/>
  <c r="E1693" i="1"/>
  <c r="A1694" i="1"/>
  <c r="C1694" i="1"/>
  <c r="E1694" i="1"/>
  <c r="A1695" i="1"/>
  <c r="C1695" i="1"/>
  <c r="E1695" i="1"/>
  <c r="A1696" i="1"/>
  <c r="C1696" i="1"/>
  <c r="E1696" i="1"/>
  <c r="A1697" i="1"/>
  <c r="C1697" i="1"/>
  <c r="E1697" i="1"/>
  <c r="A1698" i="1"/>
  <c r="C1698" i="1"/>
  <c r="E1698" i="1"/>
  <c r="A1699" i="1"/>
  <c r="C1699" i="1"/>
  <c r="E1699" i="1"/>
  <c r="A1700" i="1"/>
  <c r="C1700" i="1"/>
  <c r="E1700" i="1"/>
  <c r="A1701" i="1"/>
  <c r="C1701" i="1"/>
  <c r="E1701" i="1"/>
  <c r="A1702" i="1"/>
  <c r="C1702" i="1"/>
  <c r="E1702" i="1"/>
  <c r="A1703" i="1"/>
  <c r="C1703" i="1"/>
  <c r="E1703" i="1"/>
  <c r="A1704" i="1"/>
  <c r="C1704" i="1"/>
  <c r="E1704" i="1"/>
  <c r="A1705" i="1"/>
  <c r="C1705" i="1"/>
  <c r="E1705" i="1"/>
  <c r="A1706" i="1"/>
  <c r="C1706" i="1"/>
  <c r="E1706" i="1"/>
  <c r="A1707" i="1"/>
  <c r="C1707" i="1"/>
  <c r="E1707" i="1"/>
  <c r="A1708" i="1"/>
  <c r="C1708" i="1"/>
  <c r="E1708" i="1"/>
  <c r="A1709" i="1"/>
  <c r="C1709" i="1"/>
  <c r="E1709" i="1"/>
  <c r="A1710" i="1"/>
  <c r="C1710" i="1"/>
  <c r="E1710" i="1"/>
  <c r="A1711" i="1"/>
  <c r="C1711" i="1"/>
  <c r="E1711" i="1"/>
  <c r="A1712" i="1"/>
  <c r="C1712" i="1"/>
  <c r="E1712" i="1"/>
  <c r="A1713" i="1"/>
  <c r="C1713" i="1"/>
  <c r="E1713" i="1"/>
  <c r="A1714" i="1"/>
  <c r="C1714" i="1"/>
  <c r="E1714" i="1"/>
  <c r="A1715" i="1"/>
  <c r="C1715" i="1"/>
  <c r="E1715" i="1"/>
  <c r="A1716" i="1"/>
  <c r="C1716" i="1"/>
  <c r="E1716" i="1"/>
  <c r="A1717" i="1"/>
  <c r="C1717" i="1"/>
  <c r="E1717" i="1"/>
  <c r="A1718" i="1"/>
  <c r="C1718" i="1"/>
  <c r="E1718" i="1"/>
  <c r="A1719" i="1"/>
  <c r="C1719" i="1"/>
  <c r="E1719" i="1"/>
  <c r="A1720" i="1"/>
  <c r="C1720" i="1"/>
  <c r="E1720" i="1"/>
  <c r="A1721" i="1"/>
  <c r="C1721" i="1"/>
  <c r="E1721" i="1"/>
  <c r="A1722" i="1"/>
  <c r="C1722" i="1"/>
  <c r="E1722" i="1"/>
  <c r="A1723" i="1"/>
  <c r="C1723" i="1"/>
  <c r="E1723" i="1"/>
  <c r="A1724" i="1"/>
  <c r="C1724" i="1"/>
  <c r="E1724" i="1"/>
  <c r="A1725" i="1"/>
  <c r="C1725" i="1"/>
  <c r="E1725" i="1"/>
  <c r="A1726" i="1"/>
  <c r="C1726" i="1"/>
  <c r="E1726" i="1"/>
  <c r="A1727" i="1"/>
  <c r="C1727" i="1"/>
  <c r="E1727" i="1"/>
  <c r="A1728" i="1"/>
  <c r="C1728" i="1"/>
  <c r="E1728" i="1"/>
  <c r="A1729" i="1"/>
  <c r="C1729" i="1"/>
  <c r="E1729" i="1"/>
  <c r="A1730" i="1"/>
  <c r="C1730" i="1"/>
  <c r="E1730" i="1"/>
  <c r="A1731" i="1"/>
  <c r="C1731" i="1"/>
  <c r="E1731" i="1"/>
  <c r="A1732" i="1"/>
  <c r="C1732" i="1"/>
  <c r="E1732" i="1"/>
  <c r="A1733" i="1"/>
  <c r="C1733" i="1"/>
  <c r="E1733" i="1"/>
  <c r="A1734" i="1"/>
  <c r="C1734" i="1"/>
  <c r="E1734" i="1"/>
  <c r="A1735" i="1"/>
  <c r="C1735" i="1"/>
  <c r="E1735" i="1"/>
  <c r="A1736" i="1"/>
  <c r="C1736" i="1"/>
  <c r="E1736" i="1"/>
  <c r="A1737" i="1"/>
  <c r="C1737" i="1"/>
  <c r="E1737" i="1"/>
  <c r="A1738" i="1"/>
  <c r="C1738" i="1"/>
  <c r="E1738" i="1"/>
  <c r="A1739" i="1"/>
  <c r="C1739" i="1"/>
  <c r="E1739" i="1"/>
  <c r="A1740" i="1"/>
  <c r="C1740" i="1"/>
  <c r="E1740" i="1"/>
  <c r="A1741" i="1"/>
  <c r="C1741" i="1"/>
  <c r="E1741" i="1"/>
  <c r="A1742" i="1"/>
  <c r="C1742" i="1"/>
  <c r="E1742" i="1"/>
  <c r="A1743" i="1"/>
  <c r="C1743" i="1"/>
  <c r="E1743" i="1"/>
  <c r="A1744" i="1"/>
  <c r="C1744" i="1"/>
  <c r="E1744" i="1"/>
  <c r="A1745" i="1"/>
  <c r="C1745" i="1"/>
  <c r="E1745" i="1"/>
  <c r="A1746" i="1"/>
  <c r="C1746" i="1"/>
  <c r="E1746" i="1"/>
  <c r="A1747" i="1"/>
  <c r="C1747" i="1"/>
  <c r="E1747" i="1"/>
  <c r="A1748" i="1"/>
  <c r="C1748" i="1"/>
  <c r="E1748" i="1"/>
  <c r="A1749" i="1"/>
  <c r="C1749" i="1"/>
  <c r="E1749" i="1"/>
  <c r="A1750" i="1"/>
  <c r="C1750" i="1"/>
  <c r="E1750" i="1"/>
  <c r="A1751" i="1"/>
  <c r="C1751" i="1"/>
  <c r="E1751" i="1"/>
  <c r="A1752" i="1"/>
  <c r="C1752" i="1"/>
  <c r="E1752" i="1"/>
  <c r="A1753" i="1"/>
  <c r="C1753" i="1"/>
  <c r="E1753" i="1"/>
  <c r="A1754" i="1"/>
  <c r="C1754" i="1"/>
  <c r="E1754" i="1"/>
  <c r="A1755" i="1"/>
  <c r="C1755" i="1"/>
  <c r="E1755" i="1"/>
  <c r="A1756" i="1"/>
  <c r="C1756" i="1"/>
  <c r="E1756" i="1"/>
  <c r="A1757" i="1"/>
  <c r="C1757" i="1"/>
  <c r="E1757" i="1"/>
  <c r="A1758" i="1"/>
  <c r="C1758" i="1"/>
  <c r="E1758" i="1"/>
  <c r="A1759" i="1"/>
  <c r="C1759" i="1"/>
  <c r="E1759" i="1"/>
  <c r="A1760" i="1"/>
  <c r="C1760" i="1"/>
  <c r="E1760" i="1"/>
  <c r="A1761" i="1"/>
  <c r="C1761" i="1"/>
  <c r="E1761" i="1"/>
  <c r="A1762" i="1"/>
  <c r="C1762" i="1"/>
  <c r="E1762" i="1"/>
  <c r="A1763" i="1"/>
  <c r="C1763" i="1"/>
  <c r="E1763" i="1"/>
  <c r="A1764" i="1"/>
  <c r="C1764" i="1"/>
  <c r="E1764" i="1"/>
  <c r="A1765" i="1"/>
  <c r="C1765" i="1"/>
  <c r="E1765" i="1"/>
  <c r="A1766" i="1"/>
  <c r="C1766" i="1"/>
  <c r="E1766" i="1"/>
  <c r="A1767" i="1"/>
  <c r="C1767" i="1"/>
  <c r="E1767" i="1"/>
  <c r="A1768" i="1"/>
  <c r="C1768" i="1"/>
  <c r="E1768" i="1"/>
  <c r="A1769" i="1"/>
  <c r="C1769" i="1"/>
  <c r="E1769" i="1"/>
  <c r="A1770" i="1"/>
  <c r="C1770" i="1"/>
  <c r="E1770" i="1"/>
  <c r="A1771" i="1"/>
  <c r="C1771" i="1"/>
  <c r="E1771" i="1"/>
  <c r="A1772" i="1"/>
  <c r="C1772" i="1"/>
  <c r="E1772" i="1"/>
  <c r="A1773" i="1"/>
  <c r="C1773" i="1"/>
  <c r="E1773" i="1"/>
  <c r="A1774" i="1"/>
  <c r="C1774" i="1"/>
  <c r="E1774" i="1"/>
  <c r="A1775" i="1"/>
  <c r="C1775" i="1"/>
  <c r="E1775" i="1"/>
  <c r="A1776" i="1"/>
  <c r="C1776" i="1"/>
  <c r="E1776" i="1"/>
  <c r="A1777" i="1"/>
  <c r="C1777" i="1"/>
  <c r="E1777" i="1"/>
  <c r="A1778" i="1"/>
  <c r="C1778" i="1"/>
  <c r="E1778" i="1"/>
  <c r="A1779" i="1"/>
  <c r="C1779" i="1"/>
  <c r="E1779" i="1"/>
  <c r="A1780" i="1"/>
  <c r="C1780" i="1"/>
  <c r="E1780" i="1"/>
  <c r="A1781" i="1"/>
  <c r="C1781" i="1"/>
  <c r="E1781" i="1"/>
  <c r="A1782" i="1"/>
  <c r="C1782" i="1"/>
  <c r="E1782" i="1"/>
  <c r="A1783" i="1"/>
  <c r="C1783" i="1"/>
  <c r="E1783" i="1"/>
  <c r="A1784" i="1"/>
  <c r="C1784" i="1"/>
  <c r="E1784" i="1"/>
  <c r="A1785" i="1"/>
  <c r="C1785" i="1"/>
  <c r="E1785" i="1"/>
  <c r="A1786" i="1"/>
  <c r="C1786" i="1"/>
  <c r="E1786" i="1"/>
  <c r="A1787" i="1"/>
  <c r="C1787" i="1"/>
  <c r="E1787" i="1"/>
  <c r="A1788" i="1"/>
  <c r="C1788" i="1"/>
  <c r="E1788" i="1"/>
  <c r="A1789" i="1"/>
  <c r="C1789" i="1"/>
  <c r="E1789" i="1"/>
  <c r="A1790" i="1"/>
  <c r="C1790" i="1"/>
  <c r="E1790" i="1"/>
  <c r="A1791" i="1"/>
  <c r="C1791" i="1"/>
  <c r="E1791" i="1"/>
  <c r="A1792" i="1"/>
  <c r="C1792" i="1"/>
  <c r="E1792" i="1"/>
  <c r="A1793" i="1"/>
  <c r="C1793" i="1"/>
  <c r="E1793" i="1"/>
  <c r="A1794" i="1"/>
  <c r="C1794" i="1"/>
  <c r="E1794" i="1"/>
  <c r="A1795" i="1"/>
  <c r="C1795" i="1"/>
  <c r="E1795" i="1"/>
  <c r="A1796" i="1"/>
  <c r="C1796" i="1"/>
  <c r="E1796" i="1"/>
  <c r="A1797" i="1"/>
  <c r="C1797" i="1"/>
  <c r="E1797" i="1"/>
  <c r="A1798" i="1"/>
  <c r="C1798" i="1"/>
  <c r="E1798" i="1"/>
  <c r="A1799" i="1"/>
  <c r="C1799" i="1"/>
  <c r="E1799" i="1"/>
  <c r="A1800" i="1"/>
  <c r="C1800" i="1"/>
  <c r="E1800" i="1"/>
  <c r="A1801" i="1"/>
  <c r="C1801" i="1"/>
  <c r="E1801" i="1"/>
  <c r="A1802" i="1"/>
  <c r="C1802" i="1"/>
  <c r="E1802" i="1"/>
  <c r="A1803" i="1"/>
  <c r="C1803" i="1"/>
  <c r="E1803" i="1"/>
  <c r="A1804" i="1"/>
  <c r="C1804" i="1"/>
  <c r="E1804" i="1"/>
  <c r="A1805" i="1"/>
  <c r="C1805" i="1"/>
  <c r="E1805" i="1"/>
  <c r="A1806" i="1"/>
  <c r="C1806" i="1"/>
  <c r="E1806" i="1"/>
  <c r="A1807" i="1"/>
  <c r="C1807" i="1"/>
  <c r="E1807" i="1"/>
  <c r="A1808" i="1"/>
  <c r="C1808" i="1"/>
  <c r="E1808" i="1"/>
  <c r="A1809" i="1"/>
  <c r="C1809" i="1"/>
  <c r="E1809" i="1"/>
  <c r="A1810" i="1"/>
  <c r="C1810" i="1"/>
  <c r="E1810" i="1"/>
  <c r="A1811" i="1"/>
  <c r="C1811" i="1"/>
  <c r="E1811" i="1"/>
  <c r="A1812" i="1"/>
  <c r="C1812" i="1"/>
  <c r="E1812" i="1"/>
  <c r="A1813" i="1"/>
  <c r="C1813" i="1"/>
  <c r="E1813" i="1"/>
  <c r="A1814" i="1"/>
  <c r="C1814" i="1"/>
  <c r="E1814" i="1"/>
  <c r="A1815" i="1"/>
  <c r="C1815" i="1"/>
  <c r="E1815" i="1"/>
  <c r="A1816" i="1"/>
  <c r="C1816" i="1"/>
  <c r="E1816" i="1"/>
  <c r="A1817" i="1"/>
  <c r="C1817" i="1"/>
  <c r="E1817" i="1"/>
  <c r="A1818" i="1"/>
  <c r="C1818" i="1"/>
  <c r="E1818" i="1"/>
  <c r="A1819" i="1"/>
  <c r="C1819" i="1"/>
  <c r="E1819" i="1"/>
  <c r="A1820" i="1"/>
  <c r="C1820" i="1"/>
  <c r="E1820" i="1"/>
  <c r="A1821" i="1"/>
  <c r="C1821" i="1"/>
  <c r="E1821" i="1"/>
  <c r="A1822" i="1"/>
  <c r="C1822" i="1"/>
  <c r="E1822" i="1"/>
  <c r="A1823" i="1"/>
  <c r="C1823" i="1"/>
  <c r="E1823" i="1"/>
  <c r="A1824" i="1"/>
  <c r="C1824" i="1"/>
  <c r="E1824" i="1"/>
  <c r="A1825" i="1"/>
  <c r="C1825" i="1"/>
  <c r="E1825" i="1"/>
  <c r="A1826" i="1"/>
  <c r="C1826" i="1"/>
  <c r="E1826" i="1"/>
  <c r="A1827" i="1"/>
  <c r="C1827" i="1"/>
  <c r="E1827" i="1"/>
  <c r="A1828" i="1"/>
  <c r="C1828" i="1"/>
  <c r="E1828" i="1"/>
  <c r="A1829" i="1"/>
  <c r="C1829" i="1"/>
  <c r="E1829" i="1"/>
  <c r="A1830" i="1"/>
  <c r="C1830" i="1"/>
  <c r="E1830" i="1"/>
  <c r="A1831" i="1"/>
  <c r="C1831" i="1"/>
  <c r="E1831" i="1"/>
  <c r="A1832" i="1"/>
  <c r="C1832" i="1"/>
  <c r="E1832" i="1"/>
  <c r="A1833" i="1"/>
  <c r="C1833" i="1"/>
  <c r="E1833" i="1"/>
  <c r="A1834" i="1"/>
  <c r="C1834" i="1"/>
  <c r="E1834" i="1"/>
  <c r="A1835" i="1"/>
  <c r="C1835" i="1"/>
  <c r="E1835" i="1"/>
  <c r="A1836" i="1"/>
  <c r="C1836" i="1"/>
  <c r="E1836" i="1"/>
  <c r="A1837" i="1"/>
  <c r="C1837" i="1"/>
  <c r="E1837" i="1"/>
  <c r="A1838" i="1"/>
  <c r="C1838" i="1"/>
  <c r="E1838" i="1"/>
  <c r="A1839" i="1"/>
  <c r="C1839" i="1"/>
  <c r="E1839" i="1"/>
  <c r="A1840" i="1"/>
  <c r="C1840" i="1"/>
  <c r="E1840" i="1"/>
  <c r="A1841" i="1"/>
  <c r="C1841" i="1"/>
  <c r="E1841" i="1"/>
  <c r="A1842" i="1"/>
  <c r="C1842" i="1"/>
  <c r="E1842" i="1"/>
  <c r="A1843" i="1"/>
  <c r="C1843" i="1"/>
  <c r="E1843" i="1"/>
  <c r="A1844" i="1"/>
  <c r="C1844" i="1"/>
  <c r="E1844" i="1"/>
  <c r="A1845" i="1"/>
  <c r="C1845" i="1"/>
  <c r="E1845" i="1"/>
  <c r="A1846" i="1"/>
  <c r="C1846" i="1"/>
  <c r="E1846" i="1"/>
  <c r="A1847" i="1"/>
  <c r="C1847" i="1"/>
  <c r="E1847" i="1"/>
  <c r="A1848" i="1"/>
  <c r="C1848" i="1"/>
  <c r="E1848" i="1"/>
  <c r="A1849" i="1"/>
  <c r="C1849" i="1"/>
  <c r="E1849" i="1"/>
  <c r="A1850" i="1"/>
  <c r="C1850" i="1"/>
  <c r="E1850" i="1"/>
  <c r="A1851" i="1"/>
  <c r="C1851" i="1"/>
  <c r="E1851" i="1"/>
  <c r="A1852" i="1"/>
  <c r="C1852" i="1"/>
  <c r="E1852" i="1"/>
  <c r="A1853" i="1"/>
  <c r="C1853" i="1"/>
  <c r="E1853" i="1"/>
  <c r="A1854" i="1"/>
  <c r="C1854" i="1"/>
  <c r="E1854" i="1"/>
  <c r="A1855" i="1"/>
  <c r="C1855" i="1"/>
  <c r="E1855" i="1"/>
  <c r="A1856" i="1"/>
  <c r="C1856" i="1"/>
  <c r="E1856" i="1"/>
  <c r="A1857" i="1"/>
  <c r="C1857" i="1"/>
  <c r="E1857" i="1"/>
  <c r="A1858" i="1"/>
  <c r="C1858" i="1"/>
  <c r="E1858" i="1"/>
  <c r="A1859" i="1"/>
  <c r="C1859" i="1"/>
  <c r="E1859" i="1"/>
  <c r="A1860" i="1"/>
  <c r="C1860" i="1"/>
  <c r="E1860" i="1"/>
  <c r="A1861" i="1"/>
  <c r="C1861" i="1"/>
  <c r="E1861" i="1"/>
  <c r="A1862" i="1"/>
  <c r="C1862" i="1"/>
  <c r="E1862" i="1"/>
  <c r="A1863" i="1"/>
  <c r="C1863" i="1"/>
  <c r="E1863" i="1"/>
  <c r="A1864" i="1"/>
  <c r="C1864" i="1"/>
  <c r="E1864" i="1"/>
  <c r="A1865" i="1"/>
  <c r="C1865" i="1"/>
  <c r="E1865" i="1"/>
  <c r="A1866" i="1"/>
  <c r="C1866" i="1"/>
  <c r="E1866" i="1"/>
  <c r="A1867" i="1"/>
  <c r="C1867" i="1"/>
  <c r="E1867" i="1"/>
  <c r="A1868" i="1"/>
  <c r="C1868" i="1"/>
  <c r="E1868" i="1"/>
  <c r="A1869" i="1"/>
  <c r="C1869" i="1"/>
  <c r="E1869" i="1"/>
  <c r="A1870" i="1"/>
  <c r="C1870" i="1"/>
  <c r="E1870" i="1"/>
  <c r="A1871" i="1"/>
  <c r="C1871" i="1"/>
  <c r="E1871" i="1"/>
  <c r="A1872" i="1"/>
  <c r="C1872" i="1"/>
  <c r="E1872" i="1"/>
  <c r="A1873" i="1"/>
  <c r="C1873" i="1"/>
  <c r="E1873" i="1"/>
  <c r="A1874" i="1"/>
  <c r="C1874" i="1"/>
  <c r="E1874" i="1"/>
  <c r="A1875" i="1"/>
  <c r="C1875" i="1"/>
  <c r="E1875" i="1"/>
  <c r="A1876" i="1"/>
  <c r="C1876" i="1"/>
  <c r="E1876" i="1"/>
  <c r="A1877" i="1"/>
  <c r="C1877" i="1"/>
  <c r="E1877" i="1"/>
  <c r="A1878" i="1"/>
  <c r="C1878" i="1"/>
  <c r="E1878" i="1"/>
  <c r="A1879" i="1"/>
  <c r="C1879" i="1"/>
  <c r="E1879" i="1"/>
  <c r="A1880" i="1"/>
  <c r="C1880" i="1"/>
  <c r="E1880" i="1"/>
  <c r="A1881" i="1"/>
  <c r="C1881" i="1"/>
  <c r="E1881" i="1"/>
  <c r="A1882" i="1"/>
  <c r="C1882" i="1"/>
  <c r="E1882" i="1"/>
  <c r="A1883" i="1"/>
  <c r="C1883" i="1"/>
  <c r="E1883" i="1"/>
  <c r="A1884" i="1"/>
  <c r="C1884" i="1"/>
  <c r="E1884" i="1"/>
  <c r="A1885" i="1"/>
  <c r="C1885" i="1"/>
  <c r="E1885" i="1"/>
  <c r="A1886" i="1"/>
  <c r="C1886" i="1"/>
  <c r="E1886" i="1"/>
  <c r="A1887" i="1"/>
  <c r="C1887" i="1"/>
  <c r="E1887" i="1"/>
  <c r="A1888" i="1"/>
  <c r="C1888" i="1"/>
  <c r="E1888" i="1"/>
  <c r="A1889" i="1"/>
  <c r="C1889" i="1"/>
  <c r="E1889" i="1"/>
  <c r="A1890" i="1"/>
  <c r="C1890" i="1"/>
  <c r="E1890" i="1"/>
  <c r="A1891" i="1"/>
  <c r="C1891" i="1"/>
  <c r="E1891" i="1"/>
  <c r="A1892" i="1"/>
  <c r="C1892" i="1"/>
  <c r="E1892" i="1"/>
  <c r="A1893" i="1"/>
  <c r="C1893" i="1"/>
  <c r="E1893" i="1"/>
  <c r="A1894" i="1"/>
  <c r="C1894" i="1"/>
  <c r="E1894" i="1"/>
  <c r="A1895" i="1"/>
  <c r="C1895" i="1"/>
  <c r="E1895" i="1"/>
  <c r="A1896" i="1"/>
  <c r="C1896" i="1"/>
  <c r="E1896" i="1"/>
  <c r="A1897" i="1"/>
  <c r="C1897" i="1"/>
  <c r="E1897" i="1"/>
  <c r="A1898" i="1"/>
  <c r="C1898" i="1"/>
  <c r="E1898" i="1"/>
  <c r="A1899" i="1"/>
  <c r="C1899" i="1"/>
  <c r="E1899" i="1"/>
  <c r="A1900" i="1"/>
  <c r="C1900" i="1"/>
  <c r="E1900" i="1"/>
  <c r="A1901" i="1"/>
  <c r="C1901" i="1"/>
  <c r="E1901" i="1"/>
  <c r="A1902" i="1"/>
  <c r="C1902" i="1"/>
  <c r="E1902" i="1"/>
  <c r="A1903" i="1"/>
  <c r="C1903" i="1"/>
  <c r="E1903" i="1"/>
  <c r="A1904" i="1"/>
  <c r="C1904" i="1"/>
  <c r="E1904" i="1"/>
  <c r="A1905" i="1"/>
  <c r="C1905" i="1"/>
  <c r="E1905" i="1"/>
  <c r="A1906" i="1"/>
  <c r="C1906" i="1"/>
  <c r="E1906" i="1"/>
  <c r="A1907" i="1"/>
  <c r="C1907" i="1"/>
  <c r="E1907" i="1"/>
  <c r="A1908" i="1"/>
  <c r="C1908" i="1"/>
  <c r="E1908" i="1"/>
  <c r="A1909" i="1"/>
  <c r="C1909" i="1"/>
  <c r="E1909" i="1"/>
  <c r="A1910" i="1"/>
  <c r="C1910" i="1"/>
  <c r="E1910" i="1"/>
  <c r="A1911" i="1"/>
  <c r="C1911" i="1"/>
  <c r="E1911" i="1"/>
  <c r="A1912" i="1"/>
  <c r="C1912" i="1"/>
  <c r="E1912" i="1"/>
  <c r="A1913" i="1"/>
  <c r="C1913" i="1"/>
  <c r="E1913" i="1"/>
  <c r="A1914" i="1"/>
  <c r="C1914" i="1"/>
  <c r="E1914" i="1"/>
  <c r="A1915" i="1"/>
  <c r="C1915" i="1"/>
  <c r="E1915" i="1"/>
  <c r="A1916" i="1"/>
  <c r="C1916" i="1"/>
  <c r="E1916" i="1"/>
  <c r="A1917" i="1"/>
  <c r="C1917" i="1"/>
  <c r="E1917" i="1"/>
  <c r="A1918" i="1"/>
  <c r="C1918" i="1"/>
  <c r="E1918" i="1"/>
  <c r="A1919" i="1"/>
  <c r="C1919" i="1"/>
  <c r="E1919" i="1"/>
  <c r="A1920" i="1"/>
  <c r="C1920" i="1"/>
  <c r="E1920" i="1"/>
  <c r="A1921" i="1"/>
  <c r="C1921" i="1"/>
  <c r="E1921" i="1"/>
  <c r="A1922" i="1"/>
  <c r="C1922" i="1"/>
  <c r="E1922" i="1"/>
  <c r="A1923" i="1"/>
  <c r="C1923" i="1"/>
  <c r="E1923" i="1"/>
  <c r="A1924" i="1"/>
  <c r="C1924" i="1"/>
  <c r="E1924" i="1"/>
  <c r="A1925" i="1"/>
  <c r="C1925" i="1"/>
  <c r="E1925" i="1"/>
  <c r="A1926" i="1"/>
  <c r="C1926" i="1"/>
  <c r="E1926" i="1"/>
  <c r="A1927" i="1"/>
  <c r="C1927" i="1"/>
  <c r="E1927" i="1"/>
  <c r="A1928" i="1"/>
  <c r="C1928" i="1"/>
  <c r="E1928" i="1"/>
  <c r="A1929" i="1"/>
  <c r="C1929" i="1"/>
  <c r="E1929" i="1"/>
  <c r="A1930" i="1"/>
  <c r="C1930" i="1"/>
  <c r="E1930" i="1"/>
  <c r="A1931" i="1"/>
  <c r="C1931" i="1"/>
  <c r="E1931" i="1"/>
  <c r="A1932" i="1"/>
  <c r="C1932" i="1"/>
  <c r="E1932" i="1"/>
  <c r="A1933" i="1"/>
  <c r="C1933" i="1"/>
  <c r="E1933" i="1"/>
  <c r="A1934" i="1"/>
  <c r="C1934" i="1"/>
  <c r="E1934" i="1"/>
  <c r="A1935" i="1"/>
  <c r="C1935" i="1"/>
  <c r="E1935" i="1"/>
  <c r="A1936" i="1"/>
  <c r="C1936" i="1"/>
  <c r="E1936" i="1"/>
  <c r="A1937" i="1"/>
  <c r="C1937" i="1"/>
  <c r="E1937" i="1"/>
  <c r="A1938" i="1"/>
  <c r="C1938" i="1"/>
  <c r="E1938" i="1"/>
  <c r="A1939" i="1"/>
  <c r="C1939" i="1"/>
  <c r="E1939" i="1"/>
  <c r="A1940" i="1"/>
  <c r="C1940" i="1"/>
  <c r="E1940" i="1"/>
  <c r="A1941" i="1"/>
  <c r="C1941" i="1"/>
  <c r="E1941" i="1"/>
  <c r="A1942" i="1"/>
  <c r="C1942" i="1"/>
  <c r="E1942" i="1"/>
  <c r="A1943" i="1"/>
  <c r="C1943" i="1"/>
  <c r="E1943" i="1"/>
  <c r="A1944" i="1"/>
  <c r="C1944" i="1"/>
  <c r="E1944" i="1"/>
  <c r="A1945" i="1"/>
  <c r="C1945" i="1"/>
  <c r="E1945" i="1"/>
  <c r="A1946" i="1"/>
  <c r="C1946" i="1"/>
  <c r="E1946" i="1"/>
  <c r="A1947" i="1"/>
  <c r="C1947" i="1"/>
  <c r="E1947" i="1"/>
  <c r="A1948" i="1"/>
  <c r="C1948" i="1"/>
  <c r="E1948" i="1"/>
  <c r="A1949" i="1"/>
  <c r="C1949" i="1"/>
  <c r="E1949" i="1"/>
  <c r="A1950" i="1"/>
  <c r="C1950" i="1"/>
  <c r="E1950" i="1"/>
  <c r="A1951" i="1"/>
  <c r="C1951" i="1"/>
  <c r="E1951" i="1"/>
  <c r="A1952" i="1"/>
  <c r="C1952" i="1"/>
  <c r="E1952" i="1"/>
  <c r="A1953" i="1"/>
  <c r="C1953" i="1"/>
  <c r="E1953" i="1"/>
  <c r="A1954" i="1"/>
  <c r="C1954" i="1"/>
  <c r="E1954" i="1"/>
  <c r="A1955" i="1"/>
  <c r="C1955" i="1"/>
  <c r="E1955" i="1"/>
  <c r="A1956" i="1"/>
  <c r="C1956" i="1"/>
  <c r="E1956" i="1"/>
  <c r="A1957" i="1"/>
  <c r="C1957" i="1"/>
  <c r="E1957" i="1"/>
  <c r="A1958" i="1"/>
  <c r="C1958" i="1"/>
  <c r="E1958" i="1"/>
  <c r="A1959" i="1"/>
  <c r="C1959" i="1"/>
  <c r="E1959" i="1"/>
  <c r="A1960" i="1"/>
  <c r="C1960" i="1"/>
  <c r="E1960" i="1"/>
  <c r="A1961" i="1"/>
  <c r="C1961" i="1"/>
  <c r="E1961" i="1"/>
  <c r="A1962" i="1"/>
  <c r="C1962" i="1"/>
  <c r="E1962" i="1"/>
  <c r="A1963" i="1"/>
  <c r="C1963" i="1"/>
  <c r="E1963" i="1"/>
  <c r="A1964" i="1"/>
  <c r="C1964" i="1"/>
  <c r="E1964" i="1"/>
  <c r="A1965" i="1"/>
  <c r="C1965" i="1"/>
  <c r="E1965" i="1"/>
  <c r="A1966" i="1"/>
  <c r="C1966" i="1"/>
  <c r="E1966" i="1"/>
  <c r="A1967" i="1"/>
  <c r="C1967" i="1"/>
  <c r="E1967" i="1"/>
  <c r="A1968" i="1"/>
  <c r="C1968" i="1"/>
  <c r="E1968" i="1"/>
  <c r="A1969" i="1"/>
  <c r="C1969" i="1"/>
  <c r="E1969" i="1"/>
  <c r="A1970" i="1"/>
  <c r="C1970" i="1"/>
  <c r="E1970" i="1"/>
  <c r="A1971" i="1"/>
  <c r="C1971" i="1"/>
  <c r="E1971" i="1"/>
  <c r="A1972" i="1"/>
  <c r="C1972" i="1"/>
  <c r="E1972" i="1"/>
  <c r="A1973" i="1"/>
  <c r="C1973" i="1"/>
  <c r="E1973" i="1"/>
  <c r="A1974" i="1"/>
  <c r="C1974" i="1"/>
  <c r="E1974" i="1"/>
  <c r="A1975" i="1"/>
  <c r="C1975" i="1"/>
  <c r="E1975" i="1"/>
  <c r="A1976" i="1"/>
  <c r="C1976" i="1"/>
  <c r="E1976" i="1"/>
  <c r="A1977" i="1"/>
  <c r="C1977" i="1"/>
  <c r="E1977" i="1"/>
  <c r="A1978" i="1"/>
  <c r="C1978" i="1"/>
  <c r="E1978" i="1"/>
  <c r="A1979" i="1"/>
  <c r="C1979" i="1"/>
  <c r="E1979" i="1"/>
  <c r="A1980" i="1"/>
  <c r="C1980" i="1"/>
  <c r="E1980" i="1"/>
  <c r="A1981" i="1"/>
  <c r="C1981" i="1"/>
  <c r="E1981" i="1"/>
  <c r="A1982" i="1"/>
  <c r="C1982" i="1"/>
  <c r="E1982" i="1"/>
  <c r="A1983" i="1"/>
  <c r="C1983" i="1"/>
  <c r="E1983" i="1"/>
  <c r="A1984" i="1"/>
  <c r="C1984" i="1"/>
  <c r="E1984" i="1"/>
  <c r="A1985" i="1"/>
  <c r="C1985" i="1"/>
  <c r="E1985" i="1"/>
  <c r="A1986" i="1"/>
  <c r="C1986" i="1"/>
  <c r="E1986" i="1"/>
  <c r="A1987" i="1"/>
  <c r="C1987" i="1"/>
  <c r="E1987" i="1"/>
  <c r="A1988" i="1"/>
  <c r="C1988" i="1"/>
  <c r="E1988" i="1"/>
  <c r="A1989" i="1"/>
  <c r="C1989" i="1"/>
  <c r="E1989" i="1"/>
  <c r="A1990" i="1"/>
  <c r="C1990" i="1"/>
  <c r="E1990" i="1"/>
  <c r="A1991" i="1"/>
  <c r="C1991" i="1"/>
  <c r="E1991" i="1"/>
  <c r="A1992" i="1"/>
  <c r="C1992" i="1"/>
  <c r="E1992" i="1"/>
  <c r="A1993" i="1"/>
  <c r="C1993" i="1"/>
  <c r="E1993" i="1"/>
  <c r="A1994" i="1"/>
  <c r="C1994" i="1"/>
  <c r="E1994" i="1"/>
  <c r="A1995" i="1"/>
  <c r="C1995" i="1"/>
  <c r="E1995" i="1"/>
  <c r="A1996" i="1"/>
  <c r="C1996" i="1"/>
  <c r="E1996" i="1"/>
  <c r="A1997" i="1"/>
  <c r="C1997" i="1"/>
  <c r="E1997" i="1"/>
  <c r="A1998" i="1"/>
  <c r="C1998" i="1"/>
  <c r="E1998" i="1"/>
  <c r="A1999" i="1"/>
  <c r="C1999" i="1"/>
  <c r="E1999" i="1"/>
  <c r="A2000" i="1"/>
  <c r="C2000" i="1"/>
  <c r="E2000" i="1"/>
  <c r="A2001" i="1"/>
  <c r="C2001" i="1"/>
  <c r="E2001" i="1"/>
  <c r="A2002" i="1"/>
  <c r="C2002" i="1"/>
  <c r="E2002" i="1"/>
  <c r="A2003" i="1"/>
  <c r="C2003" i="1"/>
  <c r="E2003" i="1"/>
  <c r="A2004" i="1"/>
  <c r="C2004" i="1"/>
  <c r="E2004" i="1"/>
  <c r="A2005" i="1"/>
  <c r="C2005" i="1"/>
  <c r="E2005" i="1"/>
  <c r="A2006" i="1"/>
  <c r="C2006" i="1"/>
  <c r="E2006" i="1"/>
  <c r="A2007" i="1"/>
  <c r="C2007" i="1"/>
  <c r="E2007" i="1"/>
  <c r="A2008" i="1"/>
  <c r="C2008" i="1"/>
  <c r="E2008" i="1"/>
  <c r="A2009" i="1"/>
  <c r="C2009" i="1"/>
  <c r="E2009" i="1"/>
  <c r="A2010" i="1"/>
  <c r="C2010" i="1"/>
  <c r="E2010" i="1"/>
  <c r="A2011" i="1"/>
  <c r="C2011" i="1"/>
  <c r="E2011" i="1"/>
  <c r="A2012" i="1"/>
  <c r="C2012" i="1"/>
  <c r="E2012" i="1"/>
  <c r="A2013" i="1"/>
  <c r="C2013" i="1"/>
  <c r="E2013" i="1"/>
  <c r="A2014" i="1"/>
  <c r="C2014" i="1"/>
  <c r="E2014" i="1"/>
  <c r="A2015" i="1"/>
  <c r="C2015" i="1"/>
  <c r="E2015" i="1"/>
  <c r="A2016" i="1"/>
  <c r="C2016" i="1"/>
  <c r="E2016" i="1"/>
  <c r="A2017" i="1"/>
  <c r="C2017" i="1"/>
  <c r="E2017" i="1"/>
  <c r="A2018" i="1"/>
  <c r="C2018" i="1"/>
  <c r="E2018" i="1"/>
  <c r="A2019" i="1"/>
  <c r="C2019" i="1"/>
  <c r="E2019" i="1"/>
  <c r="A2020" i="1"/>
  <c r="C2020" i="1"/>
  <c r="E2020" i="1"/>
  <c r="A2021" i="1"/>
  <c r="C2021" i="1"/>
  <c r="E2021" i="1"/>
  <c r="A2022" i="1"/>
  <c r="C2022" i="1"/>
  <c r="E2022" i="1"/>
  <c r="A2023" i="1"/>
  <c r="C2023" i="1"/>
  <c r="E2023" i="1"/>
  <c r="A2024" i="1"/>
  <c r="C2024" i="1"/>
  <c r="E2024" i="1"/>
  <c r="A2025" i="1"/>
  <c r="C2025" i="1"/>
  <c r="E2025" i="1"/>
  <c r="A2026" i="1"/>
  <c r="C2026" i="1"/>
  <c r="E2026" i="1"/>
  <c r="A2027" i="1"/>
  <c r="C2027" i="1"/>
  <c r="E2027" i="1"/>
  <c r="A2028" i="1"/>
  <c r="C2028" i="1"/>
  <c r="E2028" i="1"/>
  <c r="A2029" i="1"/>
  <c r="C2029" i="1"/>
  <c r="E2029" i="1"/>
  <c r="A2030" i="1"/>
  <c r="C2030" i="1"/>
  <c r="E2030" i="1"/>
  <c r="A2031" i="1"/>
  <c r="C2031" i="1"/>
  <c r="E2031" i="1"/>
  <c r="A2032" i="1"/>
  <c r="C2032" i="1"/>
  <c r="E2032" i="1"/>
  <c r="A2033" i="1"/>
  <c r="C2033" i="1"/>
  <c r="E2033" i="1"/>
  <c r="A2034" i="1"/>
  <c r="C2034" i="1"/>
  <c r="E2034" i="1"/>
  <c r="A2035" i="1"/>
  <c r="C2035" i="1"/>
  <c r="E2035" i="1"/>
  <c r="A2036" i="1"/>
  <c r="C2036" i="1"/>
  <c r="E2036" i="1"/>
  <c r="A2037" i="1"/>
  <c r="C2037" i="1"/>
  <c r="E2037" i="1"/>
  <c r="A2038" i="1"/>
  <c r="C2038" i="1"/>
  <c r="E2038" i="1"/>
  <c r="A2039" i="1"/>
  <c r="C2039" i="1"/>
  <c r="E2039" i="1"/>
  <c r="A2040" i="1"/>
  <c r="C2040" i="1"/>
  <c r="E2040" i="1"/>
  <c r="A2041" i="1"/>
  <c r="C2041" i="1"/>
  <c r="E2041" i="1"/>
  <c r="A2042" i="1"/>
  <c r="C2042" i="1"/>
  <c r="E2042" i="1"/>
  <c r="A2043" i="1"/>
  <c r="C2043" i="1"/>
  <c r="E2043" i="1"/>
  <c r="A2044" i="1"/>
  <c r="C2044" i="1"/>
  <c r="E2044" i="1"/>
  <c r="A2045" i="1"/>
  <c r="C2045" i="1"/>
  <c r="E2045" i="1"/>
  <c r="A2046" i="1"/>
  <c r="C2046" i="1"/>
  <c r="E2046" i="1"/>
  <c r="A2047" i="1"/>
  <c r="C2047" i="1"/>
  <c r="E2047" i="1"/>
  <c r="A2048" i="1"/>
  <c r="C2048" i="1"/>
  <c r="E2048" i="1"/>
  <c r="A2049" i="1"/>
  <c r="C2049" i="1"/>
  <c r="E2049" i="1"/>
  <c r="A2050" i="1"/>
  <c r="C2050" i="1"/>
  <c r="E2050" i="1"/>
  <c r="A2051" i="1"/>
  <c r="C2051" i="1"/>
  <c r="E2051" i="1"/>
  <c r="A2052" i="1"/>
  <c r="C2052" i="1"/>
  <c r="E2052" i="1"/>
  <c r="A2053" i="1"/>
  <c r="C2053" i="1"/>
  <c r="E2053" i="1"/>
  <c r="A2054" i="1"/>
  <c r="C2054" i="1"/>
  <c r="E2054" i="1"/>
  <c r="A2055" i="1"/>
  <c r="C2055" i="1"/>
  <c r="E2055" i="1"/>
  <c r="A2056" i="1"/>
  <c r="C2056" i="1"/>
  <c r="E2056" i="1"/>
  <c r="A2057" i="1"/>
  <c r="C2057" i="1"/>
  <c r="E2057" i="1"/>
  <c r="A2058" i="1"/>
  <c r="C2058" i="1"/>
  <c r="E2058" i="1"/>
  <c r="A2059" i="1"/>
  <c r="C2059" i="1"/>
  <c r="E2059" i="1"/>
  <c r="A2060" i="1"/>
  <c r="C2060" i="1"/>
  <c r="E2060" i="1"/>
  <c r="A2061" i="1"/>
  <c r="C2061" i="1"/>
  <c r="E2061" i="1"/>
  <c r="A2062" i="1"/>
  <c r="C2062" i="1"/>
  <c r="E2062" i="1"/>
  <c r="A2063" i="1"/>
  <c r="C2063" i="1"/>
  <c r="E2063" i="1"/>
  <c r="A2064" i="1"/>
  <c r="C2064" i="1"/>
  <c r="E2064" i="1"/>
  <c r="A2065" i="1"/>
  <c r="C2065" i="1"/>
  <c r="E2065" i="1"/>
  <c r="A2066" i="1"/>
  <c r="C2066" i="1"/>
  <c r="E2066" i="1"/>
  <c r="A2067" i="1"/>
  <c r="C2067" i="1"/>
  <c r="E2067" i="1"/>
  <c r="A2068" i="1"/>
  <c r="C2068" i="1"/>
  <c r="E2068" i="1"/>
  <c r="A2069" i="1"/>
  <c r="C2069" i="1"/>
  <c r="E2069" i="1"/>
  <c r="A2070" i="1"/>
  <c r="C2070" i="1"/>
  <c r="E2070" i="1"/>
  <c r="A2071" i="1"/>
  <c r="C2071" i="1"/>
  <c r="E2071" i="1"/>
  <c r="A2072" i="1"/>
  <c r="C2072" i="1"/>
  <c r="E2072" i="1"/>
  <c r="A2073" i="1"/>
  <c r="C2073" i="1"/>
  <c r="E2073" i="1"/>
  <c r="A2074" i="1"/>
  <c r="C2074" i="1"/>
  <c r="E2074" i="1"/>
  <c r="A2075" i="1"/>
  <c r="C2075" i="1"/>
  <c r="E2075" i="1"/>
  <c r="A2076" i="1"/>
  <c r="C2076" i="1"/>
  <c r="E2076" i="1"/>
  <c r="A2077" i="1"/>
  <c r="C2077" i="1"/>
  <c r="E2077" i="1"/>
  <c r="A2078" i="1"/>
  <c r="C2078" i="1"/>
  <c r="E2078" i="1"/>
  <c r="A2079" i="1"/>
  <c r="C2079" i="1"/>
  <c r="E2079" i="1"/>
  <c r="A2080" i="1"/>
  <c r="C2080" i="1"/>
  <c r="E2080" i="1"/>
  <c r="A2081" i="1"/>
  <c r="C2081" i="1"/>
  <c r="E2081" i="1"/>
  <c r="A2082" i="1"/>
  <c r="C2082" i="1"/>
  <c r="E2082" i="1"/>
  <c r="A2083" i="1"/>
  <c r="C2083" i="1"/>
  <c r="E2083" i="1"/>
  <c r="A2084" i="1"/>
  <c r="C2084" i="1"/>
  <c r="E2084" i="1"/>
  <c r="A2085" i="1"/>
  <c r="C2085" i="1"/>
  <c r="E2085" i="1"/>
  <c r="A2086" i="1"/>
  <c r="C2086" i="1"/>
  <c r="E2086" i="1"/>
  <c r="A2087" i="1"/>
  <c r="C2087" i="1"/>
  <c r="E2087" i="1"/>
  <c r="A2088" i="1"/>
  <c r="C2088" i="1"/>
  <c r="E2088" i="1"/>
  <c r="A2089" i="1"/>
  <c r="C2089" i="1"/>
  <c r="E2089" i="1"/>
  <c r="A2090" i="1"/>
  <c r="C2090" i="1"/>
  <c r="E2090" i="1"/>
  <c r="A2091" i="1"/>
  <c r="C2091" i="1"/>
  <c r="E2091" i="1"/>
  <c r="A2092" i="1"/>
  <c r="C2092" i="1"/>
  <c r="E2092" i="1"/>
  <c r="A2093" i="1"/>
  <c r="C2093" i="1"/>
  <c r="E2093" i="1"/>
  <c r="A2094" i="1"/>
  <c r="C2094" i="1"/>
  <c r="E2094" i="1"/>
  <c r="A2095" i="1"/>
  <c r="C2095" i="1"/>
  <c r="E2095" i="1"/>
  <c r="A2096" i="1"/>
  <c r="C2096" i="1"/>
  <c r="E2096" i="1"/>
  <c r="A2097" i="1"/>
  <c r="C2097" i="1"/>
  <c r="E2097" i="1"/>
  <c r="A2098" i="1"/>
  <c r="C2098" i="1"/>
  <c r="E2098" i="1"/>
  <c r="A2099" i="1"/>
  <c r="C2099" i="1"/>
  <c r="E2099" i="1"/>
  <c r="A2100" i="1"/>
  <c r="C2100" i="1"/>
  <c r="E2100" i="1"/>
  <c r="A2101" i="1"/>
  <c r="C2101" i="1"/>
  <c r="E2101" i="1"/>
  <c r="A2102" i="1"/>
  <c r="C2102" i="1"/>
  <c r="E2102" i="1"/>
  <c r="A2103" i="1"/>
  <c r="C2103" i="1"/>
  <c r="E2103" i="1"/>
  <c r="A2104" i="1"/>
  <c r="C2104" i="1"/>
  <c r="E2104" i="1"/>
  <c r="A2105" i="1"/>
  <c r="C2105" i="1"/>
  <c r="E2105" i="1"/>
  <c r="A2106" i="1"/>
  <c r="C2106" i="1"/>
  <c r="E2106" i="1"/>
  <c r="A2107" i="1"/>
  <c r="C2107" i="1"/>
  <c r="E2107" i="1"/>
  <c r="A2108" i="1"/>
  <c r="C2108" i="1"/>
  <c r="E2108" i="1"/>
  <c r="A2109" i="1"/>
  <c r="C2109" i="1"/>
  <c r="E2109" i="1"/>
  <c r="A2110" i="1"/>
  <c r="C2110" i="1"/>
  <c r="E2110" i="1"/>
  <c r="A2111" i="1"/>
  <c r="C2111" i="1"/>
  <c r="E2111" i="1"/>
  <c r="A2112" i="1"/>
  <c r="C2112" i="1"/>
  <c r="E2112" i="1"/>
  <c r="A2113" i="1"/>
  <c r="C2113" i="1"/>
  <c r="E2113" i="1"/>
  <c r="A2114" i="1"/>
  <c r="C2114" i="1"/>
  <c r="E2114" i="1"/>
  <c r="A2115" i="1"/>
  <c r="C2115" i="1"/>
  <c r="E2115" i="1"/>
  <c r="A2116" i="1"/>
  <c r="C2116" i="1"/>
  <c r="E2116" i="1"/>
  <c r="A2117" i="1"/>
  <c r="C2117" i="1"/>
  <c r="E2117" i="1"/>
  <c r="A2118" i="1"/>
  <c r="C2118" i="1"/>
  <c r="E2118" i="1"/>
  <c r="A2119" i="1"/>
  <c r="C2119" i="1"/>
  <c r="E2119" i="1"/>
  <c r="A2120" i="1"/>
  <c r="C2120" i="1"/>
  <c r="E2120" i="1"/>
  <c r="A2121" i="1"/>
  <c r="C2121" i="1"/>
  <c r="E2121" i="1"/>
  <c r="A2122" i="1"/>
  <c r="C2122" i="1"/>
  <c r="E2122" i="1"/>
  <c r="A2123" i="1"/>
  <c r="C2123" i="1"/>
  <c r="E2123" i="1"/>
  <c r="A2124" i="1"/>
  <c r="C2124" i="1"/>
  <c r="E2124" i="1"/>
  <c r="A2125" i="1"/>
  <c r="C2125" i="1"/>
  <c r="E2125" i="1"/>
  <c r="A2126" i="1"/>
  <c r="C2126" i="1"/>
  <c r="E2126" i="1"/>
  <c r="A2127" i="1"/>
  <c r="C2127" i="1"/>
  <c r="E2127" i="1"/>
  <c r="A2128" i="1"/>
  <c r="C2128" i="1"/>
  <c r="E2128" i="1"/>
  <c r="A2129" i="1"/>
  <c r="C2129" i="1"/>
  <c r="E2129" i="1"/>
  <c r="A2130" i="1"/>
  <c r="C2130" i="1"/>
  <c r="E2130" i="1"/>
  <c r="A2131" i="1"/>
  <c r="C2131" i="1"/>
  <c r="E2131" i="1"/>
  <c r="A2132" i="1"/>
  <c r="C2132" i="1"/>
  <c r="E2132" i="1"/>
  <c r="A2133" i="1"/>
  <c r="C2133" i="1"/>
  <c r="E2133" i="1"/>
  <c r="A2134" i="1"/>
  <c r="C2134" i="1"/>
  <c r="E2134" i="1"/>
  <c r="A2135" i="1"/>
  <c r="C2135" i="1"/>
  <c r="E2135" i="1"/>
  <c r="A2136" i="1"/>
  <c r="C2136" i="1"/>
  <c r="E2136" i="1"/>
  <c r="A2137" i="1"/>
  <c r="C2137" i="1"/>
  <c r="E2137" i="1"/>
  <c r="A2138" i="1"/>
  <c r="C2138" i="1"/>
  <c r="E2138" i="1"/>
  <c r="A2139" i="1"/>
  <c r="C2139" i="1"/>
  <c r="E2139" i="1"/>
  <c r="A2140" i="1"/>
  <c r="C2140" i="1"/>
  <c r="E2140" i="1"/>
  <c r="A2141" i="1"/>
  <c r="C2141" i="1"/>
  <c r="E2141" i="1"/>
  <c r="A2142" i="1"/>
  <c r="C2142" i="1"/>
  <c r="E2142" i="1"/>
  <c r="A2143" i="1"/>
  <c r="C2143" i="1"/>
  <c r="E2143" i="1"/>
  <c r="A2144" i="1"/>
  <c r="C2144" i="1"/>
  <c r="E2144" i="1"/>
  <c r="A2145" i="1"/>
  <c r="C2145" i="1"/>
  <c r="E2145" i="1"/>
  <c r="A2146" i="1"/>
  <c r="C2146" i="1"/>
  <c r="E2146" i="1"/>
  <c r="A2147" i="1"/>
  <c r="C2147" i="1"/>
  <c r="E2147" i="1"/>
  <c r="A2148" i="1"/>
  <c r="C2148" i="1"/>
  <c r="E2148" i="1"/>
  <c r="A2149" i="1"/>
  <c r="C2149" i="1"/>
  <c r="E2149" i="1"/>
  <c r="A2150" i="1"/>
  <c r="C2150" i="1"/>
  <c r="E2150" i="1"/>
  <c r="A2151" i="1"/>
  <c r="C2151" i="1"/>
  <c r="E2151" i="1"/>
  <c r="A2152" i="1"/>
  <c r="C2152" i="1"/>
  <c r="E2152" i="1"/>
  <c r="A2153" i="1"/>
  <c r="C2153" i="1"/>
  <c r="E2153" i="1"/>
  <c r="A2154" i="1"/>
  <c r="C2154" i="1"/>
  <c r="E2154" i="1"/>
  <c r="A2155" i="1"/>
  <c r="C2155" i="1"/>
  <c r="E2155" i="1"/>
  <c r="A2156" i="1"/>
  <c r="C2156" i="1"/>
  <c r="E2156" i="1"/>
  <c r="A2157" i="1"/>
  <c r="C2157" i="1"/>
  <c r="E2157" i="1"/>
  <c r="A2158" i="1"/>
  <c r="C2158" i="1"/>
  <c r="E2158" i="1"/>
  <c r="A2159" i="1"/>
  <c r="C2159" i="1"/>
  <c r="E2159" i="1"/>
  <c r="A2160" i="1"/>
  <c r="C2160" i="1"/>
  <c r="E2160" i="1"/>
  <c r="A2161" i="1"/>
  <c r="C2161" i="1"/>
  <c r="E2161" i="1"/>
  <c r="A2162" i="1"/>
  <c r="C2162" i="1"/>
  <c r="E2162" i="1"/>
  <c r="A2163" i="1"/>
  <c r="C2163" i="1"/>
  <c r="E2163" i="1"/>
  <c r="A2164" i="1"/>
  <c r="C2164" i="1"/>
  <c r="E2164" i="1"/>
  <c r="A2165" i="1"/>
  <c r="C2165" i="1"/>
  <c r="E2165" i="1"/>
  <c r="A2166" i="1"/>
  <c r="C2166" i="1"/>
  <c r="E2166" i="1"/>
  <c r="A2167" i="1"/>
  <c r="C2167" i="1"/>
  <c r="E2167" i="1"/>
  <c r="A2168" i="1"/>
  <c r="C2168" i="1"/>
  <c r="E2168" i="1"/>
  <c r="A2169" i="1"/>
  <c r="C2169" i="1"/>
  <c r="E2169" i="1"/>
  <c r="A2170" i="1"/>
  <c r="C2170" i="1"/>
  <c r="E2170" i="1"/>
  <c r="A2171" i="1"/>
  <c r="C2171" i="1"/>
  <c r="E2171" i="1"/>
  <c r="A2172" i="1"/>
  <c r="C2172" i="1"/>
  <c r="E2172" i="1"/>
  <c r="A2173" i="1"/>
  <c r="C2173" i="1"/>
  <c r="E2173" i="1"/>
  <c r="A2174" i="1"/>
  <c r="C2174" i="1"/>
  <c r="E2174" i="1"/>
  <c r="A2175" i="1"/>
  <c r="C2175" i="1"/>
  <c r="E2175" i="1"/>
  <c r="A2176" i="1"/>
  <c r="C2176" i="1"/>
  <c r="E2176" i="1"/>
  <c r="A2177" i="1"/>
  <c r="C2177" i="1"/>
  <c r="E2177" i="1"/>
  <c r="A2178" i="1"/>
  <c r="C2178" i="1"/>
  <c r="E2178" i="1"/>
  <c r="A2179" i="1"/>
  <c r="C2179" i="1"/>
  <c r="E2179" i="1"/>
  <c r="A2180" i="1"/>
  <c r="C2180" i="1"/>
  <c r="E2180" i="1"/>
  <c r="A2181" i="1"/>
  <c r="C2181" i="1"/>
  <c r="E2181" i="1"/>
  <c r="A2182" i="1"/>
  <c r="C2182" i="1"/>
  <c r="E2182" i="1"/>
  <c r="A2183" i="1"/>
  <c r="C2183" i="1"/>
  <c r="E2183" i="1"/>
  <c r="A2184" i="1"/>
  <c r="C2184" i="1"/>
  <c r="E2184" i="1"/>
  <c r="A2185" i="1"/>
  <c r="C2185" i="1"/>
  <c r="E2185" i="1"/>
  <c r="A2186" i="1"/>
  <c r="C2186" i="1"/>
  <c r="E2186" i="1"/>
  <c r="A2187" i="1"/>
  <c r="C2187" i="1"/>
  <c r="E2187" i="1"/>
  <c r="A2188" i="1"/>
  <c r="C2188" i="1"/>
  <c r="E2188" i="1"/>
  <c r="A2189" i="1"/>
  <c r="C2189" i="1"/>
  <c r="E2189" i="1"/>
  <c r="A2190" i="1"/>
  <c r="C2190" i="1"/>
  <c r="E2190" i="1"/>
  <c r="A2191" i="1"/>
  <c r="C2191" i="1"/>
  <c r="E2191" i="1"/>
  <c r="A2192" i="1"/>
  <c r="C2192" i="1"/>
  <c r="E2192" i="1"/>
  <c r="A2193" i="1"/>
  <c r="C2193" i="1"/>
  <c r="E2193" i="1"/>
  <c r="A2194" i="1"/>
  <c r="C2194" i="1"/>
  <c r="E2194" i="1"/>
  <c r="A2195" i="1"/>
  <c r="C2195" i="1"/>
  <c r="E2195" i="1"/>
  <c r="A2196" i="1"/>
  <c r="C2196" i="1"/>
  <c r="E2196" i="1"/>
  <c r="A2197" i="1"/>
  <c r="C2197" i="1"/>
  <c r="E2197" i="1"/>
  <c r="A2198" i="1"/>
  <c r="C2198" i="1"/>
  <c r="E2198" i="1"/>
  <c r="A2199" i="1"/>
  <c r="C2199" i="1"/>
  <c r="E2199" i="1"/>
  <c r="A2200" i="1"/>
  <c r="C2200" i="1"/>
  <c r="E2200" i="1"/>
  <c r="A2201" i="1"/>
  <c r="C2201" i="1"/>
  <c r="E2201" i="1"/>
  <c r="A2202" i="1"/>
  <c r="C2202" i="1"/>
  <c r="E2202" i="1"/>
  <c r="A2203" i="1"/>
  <c r="C2203" i="1"/>
  <c r="E2203" i="1"/>
  <c r="A2204" i="1"/>
  <c r="C2204" i="1"/>
  <c r="E2204" i="1"/>
  <c r="A2205" i="1"/>
  <c r="C2205" i="1"/>
  <c r="E2205" i="1"/>
  <c r="A2206" i="1"/>
  <c r="C2206" i="1"/>
  <c r="E2206" i="1"/>
  <c r="A2207" i="1"/>
  <c r="C2207" i="1"/>
  <c r="E2207" i="1"/>
  <c r="A2208" i="1"/>
  <c r="C2208" i="1"/>
  <c r="E2208" i="1"/>
  <c r="A2209" i="1"/>
  <c r="C2209" i="1"/>
  <c r="E2209" i="1"/>
  <c r="A2210" i="1"/>
  <c r="C2210" i="1"/>
  <c r="E2210" i="1"/>
  <c r="A2211" i="1"/>
  <c r="C2211" i="1"/>
  <c r="E2211" i="1"/>
  <c r="A2212" i="1"/>
  <c r="C2212" i="1"/>
  <c r="E2212" i="1"/>
  <c r="A2213" i="1"/>
  <c r="C2213" i="1"/>
  <c r="E2213" i="1"/>
  <c r="A2214" i="1"/>
  <c r="C2214" i="1"/>
  <c r="E2214" i="1"/>
  <c r="A2215" i="1"/>
  <c r="C2215" i="1"/>
  <c r="E2215" i="1"/>
  <c r="A2216" i="1"/>
  <c r="C2216" i="1"/>
  <c r="E2216" i="1"/>
  <c r="A2217" i="1"/>
  <c r="C2217" i="1"/>
  <c r="E2217" i="1"/>
  <c r="A2218" i="1"/>
  <c r="C2218" i="1"/>
  <c r="E2218" i="1"/>
  <c r="A2219" i="1"/>
  <c r="C2219" i="1"/>
  <c r="E2219" i="1"/>
  <c r="A2220" i="1"/>
  <c r="C2220" i="1"/>
  <c r="E2220" i="1"/>
  <c r="A2221" i="1"/>
  <c r="C2221" i="1"/>
  <c r="E2221" i="1"/>
  <c r="A2222" i="1"/>
  <c r="C2222" i="1"/>
  <c r="E2222" i="1"/>
  <c r="A2223" i="1"/>
  <c r="C2223" i="1"/>
  <c r="E2223" i="1"/>
  <c r="A2224" i="1"/>
  <c r="C2224" i="1"/>
  <c r="E2224" i="1"/>
  <c r="A2225" i="1"/>
  <c r="C2225" i="1"/>
  <c r="E2225" i="1"/>
  <c r="A2226" i="1"/>
  <c r="C2226" i="1"/>
  <c r="E2226" i="1"/>
  <c r="A2227" i="1"/>
  <c r="C2227" i="1"/>
  <c r="E2227" i="1"/>
  <c r="A2228" i="1"/>
  <c r="C2228" i="1"/>
  <c r="E2228" i="1"/>
  <c r="A2229" i="1"/>
  <c r="C2229" i="1"/>
  <c r="E2229" i="1"/>
  <c r="A2230" i="1"/>
  <c r="C2230" i="1"/>
  <c r="E2230" i="1"/>
  <c r="A2231" i="1"/>
  <c r="C2231" i="1"/>
  <c r="E2231" i="1"/>
  <c r="A2232" i="1"/>
  <c r="C2232" i="1"/>
  <c r="E2232" i="1"/>
  <c r="A2233" i="1"/>
  <c r="C2233" i="1"/>
  <c r="E2233" i="1"/>
  <c r="A2234" i="1"/>
  <c r="C2234" i="1"/>
  <c r="E2234" i="1"/>
  <c r="A2235" i="1"/>
  <c r="C2235" i="1"/>
  <c r="E2235" i="1"/>
  <c r="A2236" i="1"/>
  <c r="C2236" i="1"/>
  <c r="E2236" i="1"/>
  <c r="A2237" i="1"/>
  <c r="C2237" i="1"/>
  <c r="E2237" i="1"/>
  <c r="A2238" i="1"/>
  <c r="C2238" i="1"/>
  <c r="E2238" i="1"/>
  <c r="A2239" i="1"/>
  <c r="C2239" i="1"/>
  <c r="E2239" i="1"/>
  <c r="A2240" i="1"/>
  <c r="C2240" i="1"/>
  <c r="E2240" i="1"/>
  <c r="A2241" i="1"/>
  <c r="C2241" i="1"/>
  <c r="E2241" i="1"/>
  <c r="A2242" i="1"/>
  <c r="C2242" i="1"/>
  <c r="E2242" i="1"/>
  <c r="A2243" i="1"/>
  <c r="C2243" i="1"/>
  <c r="E2243" i="1"/>
  <c r="A2244" i="1"/>
  <c r="C2244" i="1"/>
  <c r="E2244" i="1"/>
  <c r="A2245" i="1"/>
  <c r="C2245" i="1"/>
  <c r="E2245" i="1"/>
  <c r="A2246" i="1"/>
  <c r="C2246" i="1"/>
  <c r="E2246" i="1"/>
  <c r="A2247" i="1"/>
  <c r="C2247" i="1"/>
  <c r="E2247" i="1"/>
  <c r="A2248" i="1"/>
  <c r="C2248" i="1"/>
  <c r="E2248" i="1"/>
  <c r="A2249" i="1"/>
  <c r="C2249" i="1"/>
  <c r="E2249" i="1"/>
  <c r="A2250" i="1"/>
  <c r="C2250" i="1"/>
  <c r="E2250" i="1"/>
  <c r="A2251" i="1"/>
  <c r="C2251" i="1"/>
  <c r="E2251" i="1"/>
  <c r="A2252" i="1"/>
  <c r="C2252" i="1"/>
  <c r="E2252" i="1"/>
  <c r="A2253" i="1"/>
  <c r="C2253" i="1"/>
  <c r="E2253" i="1"/>
  <c r="A2254" i="1"/>
  <c r="C2254" i="1"/>
  <c r="E2254" i="1"/>
  <c r="A2255" i="1"/>
  <c r="C2255" i="1"/>
  <c r="E2255" i="1"/>
  <c r="A2256" i="1"/>
  <c r="C2256" i="1"/>
  <c r="E2256" i="1"/>
  <c r="A2257" i="1"/>
  <c r="C2257" i="1"/>
  <c r="E2257" i="1"/>
  <c r="A2258" i="1"/>
  <c r="C2258" i="1"/>
  <c r="E2258" i="1"/>
  <c r="A2259" i="1"/>
  <c r="C2259" i="1"/>
  <c r="E2259" i="1"/>
  <c r="A2260" i="1"/>
  <c r="C2260" i="1"/>
  <c r="E2260" i="1"/>
  <c r="A2261" i="1"/>
  <c r="C2261" i="1"/>
  <c r="E2261" i="1"/>
  <c r="A2262" i="1"/>
  <c r="C2262" i="1"/>
  <c r="E2262" i="1"/>
  <c r="A2263" i="1"/>
  <c r="C2263" i="1"/>
  <c r="E2263" i="1"/>
  <c r="A2264" i="1"/>
  <c r="C2264" i="1"/>
  <c r="E2264" i="1"/>
  <c r="A2265" i="1"/>
  <c r="C2265" i="1"/>
  <c r="E2265" i="1"/>
  <c r="A2266" i="1"/>
  <c r="C2266" i="1"/>
  <c r="E2266" i="1"/>
  <c r="A2267" i="1"/>
  <c r="C2267" i="1"/>
  <c r="E2267" i="1"/>
  <c r="A2268" i="1"/>
  <c r="C2268" i="1"/>
  <c r="E2268" i="1"/>
  <c r="A2269" i="1"/>
  <c r="C2269" i="1"/>
  <c r="E2269" i="1"/>
  <c r="A2270" i="1"/>
  <c r="C2270" i="1"/>
  <c r="E2270" i="1"/>
  <c r="A2271" i="1"/>
  <c r="C2271" i="1"/>
  <c r="E2271" i="1"/>
  <c r="A2272" i="1"/>
  <c r="C2272" i="1"/>
  <c r="E2272" i="1"/>
  <c r="A2273" i="1"/>
  <c r="C2273" i="1"/>
  <c r="E2273" i="1"/>
  <c r="A2274" i="1"/>
  <c r="C2274" i="1"/>
  <c r="E2274" i="1"/>
  <c r="A2275" i="1"/>
  <c r="C2275" i="1"/>
  <c r="E2275" i="1"/>
  <c r="A2276" i="1"/>
  <c r="C2276" i="1"/>
  <c r="E2276" i="1"/>
  <c r="A2277" i="1"/>
  <c r="C2277" i="1"/>
  <c r="E2277" i="1"/>
  <c r="A2278" i="1"/>
  <c r="C2278" i="1"/>
  <c r="E2278" i="1"/>
  <c r="A2279" i="1"/>
  <c r="C2279" i="1"/>
  <c r="E2279" i="1"/>
  <c r="A2280" i="1"/>
  <c r="C2280" i="1"/>
  <c r="E2280" i="1"/>
  <c r="A2281" i="1"/>
  <c r="C2281" i="1"/>
  <c r="E2281" i="1"/>
  <c r="A2282" i="1"/>
  <c r="C2282" i="1"/>
  <c r="E2282" i="1"/>
  <c r="A2283" i="1"/>
  <c r="C2283" i="1"/>
  <c r="E2283" i="1"/>
  <c r="A2284" i="1"/>
  <c r="C2284" i="1"/>
  <c r="E2284" i="1"/>
  <c r="A2285" i="1"/>
  <c r="C2285" i="1"/>
  <c r="E2285" i="1"/>
  <c r="A2286" i="1"/>
  <c r="C2286" i="1"/>
  <c r="E2286" i="1"/>
  <c r="A2287" i="1"/>
  <c r="C2287" i="1"/>
  <c r="E2287" i="1"/>
  <c r="A2288" i="1"/>
  <c r="C2288" i="1"/>
  <c r="E2288" i="1"/>
  <c r="A2289" i="1"/>
  <c r="C2289" i="1"/>
  <c r="E2289" i="1"/>
  <c r="A2290" i="1"/>
  <c r="C2290" i="1"/>
  <c r="E2290" i="1"/>
  <c r="A2291" i="1"/>
  <c r="C2291" i="1"/>
  <c r="E2291" i="1"/>
  <c r="A2292" i="1"/>
  <c r="C2292" i="1"/>
  <c r="E2292" i="1"/>
  <c r="A2293" i="1"/>
  <c r="C2293" i="1"/>
  <c r="E2293" i="1"/>
  <c r="A2294" i="1"/>
  <c r="C2294" i="1"/>
  <c r="E2294" i="1"/>
  <c r="A2295" i="1"/>
  <c r="C2295" i="1"/>
  <c r="E2295" i="1"/>
  <c r="A2296" i="1"/>
  <c r="C2296" i="1"/>
  <c r="E2296" i="1"/>
  <c r="A2297" i="1"/>
  <c r="C2297" i="1"/>
  <c r="E2297" i="1"/>
  <c r="A2298" i="1"/>
  <c r="C2298" i="1"/>
  <c r="E2298" i="1"/>
  <c r="A2299" i="1"/>
  <c r="C2299" i="1"/>
  <c r="E2299" i="1"/>
  <c r="A2300" i="1"/>
  <c r="C2300" i="1"/>
  <c r="E2300" i="1"/>
  <c r="A2301" i="1"/>
  <c r="C2301" i="1"/>
  <c r="E2301" i="1"/>
  <c r="A2302" i="1"/>
  <c r="C2302" i="1"/>
  <c r="E2302" i="1"/>
  <c r="A2303" i="1"/>
  <c r="C2303" i="1"/>
  <c r="E2303" i="1"/>
  <c r="A2304" i="1"/>
  <c r="C2304" i="1"/>
  <c r="E2304" i="1"/>
  <c r="A2305" i="1"/>
  <c r="C2305" i="1"/>
  <c r="E2305" i="1"/>
  <c r="A2306" i="1"/>
  <c r="C2306" i="1"/>
  <c r="E2306" i="1"/>
  <c r="A2307" i="1"/>
  <c r="C2307" i="1"/>
  <c r="E2307" i="1"/>
  <c r="A2308" i="1"/>
  <c r="C2308" i="1"/>
  <c r="E2308" i="1"/>
  <c r="A2309" i="1"/>
  <c r="C2309" i="1"/>
  <c r="E2309" i="1"/>
  <c r="A2310" i="1"/>
  <c r="C2310" i="1"/>
  <c r="E2310" i="1"/>
  <c r="A2311" i="1"/>
  <c r="C2311" i="1"/>
  <c r="E2311" i="1"/>
  <c r="A2312" i="1"/>
  <c r="C2312" i="1"/>
  <c r="E2312" i="1"/>
  <c r="A2313" i="1"/>
  <c r="C2313" i="1"/>
  <c r="E2313" i="1"/>
  <c r="A2314" i="1"/>
  <c r="C2314" i="1"/>
  <c r="E2314" i="1"/>
  <c r="A2315" i="1"/>
  <c r="C2315" i="1"/>
  <c r="E2315" i="1"/>
  <c r="A2316" i="1"/>
  <c r="C2316" i="1"/>
  <c r="E2316" i="1"/>
  <c r="A2317" i="1"/>
  <c r="C2317" i="1"/>
  <c r="E2317" i="1"/>
  <c r="A2318" i="1"/>
  <c r="C2318" i="1"/>
  <c r="E2318" i="1"/>
  <c r="A2319" i="1"/>
  <c r="C2319" i="1"/>
  <c r="E2319" i="1"/>
  <c r="A2320" i="1"/>
  <c r="C2320" i="1"/>
  <c r="E2320" i="1"/>
  <c r="A2321" i="1"/>
  <c r="C2321" i="1"/>
  <c r="E2321" i="1"/>
  <c r="A2322" i="1"/>
  <c r="C2322" i="1"/>
  <c r="E2322" i="1"/>
  <c r="A2323" i="1"/>
  <c r="C2323" i="1"/>
  <c r="E2323" i="1"/>
  <c r="A2324" i="1"/>
  <c r="C2324" i="1"/>
  <c r="E2324" i="1"/>
  <c r="A2325" i="1"/>
  <c r="C2325" i="1"/>
  <c r="E2325" i="1"/>
  <c r="A2326" i="1"/>
  <c r="C2326" i="1"/>
  <c r="E2326" i="1"/>
  <c r="A2327" i="1"/>
  <c r="C2327" i="1"/>
  <c r="E2327" i="1"/>
  <c r="A2328" i="1"/>
  <c r="C2328" i="1"/>
  <c r="E2328" i="1"/>
  <c r="A2329" i="1"/>
  <c r="C2329" i="1"/>
  <c r="E2329" i="1"/>
  <c r="A2330" i="1"/>
  <c r="C2330" i="1"/>
  <c r="E2330" i="1"/>
  <c r="A2331" i="1"/>
  <c r="C2331" i="1"/>
  <c r="E2331" i="1"/>
  <c r="A2332" i="1"/>
  <c r="C2332" i="1"/>
  <c r="E2332" i="1"/>
  <c r="A2333" i="1"/>
  <c r="C2333" i="1"/>
  <c r="E2333" i="1"/>
  <c r="A2334" i="1"/>
  <c r="C2334" i="1"/>
  <c r="E2334" i="1"/>
  <c r="A2335" i="1"/>
  <c r="C2335" i="1"/>
  <c r="E2335" i="1"/>
  <c r="A2336" i="1"/>
  <c r="C2336" i="1"/>
  <c r="E2336" i="1"/>
  <c r="A2337" i="1"/>
  <c r="C2337" i="1"/>
  <c r="E2337" i="1"/>
  <c r="A2338" i="1"/>
  <c r="C2338" i="1"/>
  <c r="E2338" i="1"/>
  <c r="A2339" i="1"/>
  <c r="C2339" i="1"/>
  <c r="E2339" i="1"/>
  <c r="A2340" i="1"/>
  <c r="C2340" i="1"/>
  <c r="E2340" i="1"/>
  <c r="A2341" i="1"/>
  <c r="C2341" i="1"/>
  <c r="E2341" i="1"/>
  <c r="A2342" i="1"/>
  <c r="C2342" i="1"/>
  <c r="E2342" i="1"/>
  <c r="A2343" i="1"/>
  <c r="C2343" i="1"/>
  <c r="E2343" i="1"/>
  <c r="A2344" i="1"/>
  <c r="C2344" i="1"/>
  <c r="E2344" i="1"/>
  <c r="A2345" i="1"/>
  <c r="C2345" i="1"/>
  <c r="E2345" i="1"/>
  <c r="A2346" i="1"/>
  <c r="C2346" i="1"/>
  <c r="E2346" i="1"/>
  <c r="A2347" i="1"/>
  <c r="C2347" i="1"/>
  <c r="E2347" i="1"/>
  <c r="A2348" i="1"/>
  <c r="C2348" i="1"/>
  <c r="E2348" i="1"/>
  <c r="A2349" i="1"/>
  <c r="C2349" i="1"/>
  <c r="E2349" i="1"/>
  <c r="A2350" i="1"/>
  <c r="C2350" i="1"/>
  <c r="E2350" i="1"/>
  <c r="A2351" i="1"/>
  <c r="C2351" i="1"/>
  <c r="E2351" i="1"/>
  <c r="A2352" i="1"/>
  <c r="C2352" i="1"/>
  <c r="E2352" i="1"/>
  <c r="A2353" i="1"/>
  <c r="C2353" i="1"/>
  <c r="E2353" i="1"/>
  <c r="A2354" i="1"/>
  <c r="C2354" i="1"/>
  <c r="E2354" i="1"/>
  <c r="A2355" i="1"/>
  <c r="C2355" i="1"/>
  <c r="E2355" i="1"/>
  <c r="A2356" i="1"/>
  <c r="C2356" i="1"/>
  <c r="E2356" i="1"/>
  <c r="A2357" i="1"/>
  <c r="C2357" i="1"/>
  <c r="E2357" i="1"/>
  <c r="A2358" i="1"/>
  <c r="C2358" i="1"/>
  <c r="E2358" i="1"/>
  <c r="A2359" i="1"/>
  <c r="C2359" i="1"/>
  <c r="E2359" i="1"/>
  <c r="A2360" i="1"/>
  <c r="C2360" i="1"/>
  <c r="E2360" i="1"/>
  <c r="A2361" i="1"/>
  <c r="C2361" i="1"/>
  <c r="E2361" i="1"/>
  <c r="A2362" i="1"/>
  <c r="C2362" i="1"/>
  <c r="E2362" i="1"/>
  <c r="A2363" i="1"/>
  <c r="C2363" i="1"/>
  <c r="E2363" i="1"/>
  <c r="A2364" i="1"/>
  <c r="C2364" i="1"/>
  <c r="E2364" i="1"/>
  <c r="A2365" i="1"/>
  <c r="C2365" i="1"/>
  <c r="E2365" i="1"/>
  <c r="A2366" i="1"/>
  <c r="C2366" i="1"/>
  <c r="E2366" i="1"/>
  <c r="A2367" i="1"/>
  <c r="C2367" i="1"/>
  <c r="E2367" i="1"/>
  <c r="A2368" i="1"/>
  <c r="C2368" i="1"/>
  <c r="E2368" i="1"/>
  <c r="A2369" i="1"/>
  <c r="C2369" i="1"/>
  <c r="E2369" i="1"/>
  <c r="A2370" i="1"/>
  <c r="C2370" i="1"/>
  <c r="E2370" i="1"/>
  <c r="A2371" i="1"/>
  <c r="C2371" i="1"/>
  <c r="E2371" i="1"/>
  <c r="A2372" i="1"/>
  <c r="C2372" i="1"/>
  <c r="E2372" i="1"/>
  <c r="A2373" i="1"/>
  <c r="C2373" i="1"/>
  <c r="E2373" i="1"/>
  <c r="A2374" i="1"/>
  <c r="C2374" i="1"/>
  <c r="E2374" i="1"/>
  <c r="A2375" i="1"/>
  <c r="C2375" i="1"/>
  <c r="E2375" i="1"/>
  <c r="A2376" i="1"/>
  <c r="C2376" i="1"/>
  <c r="E2376" i="1"/>
  <c r="A2377" i="1"/>
  <c r="C2377" i="1"/>
  <c r="E2377" i="1"/>
  <c r="A2378" i="1"/>
  <c r="C2378" i="1"/>
  <c r="E2378" i="1"/>
  <c r="A2379" i="1"/>
  <c r="C2379" i="1"/>
  <c r="E2379" i="1"/>
  <c r="A2380" i="1"/>
  <c r="C2380" i="1"/>
  <c r="E2380" i="1"/>
  <c r="A2381" i="1"/>
  <c r="C2381" i="1"/>
  <c r="E2381" i="1"/>
  <c r="A2382" i="1"/>
  <c r="C2382" i="1"/>
  <c r="E2382" i="1"/>
  <c r="A2383" i="1"/>
  <c r="C2383" i="1"/>
  <c r="E2383" i="1"/>
  <c r="A2384" i="1"/>
  <c r="C2384" i="1"/>
  <c r="E2384" i="1"/>
  <c r="A2385" i="1"/>
  <c r="C2385" i="1"/>
  <c r="E2385" i="1"/>
  <c r="A2386" i="1"/>
  <c r="C2386" i="1"/>
  <c r="E2386" i="1"/>
  <c r="A2387" i="1"/>
  <c r="C2387" i="1"/>
  <c r="E2387" i="1"/>
  <c r="A2388" i="1"/>
  <c r="C2388" i="1"/>
  <c r="E2388" i="1"/>
  <c r="A2389" i="1"/>
  <c r="C2389" i="1"/>
  <c r="E2389" i="1"/>
  <c r="A2390" i="1"/>
  <c r="C2390" i="1"/>
  <c r="E2390" i="1"/>
  <c r="A2391" i="1"/>
  <c r="C2391" i="1"/>
  <c r="E2391" i="1"/>
  <c r="A2392" i="1"/>
  <c r="C2392" i="1"/>
  <c r="E2392" i="1"/>
  <c r="A2393" i="1"/>
  <c r="C2393" i="1"/>
  <c r="E2393" i="1"/>
  <c r="A2394" i="1"/>
  <c r="C2394" i="1"/>
  <c r="E2394" i="1"/>
  <c r="A2395" i="1"/>
  <c r="C2395" i="1"/>
  <c r="E2395" i="1"/>
  <c r="A2396" i="1"/>
  <c r="C2396" i="1"/>
  <c r="E2396" i="1"/>
  <c r="A2397" i="1"/>
  <c r="C2397" i="1"/>
  <c r="E2397" i="1"/>
  <c r="A2398" i="1"/>
  <c r="C2398" i="1"/>
  <c r="E2398" i="1"/>
  <c r="A2399" i="1"/>
  <c r="C2399" i="1"/>
  <c r="E2399" i="1"/>
  <c r="A2400" i="1"/>
  <c r="C2400" i="1"/>
  <c r="E2400" i="1"/>
  <c r="A2401" i="1"/>
  <c r="C2401" i="1"/>
  <c r="E2401" i="1"/>
  <c r="A2402" i="1"/>
  <c r="C2402" i="1"/>
  <c r="E2402" i="1"/>
  <c r="A2403" i="1"/>
  <c r="C2403" i="1"/>
  <c r="E2403" i="1"/>
  <c r="A2404" i="1"/>
  <c r="C2404" i="1"/>
  <c r="E2404" i="1"/>
  <c r="A2405" i="1"/>
  <c r="C2405" i="1"/>
  <c r="E2405" i="1"/>
  <c r="A2406" i="1"/>
  <c r="C2406" i="1"/>
  <c r="E2406" i="1"/>
  <c r="A2407" i="1"/>
  <c r="C2407" i="1"/>
  <c r="E2407" i="1"/>
  <c r="A2408" i="1"/>
  <c r="C2408" i="1"/>
  <c r="E2408" i="1"/>
  <c r="A2409" i="1"/>
  <c r="C2409" i="1"/>
  <c r="E2409" i="1"/>
  <c r="A2410" i="1"/>
  <c r="C2410" i="1"/>
  <c r="E2410" i="1"/>
  <c r="A2411" i="1"/>
  <c r="C2411" i="1"/>
  <c r="E2411" i="1"/>
  <c r="A2412" i="1"/>
  <c r="C2412" i="1"/>
  <c r="E2412" i="1"/>
  <c r="A2413" i="1"/>
  <c r="C2413" i="1"/>
  <c r="E2413" i="1"/>
  <c r="A2414" i="1"/>
  <c r="C2414" i="1"/>
  <c r="E2414" i="1"/>
  <c r="A2415" i="1"/>
  <c r="C2415" i="1"/>
  <c r="E2415" i="1"/>
  <c r="A2416" i="1"/>
  <c r="C2416" i="1"/>
  <c r="E2416" i="1"/>
  <c r="A2417" i="1"/>
  <c r="C2417" i="1"/>
  <c r="E2417" i="1"/>
  <c r="A2418" i="1"/>
  <c r="C2418" i="1"/>
  <c r="E2418" i="1"/>
  <c r="A2419" i="1"/>
  <c r="C2419" i="1"/>
  <c r="E2419" i="1"/>
  <c r="A2420" i="1"/>
  <c r="C2420" i="1"/>
  <c r="E2420" i="1"/>
  <c r="A2421" i="1"/>
  <c r="C2421" i="1"/>
  <c r="E2421" i="1"/>
  <c r="A2422" i="1"/>
  <c r="C2422" i="1"/>
  <c r="E2422" i="1"/>
  <c r="A2423" i="1"/>
  <c r="C2423" i="1"/>
  <c r="E2423" i="1"/>
  <c r="A2424" i="1"/>
  <c r="C2424" i="1"/>
  <c r="E2424" i="1"/>
  <c r="A2425" i="1"/>
  <c r="C2425" i="1"/>
  <c r="E2425" i="1"/>
  <c r="A2426" i="1"/>
  <c r="C2426" i="1"/>
  <c r="E2426" i="1"/>
  <c r="A2427" i="1"/>
  <c r="C2427" i="1"/>
  <c r="E2427" i="1"/>
  <c r="A2428" i="1"/>
  <c r="C2428" i="1"/>
  <c r="E2428" i="1"/>
  <c r="A2429" i="1"/>
  <c r="C2429" i="1"/>
  <c r="E2429" i="1"/>
  <c r="A2430" i="1"/>
  <c r="C2430" i="1"/>
  <c r="E2430" i="1"/>
  <c r="A2431" i="1"/>
  <c r="C2431" i="1"/>
  <c r="E2431" i="1"/>
  <c r="A2432" i="1"/>
  <c r="C2432" i="1"/>
  <c r="E2432" i="1"/>
  <c r="A2433" i="1"/>
  <c r="C2433" i="1"/>
  <c r="E2433" i="1"/>
  <c r="A2434" i="1"/>
  <c r="C2434" i="1"/>
  <c r="E2434" i="1"/>
  <c r="A2435" i="1"/>
  <c r="C2435" i="1"/>
  <c r="E2435" i="1"/>
  <c r="A2436" i="1"/>
  <c r="C2436" i="1"/>
  <c r="E2436" i="1"/>
  <c r="A2437" i="1"/>
  <c r="C2437" i="1"/>
  <c r="E2437" i="1"/>
  <c r="A2438" i="1"/>
  <c r="C2438" i="1"/>
  <c r="E2438" i="1"/>
  <c r="A2439" i="1"/>
  <c r="C2439" i="1"/>
  <c r="E2439" i="1"/>
  <c r="A2440" i="1"/>
  <c r="C2440" i="1"/>
  <c r="E2440" i="1"/>
  <c r="A2441" i="1"/>
  <c r="C2441" i="1"/>
  <c r="E2441" i="1"/>
  <c r="A2442" i="1"/>
  <c r="C2442" i="1"/>
  <c r="E2442" i="1"/>
  <c r="A2443" i="1"/>
  <c r="C2443" i="1"/>
  <c r="E2443" i="1"/>
  <c r="A2444" i="1"/>
  <c r="C2444" i="1"/>
  <c r="E2444" i="1"/>
  <c r="A2445" i="1"/>
  <c r="C2445" i="1"/>
  <c r="E2445" i="1"/>
  <c r="A2446" i="1"/>
  <c r="C2446" i="1"/>
  <c r="E2446" i="1"/>
  <c r="A2447" i="1"/>
  <c r="C2447" i="1"/>
  <c r="E2447" i="1"/>
  <c r="A2448" i="1"/>
  <c r="C2448" i="1"/>
  <c r="E2448" i="1"/>
  <c r="A2449" i="1"/>
  <c r="C2449" i="1"/>
  <c r="E2449" i="1"/>
  <c r="A2450" i="1"/>
  <c r="C2450" i="1"/>
  <c r="E2450" i="1"/>
  <c r="A2451" i="1"/>
  <c r="C2451" i="1"/>
  <c r="E2451" i="1"/>
  <c r="A2452" i="1"/>
  <c r="C2452" i="1"/>
  <c r="E2452" i="1"/>
  <c r="A2453" i="1"/>
  <c r="C2453" i="1"/>
  <c r="E2453" i="1"/>
  <c r="A2454" i="1"/>
  <c r="C2454" i="1"/>
  <c r="E2454" i="1"/>
  <c r="A2455" i="1"/>
  <c r="C2455" i="1"/>
  <c r="E2455" i="1"/>
  <c r="A2456" i="1"/>
  <c r="C2456" i="1"/>
  <c r="E2456" i="1"/>
  <c r="A2457" i="1"/>
  <c r="C2457" i="1"/>
  <c r="E2457" i="1"/>
  <c r="A2458" i="1"/>
  <c r="C2458" i="1"/>
  <c r="E2458" i="1"/>
  <c r="A2459" i="1"/>
  <c r="C2459" i="1"/>
  <c r="E2459" i="1"/>
  <c r="A2460" i="1"/>
  <c r="C2460" i="1"/>
  <c r="E2460" i="1"/>
  <c r="A2461" i="1"/>
  <c r="C2461" i="1"/>
  <c r="E2461" i="1"/>
  <c r="A2462" i="1"/>
  <c r="C2462" i="1"/>
  <c r="E2462" i="1"/>
  <c r="A2463" i="1"/>
  <c r="C2463" i="1"/>
  <c r="E2463" i="1"/>
  <c r="A2464" i="1"/>
  <c r="C2464" i="1"/>
  <c r="E2464" i="1"/>
  <c r="A2465" i="1"/>
  <c r="C2465" i="1"/>
  <c r="E2465" i="1"/>
  <c r="A2466" i="1"/>
  <c r="C2466" i="1"/>
  <c r="E2466" i="1"/>
  <c r="A2467" i="1"/>
  <c r="C2467" i="1"/>
  <c r="E2467" i="1"/>
  <c r="A2468" i="1"/>
  <c r="C2468" i="1"/>
  <c r="E2468" i="1"/>
  <c r="A2469" i="1"/>
  <c r="C2469" i="1"/>
  <c r="E2469" i="1"/>
  <c r="A2470" i="1"/>
  <c r="C2470" i="1"/>
  <c r="E2470" i="1"/>
  <c r="A2471" i="1"/>
  <c r="C2471" i="1"/>
  <c r="E2471" i="1"/>
  <c r="A2472" i="1"/>
  <c r="C2472" i="1"/>
  <c r="E2472" i="1"/>
  <c r="A2473" i="1"/>
  <c r="C2473" i="1"/>
  <c r="E2473" i="1"/>
  <c r="A2474" i="1"/>
  <c r="C2474" i="1"/>
  <c r="E2474" i="1"/>
  <c r="A2475" i="1"/>
  <c r="C2475" i="1"/>
  <c r="E2475" i="1"/>
  <c r="A2476" i="1"/>
  <c r="C2476" i="1"/>
  <c r="E2476" i="1"/>
  <c r="A2477" i="1"/>
  <c r="C2477" i="1"/>
  <c r="E2477" i="1"/>
  <c r="A2478" i="1"/>
  <c r="C2478" i="1"/>
  <c r="E2478" i="1"/>
  <c r="A2479" i="1"/>
  <c r="C2479" i="1"/>
  <c r="E2479" i="1"/>
  <c r="A2480" i="1"/>
  <c r="C2480" i="1"/>
  <c r="E2480" i="1"/>
  <c r="A2481" i="1"/>
  <c r="C2481" i="1"/>
  <c r="E2481" i="1"/>
  <c r="A2482" i="1"/>
  <c r="C2482" i="1"/>
  <c r="E2482" i="1"/>
  <c r="A2483" i="1"/>
  <c r="C2483" i="1"/>
  <c r="E2483" i="1"/>
</calcChain>
</file>

<file path=xl/sharedStrings.xml><?xml version="1.0" encoding="utf-8"?>
<sst xmlns="http://schemas.openxmlformats.org/spreadsheetml/2006/main" count="33150" uniqueCount="13439">
  <si>
    <t>ESDCode</t>
  </si>
  <si>
    <t>ESDName</t>
  </si>
  <si>
    <t>LEACode</t>
  </si>
  <si>
    <t>LEAName</t>
  </si>
  <si>
    <t>SchoolCode</t>
  </si>
  <si>
    <t>SchoolName</t>
  </si>
  <si>
    <t>LowestGrade</t>
  </si>
  <si>
    <t>HighestGrade</t>
  </si>
  <si>
    <t>AddressLine1</t>
  </si>
  <si>
    <t>AddressLine2</t>
  </si>
  <si>
    <t>City</t>
  </si>
  <si>
    <t>State</t>
  </si>
  <si>
    <t>ZipCode</t>
  </si>
  <si>
    <t>PrincipalName</t>
  </si>
  <si>
    <t>Email</t>
  </si>
  <si>
    <t>Phone</t>
  </si>
  <si>
    <t>OrgCategoryList</t>
  </si>
  <si>
    <t>AYPCode</t>
  </si>
  <si>
    <t>GradeCategory</t>
  </si>
  <si>
    <t>Puget Sound Educational Service District 121</t>
  </si>
  <si>
    <t>Federal Way School District</t>
  </si>
  <si>
    <t>Rainier View Elementary School</t>
  </si>
  <si>
    <t>PK</t>
  </si>
  <si>
    <t>3015 S 368TH ST</t>
  </si>
  <si>
    <t>FEDERAL WAY</t>
  </si>
  <si>
    <t>Washington</t>
  </si>
  <si>
    <t>98003-7669</t>
  </si>
  <si>
    <t>LySander  Collins</t>
  </si>
  <si>
    <t>lcollins@fwps.org</t>
  </si>
  <si>
    <t>253.945.3700</t>
  </si>
  <si>
    <t xml:space="preserve"> Public School, Regular School</t>
  </si>
  <si>
    <t>P</t>
  </si>
  <si>
    <t>Elementary School</t>
  </si>
  <si>
    <t>Green Gables Elementary School</t>
  </si>
  <si>
    <t>32607 47TH AVE SW</t>
  </si>
  <si>
    <t>98023-1938</t>
  </si>
  <si>
    <t>Kent  Cross</t>
  </si>
  <si>
    <t>kcross@fwps.org</t>
  </si>
  <si>
    <t>253.945.2700</t>
  </si>
  <si>
    <t>Enterprise Elementary School</t>
  </si>
  <si>
    <t>35101 5TH AVE SW</t>
  </si>
  <si>
    <t>98023-8108</t>
  </si>
  <si>
    <t>Jeff  Soltez</t>
  </si>
  <si>
    <t>jsoltez@fwps.org</t>
  </si>
  <si>
    <t>253.945.2600</t>
  </si>
  <si>
    <t>Meredith Hill Elementary School</t>
  </si>
  <si>
    <t>5830 S 300TH ST</t>
  </si>
  <si>
    <t>AUBURN</t>
  </si>
  <si>
    <t>98001-2311</t>
  </si>
  <si>
    <t>Helen  Babbin</t>
  </si>
  <si>
    <t>hbabbin@fwps.org</t>
  </si>
  <si>
    <t>253.945.3200</t>
  </si>
  <si>
    <t>Todd Beamer High School</t>
  </si>
  <si>
    <t>35999 16TH AV S</t>
  </si>
  <si>
    <t>98003-7414</t>
  </si>
  <si>
    <t>Anali  Weatherhead</t>
  </si>
  <si>
    <t>aweather@fwps.org</t>
  </si>
  <si>
    <t>253.945.2570</t>
  </si>
  <si>
    <t>High School</t>
  </si>
  <si>
    <t>Enumclaw School District</t>
  </si>
  <si>
    <t>Special Ed School</t>
  </si>
  <si>
    <t>2929 McDougall Avenue</t>
  </si>
  <si>
    <t>Enumclaw</t>
  </si>
  <si>
    <t>Keri  Marquand</t>
  </si>
  <si>
    <t>keri_marquand@enumclaw.wednet.edu</t>
  </si>
  <si>
    <t>360.802.7104</t>
  </si>
  <si>
    <t xml:space="preserve"> Public School, Special Education School</t>
  </si>
  <si>
    <t>S</t>
  </si>
  <si>
    <t>PK-12</t>
  </si>
  <si>
    <t>Byron Kibler Elementary School</t>
  </si>
  <si>
    <t xml:space="preserve">K </t>
  </si>
  <si>
    <t>2057 Kibler Ave</t>
  </si>
  <si>
    <t>98022-2798</t>
  </si>
  <si>
    <t>Mimi  Brown</t>
  </si>
  <si>
    <t>mimi_brown@enumclaw.wednet.edu</t>
  </si>
  <si>
    <t>360.802.7266</t>
  </si>
  <si>
    <t>Enumclaw Sr High School</t>
  </si>
  <si>
    <t>226 Semanski St South</t>
  </si>
  <si>
    <t>98022-2099</t>
  </si>
  <si>
    <t xml:space="preserve">  </t>
  </si>
  <si>
    <t>Black Diamond Elementary</t>
  </si>
  <si>
    <t>P.O. Box 285</t>
  </si>
  <si>
    <t>Black Diamond</t>
  </si>
  <si>
    <t>Timothy  Lee</t>
  </si>
  <si>
    <t>timothy_lee@enumclaw.wednet.edu</t>
  </si>
  <si>
    <t>360.802.7600</t>
  </si>
  <si>
    <t>Westwood Elementary School</t>
  </si>
  <si>
    <t>21200 SE 416th</t>
  </si>
  <si>
    <t>98022-9099</t>
  </si>
  <si>
    <t>Scott  Meyer</t>
  </si>
  <si>
    <t>scott_meyer@enumclaw.wednet.edu</t>
  </si>
  <si>
    <t>360.802.7624</t>
  </si>
  <si>
    <t>Southwood Elementary School</t>
  </si>
  <si>
    <t>3240 McDougall Avenue</t>
  </si>
  <si>
    <t>98022-9498</t>
  </si>
  <si>
    <t>Andrew  Means</t>
  </si>
  <si>
    <t>andrew_means@enumclaw.wednet.edu</t>
  </si>
  <si>
    <t>360.802.7369</t>
  </si>
  <si>
    <t>Enumclaw Middle School</t>
  </si>
  <si>
    <t>550 Semanski Street</t>
  </si>
  <si>
    <t>98022-2067</t>
  </si>
  <si>
    <t>Jill  Barrett</t>
  </si>
  <si>
    <t>jill_barrett@enumclaw.wednet.edu</t>
  </si>
  <si>
    <t>360.802.7151</t>
  </si>
  <si>
    <t>Middle School</t>
  </si>
  <si>
    <t>Sunrise Elementary</t>
  </si>
  <si>
    <t>899 Osceola At 244th Ave SE</t>
  </si>
  <si>
    <t>98022-4045</t>
  </si>
  <si>
    <t>Kyle  Fletcher</t>
  </si>
  <si>
    <t>kyle_fletcher@enumclaw.wednet.edu</t>
  </si>
  <si>
    <t>360.802.7431</t>
  </si>
  <si>
    <t>Thunder Mountain Middle School</t>
  </si>
  <si>
    <t>42018 264th Avenue SE</t>
  </si>
  <si>
    <t>98022-0000</t>
  </si>
  <si>
    <t>Steven  Stoker</t>
  </si>
  <si>
    <t>steven_stoker@enumclaw.wednet.edu</t>
  </si>
  <si>
    <t>360.802.7501</t>
  </si>
  <si>
    <t>Mercer Island School District</t>
  </si>
  <si>
    <t>Lakeridge Elementary School</t>
  </si>
  <si>
    <t>8215 SE 78th</t>
  </si>
  <si>
    <t>Mercer Island</t>
  </si>
  <si>
    <t>98040-5901</t>
  </si>
  <si>
    <t>Heidi  Jenkins</t>
  </si>
  <si>
    <t>Heidi.jenkins@mercerislandschools.org</t>
  </si>
  <si>
    <t>206.236.3418</t>
  </si>
  <si>
    <t>Mercer Island High School</t>
  </si>
  <si>
    <t>9100 SE 42nd</t>
  </si>
  <si>
    <t>98040-4199</t>
  </si>
  <si>
    <t>Walter  Kelly</t>
  </si>
  <si>
    <t>Walter.Kelly@mercerislandschools.org</t>
  </si>
  <si>
    <t>206.236.3350</t>
  </si>
  <si>
    <t>Island Park Elementary</t>
  </si>
  <si>
    <t>5437 Island Crest Way</t>
  </si>
  <si>
    <t>98040-4647</t>
  </si>
  <si>
    <t>David  Hoffman</t>
  </si>
  <si>
    <t>david.hoffman@mercerislandschools.org</t>
  </si>
  <si>
    <t>206.236.3410</t>
  </si>
  <si>
    <t>Islander Middle School</t>
  </si>
  <si>
    <t>8225 SE 72ND</t>
  </si>
  <si>
    <t>98040-5399</t>
  </si>
  <si>
    <t>Mary Jo  Budzius</t>
  </si>
  <si>
    <t>maryjo.budzius@mercerislandschools.org</t>
  </si>
  <si>
    <t>206.230.6161</t>
  </si>
  <si>
    <t>West Mercer Elementary</t>
  </si>
  <si>
    <t>4141 81st Ave SE</t>
  </si>
  <si>
    <t>98040-3928</t>
  </si>
  <si>
    <t>Carol  Best</t>
  </si>
  <si>
    <t>carol.best@mercerislandschools.org</t>
  </si>
  <si>
    <t>206.236.3433</t>
  </si>
  <si>
    <t>Highline School District</t>
  </si>
  <si>
    <t>CHOICE Academy</t>
  </si>
  <si>
    <t>18367 8th Ave S</t>
  </si>
  <si>
    <t>Seattle</t>
  </si>
  <si>
    <t>98148-1934</t>
  </si>
  <si>
    <t>Michael  Sita</t>
  </si>
  <si>
    <t>michael.sita@highlineschools.org</t>
  </si>
  <si>
    <t>206.631.7630</t>
  </si>
  <si>
    <t xml:space="preserve"> Alternative School, Public School</t>
  </si>
  <si>
    <t>A</t>
  </si>
  <si>
    <t>Other</t>
  </si>
  <si>
    <t>Mount View Elementary</t>
  </si>
  <si>
    <t>10811 12th Ave SW</t>
  </si>
  <si>
    <t>98146-2125</t>
  </si>
  <si>
    <t>Adina  Thea</t>
  </si>
  <si>
    <t>adina.thea@highlineschools.org</t>
  </si>
  <si>
    <t>206.631.4500</t>
  </si>
  <si>
    <t>Puget Sound Skills Center</t>
  </si>
  <si>
    <t>18010 8th Ave S</t>
  </si>
  <si>
    <t>98148-1908</t>
  </si>
  <si>
    <t>Todd  Moorhead</t>
  </si>
  <si>
    <t>Todd.Moorhead@highlineschools.org</t>
  </si>
  <si>
    <t>206.631.7300</t>
  </si>
  <si>
    <t xml:space="preserve"> Public School, Vocational/technical school</t>
  </si>
  <si>
    <t>V</t>
  </si>
  <si>
    <t>Highline High School</t>
  </si>
  <si>
    <t>225 S 152nd St</t>
  </si>
  <si>
    <t>Burien</t>
  </si>
  <si>
    <t>98148-1087</t>
  </si>
  <si>
    <t>Des Moines Elementary</t>
  </si>
  <si>
    <t>23801 16th Avenue South</t>
  </si>
  <si>
    <t>Des Moines</t>
  </si>
  <si>
    <t>98198-6310</t>
  </si>
  <si>
    <t>Rick  Wisen</t>
  </si>
  <si>
    <t>rick.wisen@highlineschools.org</t>
  </si>
  <si>
    <t>206.631.3700</t>
  </si>
  <si>
    <t>White Center Heights Elementary</t>
  </si>
  <si>
    <t>10015 6th Avenue Southwest</t>
  </si>
  <si>
    <t>Marcello  Sgambelluri</t>
  </si>
  <si>
    <t>marcello.sgambelluri@highlineschools.org</t>
  </si>
  <si>
    <t>206.631.5200</t>
  </si>
  <si>
    <t>Hazel Valley Elementary</t>
  </si>
  <si>
    <t>402 SW 132nd St</t>
  </si>
  <si>
    <t>98146-3236</t>
  </si>
  <si>
    <t>Casey   Jeannot</t>
  </si>
  <si>
    <t>casey.jeannot@highlineschools.org</t>
  </si>
  <si>
    <t>206.631.3900</t>
  </si>
  <si>
    <t>McMicken Heights Elementary</t>
  </si>
  <si>
    <t>3708 S 168th St</t>
  </si>
  <si>
    <t>SeaTac</t>
  </si>
  <si>
    <t>98188-3149</t>
  </si>
  <si>
    <t>Alexandria  Haas</t>
  </si>
  <si>
    <t>alexandria.haas@highlineschools.org</t>
  </si>
  <si>
    <t>206.631.4300</t>
  </si>
  <si>
    <t>Beverly Park Elem at Glendale</t>
  </si>
  <si>
    <t>1201 S 104th St</t>
  </si>
  <si>
    <t>98168-1549</t>
  </si>
  <si>
    <t>Robin  Lamoureux</t>
  </si>
  <si>
    <t>Robin.Lamoureux@highlineschools.org</t>
  </si>
  <si>
    <t>206.631.3400</t>
  </si>
  <si>
    <t>Shorewood Elementary</t>
  </si>
  <si>
    <t>2725 SW 116th St</t>
  </si>
  <si>
    <t>98146-3499</t>
  </si>
  <si>
    <t>Michael  Fosberg</t>
  </si>
  <si>
    <t>michael.fosberg@highlineschools.org</t>
  </si>
  <si>
    <t>206.631.4900</t>
  </si>
  <si>
    <t>Gregory Heights Elementary</t>
  </si>
  <si>
    <t>16201 16th Ave SW</t>
  </si>
  <si>
    <t>Robin  Totten</t>
  </si>
  <si>
    <t>Robin.Totten@highlineschools.org</t>
  </si>
  <si>
    <t>206.631.3800</t>
  </si>
  <si>
    <t>Cedarhurst Elementary</t>
  </si>
  <si>
    <t>611 S 132nd St</t>
  </si>
  <si>
    <t>Millicent  Borishade</t>
  </si>
  <si>
    <t>millicent.borishade@highlineschools.org</t>
  </si>
  <si>
    <t>206.631.3600</t>
  </si>
  <si>
    <t>Sylvester Middle School</t>
  </si>
  <si>
    <t>16222 Sylvester Road SW</t>
  </si>
  <si>
    <t>98166-3093</t>
  </si>
  <si>
    <t>Gilbert   Parsons</t>
  </si>
  <si>
    <t>gilbert.parsons@highlineschools.org</t>
  </si>
  <si>
    <t>206.631.6000</t>
  </si>
  <si>
    <t>Bow Lake Elementary</t>
  </si>
  <si>
    <t>18237 42nd Ave S</t>
  </si>
  <si>
    <t>98188-4525</t>
  </si>
  <si>
    <t>Alicia  Gaynor</t>
  </si>
  <si>
    <t>alicia.gaynor@highlineschools.org</t>
  </si>
  <si>
    <t>206.631.3500</t>
  </si>
  <si>
    <t>North Hill Elementary</t>
  </si>
  <si>
    <t>19835 8th Ave S</t>
  </si>
  <si>
    <t>98148-2246</t>
  </si>
  <si>
    <t>Kimberly   Jones</t>
  </si>
  <si>
    <t>kimberly.jones@highlineschools.org</t>
  </si>
  <si>
    <t>206.631.4600</t>
  </si>
  <si>
    <t>Midway Elementary</t>
  </si>
  <si>
    <t>22447 24th Ave S</t>
  </si>
  <si>
    <t>98198-7199</t>
  </si>
  <si>
    <t>Debbie  Ellis</t>
  </si>
  <si>
    <t>debbie.ellis@highlineschools.org</t>
  </si>
  <si>
    <t>206.631.4400</t>
  </si>
  <si>
    <t>Southern Heights Elementary</t>
  </si>
  <si>
    <t>11249 14th Ave S</t>
  </si>
  <si>
    <t>98168-2199</t>
  </si>
  <si>
    <t>Andrea  Smith</t>
  </si>
  <si>
    <t>andrea.smith@highlineschools.org</t>
  </si>
  <si>
    <t>206.631.5000</t>
  </si>
  <si>
    <t>Marvista Elementary</t>
  </si>
  <si>
    <t>19800 Marine View Dr SW</t>
  </si>
  <si>
    <t>Normandy Park</t>
  </si>
  <si>
    <t>98166-4199</t>
  </si>
  <si>
    <t>Melissa  Pointer</t>
  </si>
  <si>
    <t>melissa.pointer@highlineschools.org</t>
  </si>
  <si>
    <t>206.631.4200</t>
  </si>
  <si>
    <t>Chinook Middle School</t>
  </si>
  <si>
    <t>18650 42nd Ave S</t>
  </si>
  <si>
    <t>98188-5012</t>
  </si>
  <si>
    <t>Karin  Jones</t>
  </si>
  <si>
    <t>karin.jones@highlineschools.org</t>
  </si>
  <si>
    <t>206.631.5700</t>
  </si>
  <si>
    <t>Evergreen High School</t>
  </si>
  <si>
    <t>830 SW 116th St</t>
  </si>
  <si>
    <t>98146-2298</t>
  </si>
  <si>
    <t>Jacqueline   Downey</t>
  </si>
  <si>
    <t>jacqueline.downey@highlineschools.org</t>
  </si>
  <si>
    <t>206.631.6150</t>
  </si>
  <si>
    <t>Cascade Middle School</t>
  </si>
  <si>
    <t>11212 10th Ave Sw</t>
  </si>
  <si>
    <t>98146-2297</t>
  </si>
  <si>
    <t>Daniel  Calderon</t>
  </si>
  <si>
    <t>daniel.calderon@highlineschools.org</t>
  </si>
  <si>
    <t>206.631.5500</t>
  </si>
  <si>
    <t>Hilltop Elementary</t>
  </si>
  <si>
    <t>12250 24th Ave S</t>
  </si>
  <si>
    <t>98168-2424</t>
  </si>
  <si>
    <t>John  Erickson</t>
  </si>
  <si>
    <t>john.erickson@highlineschools.org</t>
  </si>
  <si>
    <t>206.631.4000</t>
  </si>
  <si>
    <t>Madrona Elementary</t>
  </si>
  <si>
    <t>20301 32nd Avenue South</t>
  </si>
  <si>
    <t>Kellie  Hernandez</t>
  </si>
  <si>
    <t>Kellie.Hernandez@highlineschools.org</t>
  </si>
  <si>
    <t>206.631.4100</t>
  </si>
  <si>
    <t>Mount Rainier High School</t>
  </si>
  <si>
    <t>22450 19th Ave S</t>
  </si>
  <si>
    <t>98198-7699</t>
  </si>
  <si>
    <t>Kyle  Linman</t>
  </si>
  <si>
    <t>kyle.linman@highlineschools.org</t>
  </si>
  <si>
    <t>206.631.7000</t>
  </si>
  <si>
    <t>Pacific Middle School</t>
  </si>
  <si>
    <t>22705 24th Ave S</t>
  </si>
  <si>
    <t>98198-7195</t>
  </si>
  <si>
    <t>Vanessa  Banner</t>
  </si>
  <si>
    <t>vanessa.banner@highlineschools.org</t>
  </si>
  <si>
    <t>206.631.5800</t>
  </si>
  <si>
    <t>Parkside Elementary</t>
  </si>
  <si>
    <t>2104 S 247th St</t>
  </si>
  <si>
    <t>98198-3901</t>
  </si>
  <si>
    <t>Bobbi  Giammona</t>
  </si>
  <si>
    <t>bobbi.giammona@highlineschools.org</t>
  </si>
  <si>
    <t>206.631.4700</t>
  </si>
  <si>
    <t>Seahurst Elementary School</t>
  </si>
  <si>
    <t>14603 14th Ave SW</t>
  </si>
  <si>
    <t xml:space="preserve"> </t>
  </si>
  <si>
    <t>98166-1730</t>
  </si>
  <si>
    <t>Terry   Holtgraves</t>
  </si>
  <si>
    <t>Terry.holtgraves@highlineschools.org</t>
  </si>
  <si>
    <t>206.631.4800</t>
  </si>
  <si>
    <t>Tyee High School</t>
  </si>
  <si>
    <t>4424 S 188th St</t>
  </si>
  <si>
    <t>98188-5097</t>
  </si>
  <si>
    <t>Timothy  Schlosser</t>
  </si>
  <si>
    <t>timothy.schlosser@highlineschools.org</t>
  </si>
  <si>
    <t>206.631.6400</t>
  </si>
  <si>
    <t>Vashon Island School District</t>
  </si>
  <si>
    <t>Family Link</t>
  </si>
  <si>
    <t>20120 VASHON HWY SW</t>
  </si>
  <si>
    <t>VASHON</t>
  </si>
  <si>
    <t>98070-6026</t>
  </si>
  <si>
    <t>Danny  Rock</t>
  </si>
  <si>
    <t>drock@vashonsd.org</t>
  </si>
  <si>
    <t>206.463.9171</t>
  </si>
  <si>
    <t>K-12</t>
  </si>
  <si>
    <t>Vashon Island High School</t>
  </si>
  <si>
    <t>9600 SW 204TH ST</t>
  </si>
  <si>
    <t>98070-0000</t>
  </si>
  <si>
    <t>McMurray Middle School</t>
  </si>
  <si>
    <t>9329 SW CEMETERY RD</t>
  </si>
  <si>
    <t>Gregory W Allison</t>
  </si>
  <si>
    <t>gallison@vashonsd.org</t>
  </si>
  <si>
    <t>206.463.9168</t>
  </si>
  <si>
    <t>Chautauqua Elementary</t>
  </si>
  <si>
    <t>9309 SW CEMETERY RD</t>
  </si>
  <si>
    <t>Rebecca   Goertzel</t>
  </si>
  <si>
    <t>rgoertzel@vashonsd.org</t>
  </si>
  <si>
    <t>206.463.8575</t>
  </si>
  <si>
    <t>Renton School District</t>
  </si>
  <si>
    <t>Griffin Home</t>
  </si>
  <si>
    <t>2500 Lake Washington Blvd N</t>
  </si>
  <si>
    <t>Renton</t>
  </si>
  <si>
    <t>98056-2508</t>
  </si>
  <si>
    <t>Travis  Hall</t>
  </si>
  <si>
    <t>travis.hall@rentonschools.us</t>
  </si>
  <si>
    <t>425.204.2550</t>
  </si>
  <si>
    <t>Out Of District Facility</t>
  </si>
  <si>
    <t>300 SW 7th St</t>
  </si>
  <si>
    <t>98055-2307</t>
  </si>
  <si>
    <t>Jennifer  Traufler</t>
  </si>
  <si>
    <t>jennifer.traufler@rentonschools.us</t>
  </si>
  <si>
    <t>425.204.2302</t>
  </si>
  <si>
    <t>H.O.M.E. Program</t>
  </si>
  <si>
    <t>2607 Jones Ave S</t>
  </si>
  <si>
    <t>98055-5102</t>
  </si>
  <si>
    <t>Kay  Edgerton</t>
  </si>
  <si>
    <t>kathryn.edgerton@rentonschools.us</t>
  </si>
  <si>
    <t>425.204.2520</t>
  </si>
  <si>
    <t>Bryn Mawr Elementary School</t>
  </si>
  <si>
    <t>8212 S 118th St</t>
  </si>
  <si>
    <t>98178-3854</t>
  </si>
  <si>
    <t>Jaime  Maxie</t>
  </si>
  <si>
    <t>jaime.maxie@rentonschools.us</t>
  </si>
  <si>
    <t>425.204.4150</t>
  </si>
  <si>
    <t>Renton Senior High School</t>
  </si>
  <si>
    <t>400 S 2nd St</t>
  </si>
  <si>
    <t>98055-2007</t>
  </si>
  <si>
    <t>Gia  San Martin</t>
  </si>
  <si>
    <t>giovanna.sanmartin@rentonschools.us</t>
  </si>
  <si>
    <t>425.204.3400</t>
  </si>
  <si>
    <t>Kennydale Elementary School</t>
  </si>
  <si>
    <t>1700 NE 28th St</t>
  </si>
  <si>
    <t>98056-2228</t>
  </si>
  <si>
    <t>Nicole  O'Brien</t>
  </si>
  <si>
    <t>nicole.obrien@rentonschools.us</t>
  </si>
  <si>
    <t>425.204.4700</t>
  </si>
  <si>
    <t>Highlands Elementary School</t>
  </si>
  <si>
    <t>2720 NE 7th St</t>
  </si>
  <si>
    <t>98056-3714</t>
  </si>
  <si>
    <t>Alfred  DeBlasio</t>
  </si>
  <si>
    <t>alfred.deblasio@rentonschools.us</t>
  </si>
  <si>
    <t>425.204.4600</t>
  </si>
  <si>
    <t>7400 S 115th St</t>
  </si>
  <si>
    <t>98178-3023</t>
  </si>
  <si>
    <t>Holly Megan Thompson</t>
  </si>
  <si>
    <t>holly.thompson@rentonschools.us</t>
  </si>
  <si>
    <t>425.204.4100</t>
  </si>
  <si>
    <t>Campbell Hill Elementary School</t>
  </si>
  <si>
    <t>6418 S 124th St</t>
  </si>
  <si>
    <t>98178-3627</t>
  </si>
  <si>
    <t>Deeann  Wells</t>
  </si>
  <si>
    <t>deeann.wells@rentonschools.us</t>
  </si>
  <si>
    <t>425.204.4000</t>
  </si>
  <si>
    <t>McKnight Middle School</t>
  </si>
  <si>
    <t>1200 Edmonds Ave NE</t>
  </si>
  <si>
    <t>98056-2763</t>
  </si>
  <si>
    <t>Jordanne  Nevin</t>
  </si>
  <si>
    <t>jordanne.nevin@rentonschools.us</t>
  </si>
  <si>
    <t>425.204.3600</t>
  </si>
  <si>
    <t>Dimmitt Middle School</t>
  </si>
  <si>
    <t>12320 80th Ave S</t>
  </si>
  <si>
    <t>98178-4413</t>
  </si>
  <si>
    <t>Gioia  Pitts</t>
  </si>
  <si>
    <t>gioia.pitts@rentonschools.us</t>
  </si>
  <si>
    <t>425.204.2800</t>
  </si>
  <si>
    <t>Cascade Elementary School</t>
  </si>
  <si>
    <t>16022 116th Ave SE</t>
  </si>
  <si>
    <t>98058-5245</t>
  </si>
  <si>
    <t>Rachel  Lockhart</t>
  </si>
  <si>
    <t>rachel.lockhart@rentonschools.us</t>
  </si>
  <si>
    <t>425.204.3350</t>
  </si>
  <si>
    <t>Nelsen Middle School</t>
  </si>
  <si>
    <t>2403 Jones Ave S</t>
  </si>
  <si>
    <t>98055-4304</t>
  </si>
  <si>
    <t>Stephen  Rencher</t>
  </si>
  <si>
    <t>stephen.rencher@rentonschools.us</t>
  </si>
  <si>
    <t>425.204.3008</t>
  </si>
  <si>
    <t>Hazelwood Elementary School</t>
  </si>
  <si>
    <t>7100 116th Ave SE</t>
  </si>
  <si>
    <t>Newcastle</t>
  </si>
  <si>
    <t>98056-1133</t>
  </si>
  <si>
    <t>Tracey  Tymczyszyn</t>
  </si>
  <si>
    <t>tracey.tymczyszyn@rentonschools.us</t>
  </si>
  <si>
    <t>425.204.4550</t>
  </si>
  <si>
    <t>Renton Park Elementary School</t>
  </si>
  <si>
    <t>16828 128th Ave SE</t>
  </si>
  <si>
    <t>98058-6149</t>
  </si>
  <si>
    <t>Jo  Kain</t>
  </si>
  <si>
    <t>jo.kain@rentonschools.us</t>
  </si>
  <si>
    <t>425.204.2950</t>
  </si>
  <si>
    <t>Maplewood Heights Elementary School</t>
  </si>
  <si>
    <t>130 Jericho Ave SE</t>
  </si>
  <si>
    <t>Tamra  F. Prince</t>
  </si>
  <si>
    <t>tamra.prince@rentonschools.us</t>
  </si>
  <si>
    <t>425.204.4750</t>
  </si>
  <si>
    <t>Benson Hill Elementary School</t>
  </si>
  <si>
    <t>18665 116th Ave SE</t>
  </si>
  <si>
    <t>98058-7198</t>
  </si>
  <si>
    <t>Martha  Flemming</t>
  </si>
  <si>
    <t>martha.flemming@rentonschools.us</t>
  </si>
  <si>
    <t>425.204.3300</t>
  </si>
  <si>
    <t>Hazen Senior High School</t>
  </si>
  <si>
    <t>1101 Hoquiam Ave NE</t>
  </si>
  <si>
    <t>98059-4314</t>
  </si>
  <si>
    <t>Kate  O'Brien</t>
  </si>
  <si>
    <t>katie.obrien@rentonschools.us</t>
  </si>
  <si>
    <t>425.204.4200</t>
  </si>
  <si>
    <t>Sierra Heights Elementary School</t>
  </si>
  <si>
    <t>9901 132nd Ave SE</t>
  </si>
  <si>
    <t>98059-3505</t>
  </si>
  <si>
    <t>Laura  Bohn</t>
  </si>
  <si>
    <t>laura.bohn@rentonschools.us</t>
  </si>
  <si>
    <t>425.204.4650</t>
  </si>
  <si>
    <t>Tiffany Park Elementary School</t>
  </si>
  <si>
    <t>1601 Lake Youngs Way SE</t>
  </si>
  <si>
    <t>98058-3817</t>
  </si>
  <si>
    <t>Steven  Lesco</t>
  </si>
  <si>
    <t>steven.lesco@rentonschools.us</t>
  </si>
  <si>
    <t>425.204.4850</t>
  </si>
  <si>
    <t>Talbot Hill Elementary School</t>
  </si>
  <si>
    <t>2300 Talbot Rd S</t>
  </si>
  <si>
    <t>98055-4222</t>
  </si>
  <si>
    <t>Holly  Nielsen</t>
  </si>
  <si>
    <t>holly.nielsen@rentonschools.us</t>
  </si>
  <si>
    <t>425.204.4900</t>
  </si>
  <si>
    <t>Lindbergh Senior High School</t>
  </si>
  <si>
    <t>16426 128th Ave SE</t>
  </si>
  <si>
    <t>98058-5534</t>
  </si>
  <si>
    <t>Thomas  Caudle</t>
  </si>
  <si>
    <t>thomas.caudle@rentonschools.us</t>
  </si>
  <si>
    <t>425.204.3200</t>
  </si>
  <si>
    <t>Skykomish School District</t>
  </si>
  <si>
    <t>Skykomish Elementary School</t>
  </si>
  <si>
    <t>P.O. Box 325</t>
  </si>
  <si>
    <t>Skykomish</t>
  </si>
  <si>
    <t>98288-0325</t>
  </si>
  <si>
    <t>Thomas  Jay</t>
  </si>
  <si>
    <t>tjay@skykomish.wednet.edu</t>
  </si>
  <si>
    <t>360.677.2623</t>
  </si>
  <si>
    <t>Skykomish High School</t>
  </si>
  <si>
    <t>Thomas  JaY</t>
  </si>
  <si>
    <t>Bellevue School District</t>
  </si>
  <si>
    <t>Bellevue High School</t>
  </si>
  <si>
    <t>10416 Wolverine Way</t>
  </si>
  <si>
    <t>Bellevue</t>
  </si>
  <si>
    <t>98004-6600</t>
  </si>
  <si>
    <t>Vic (Victor)  Anderson</t>
  </si>
  <si>
    <t>andersonv@bsd405.org</t>
  </si>
  <si>
    <t>425.456.7000</t>
  </si>
  <si>
    <t>Enatai Elementary School</t>
  </si>
  <si>
    <t>10700 SE 25th Street</t>
  </si>
  <si>
    <t>Amy  MacDonald</t>
  </si>
  <si>
    <t>macdonalda@bsd405.org</t>
  </si>
  <si>
    <t>425.456.5200</t>
  </si>
  <si>
    <t>Clyde Hill Elementary</t>
  </si>
  <si>
    <t>9601 NE 24th Street</t>
  </si>
  <si>
    <t>98004-2100</t>
  </si>
  <si>
    <t>Edmund  Wong</t>
  </si>
  <si>
    <t>Wonde@bsd405.org</t>
  </si>
  <si>
    <t>425.456.5000</t>
  </si>
  <si>
    <t>Eastgate Elementary School</t>
  </si>
  <si>
    <t>4255 153rd Avenue SE</t>
  </si>
  <si>
    <t>98006-1739</t>
  </si>
  <si>
    <t>May  Pelto</t>
  </si>
  <si>
    <t>peltom@bsd405.org</t>
  </si>
  <si>
    <t>425.456.5100</t>
  </si>
  <si>
    <t>Stevenson Elementary</t>
  </si>
  <si>
    <t>14220 NE 8th Street</t>
  </si>
  <si>
    <t>98007-4103</t>
  </si>
  <si>
    <t>Anissa  Bashey</t>
  </si>
  <si>
    <t>basheya@bsd405.org</t>
  </si>
  <si>
    <t>425.456.6000</t>
  </si>
  <si>
    <t>Highland Middle School</t>
  </si>
  <si>
    <t xml:space="preserve">11650 SE 60th </t>
  </si>
  <si>
    <t>Susan  Thomas</t>
  </si>
  <si>
    <t>thomass@bsd405.org</t>
  </si>
  <si>
    <t>425.456.6400</t>
  </si>
  <si>
    <t>Woodridge Elementary</t>
  </si>
  <si>
    <t>12619 SE 20th Place</t>
  </si>
  <si>
    <t>98005-4646</t>
  </si>
  <si>
    <t>Nicole  Hepworth</t>
  </si>
  <si>
    <t>hepworthn@bsd405.org</t>
  </si>
  <si>
    <t>425.456.6200</t>
  </si>
  <si>
    <t>Phantom Lake Elementary</t>
  </si>
  <si>
    <t>1050  160th Avenue SE</t>
  </si>
  <si>
    <t>98008-5099</t>
  </si>
  <si>
    <t>Melissa  Macias</t>
  </si>
  <si>
    <t>salasm@bsd405.org</t>
  </si>
  <si>
    <t>425.456.5600</t>
  </si>
  <si>
    <t>Puesta del Sol Elementary School</t>
  </si>
  <si>
    <t>3810  132nd Avenue SE</t>
  </si>
  <si>
    <t>98006-1310</t>
  </si>
  <si>
    <t>Jonathan  Shearer</t>
  </si>
  <si>
    <t>shearerj@bsd405.org</t>
  </si>
  <si>
    <t>425.456.6100</t>
  </si>
  <si>
    <t>Lake Hills Elementary</t>
  </si>
  <si>
    <t>14310 SE 12th Street</t>
  </si>
  <si>
    <t>98007-5596</t>
  </si>
  <si>
    <t>Erin  King</t>
  </si>
  <si>
    <t>kinge@bsd405.org</t>
  </si>
  <si>
    <t>425.456.5300</t>
  </si>
  <si>
    <t>Sammamish Senior High</t>
  </si>
  <si>
    <t>100  140th Avenue SE</t>
  </si>
  <si>
    <t>98005-3721</t>
  </si>
  <si>
    <t>Derrick  Richardson</t>
  </si>
  <si>
    <t>richardsonde@bsd405.org</t>
  </si>
  <si>
    <t>425.456.7600</t>
  </si>
  <si>
    <t>Tyee Middle School</t>
  </si>
  <si>
    <t>13630 S.E. Allen Road</t>
  </si>
  <si>
    <t>Byron  Lillie</t>
  </si>
  <si>
    <t>lillieb@bsd405.org</t>
  </si>
  <si>
    <t>425.456.6800</t>
  </si>
  <si>
    <t>2001 98th Ave NE</t>
  </si>
  <si>
    <t>Russell  White</t>
  </si>
  <si>
    <t>whiter@bsd405.org</t>
  </si>
  <si>
    <t>425.456.6300</t>
  </si>
  <si>
    <t>Sherwood Forest Elementary</t>
  </si>
  <si>
    <t>16411 NE 24th Street</t>
  </si>
  <si>
    <t>98008-2491</t>
  </si>
  <si>
    <t>Danelle  Edwards</t>
  </si>
  <si>
    <t>edwardsd@bsd405.org</t>
  </si>
  <si>
    <t>425.456.5700</t>
  </si>
  <si>
    <t>Tillicum Middle School</t>
  </si>
  <si>
    <t>1280 160th Avenue SE</t>
  </si>
  <si>
    <t>James  Peterson</t>
  </si>
  <si>
    <t>petersonj@bsd405.org</t>
  </si>
  <si>
    <t>425.456.6700</t>
  </si>
  <si>
    <t>Medina Elementary School</t>
  </si>
  <si>
    <t>8001 NE 8TH ST.</t>
  </si>
  <si>
    <t>MEDINA</t>
  </si>
  <si>
    <t>98039-4710</t>
  </si>
  <si>
    <t>Laurie  Harvey</t>
  </si>
  <si>
    <t>harveyl@bsd405.org</t>
  </si>
  <si>
    <t>425.456.5400</t>
  </si>
  <si>
    <t>Newport Heights Elementary</t>
  </si>
  <si>
    <t>5225 119th Ave SE</t>
  </si>
  <si>
    <t>98006-3301</t>
  </si>
  <si>
    <t>Cathy  Lolley Leaver</t>
  </si>
  <si>
    <t>lolleyc@bsd405.org</t>
  </si>
  <si>
    <t>Newport Senior High School</t>
  </si>
  <si>
    <t>4333 Factoria Boulevard SE</t>
  </si>
  <si>
    <t>98006-1999</t>
  </si>
  <si>
    <t>Dion  Yahoudy</t>
  </si>
  <si>
    <t>yahoudyd@bsd405.org</t>
  </si>
  <si>
    <t>425.456.7400</t>
  </si>
  <si>
    <t>Interlake Senior High School</t>
  </si>
  <si>
    <t>16245 NE 24th Street</t>
  </si>
  <si>
    <t>98008-2492</t>
  </si>
  <si>
    <t>Maria  Frieboes-Gee</t>
  </si>
  <si>
    <t>frieboem@bsd405.org</t>
  </si>
  <si>
    <t>425.456.7200</t>
  </si>
  <si>
    <t>Odle Middle School</t>
  </si>
  <si>
    <t>502 143rd Avenue NE</t>
  </si>
  <si>
    <t>Aaron  Miller</t>
  </si>
  <si>
    <t>millera@bsd405.org</t>
  </si>
  <si>
    <t>425.456.6600</t>
  </si>
  <si>
    <t>Ardmore Elementary School</t>
  </si>
  <si>
    <t>16616 NE 32nd St.</t>
  </si>
  <si>
    <t>98008-2006</t>
  </si>
  <si>
    <t>Anne  Reece</t>
  </si>
  <si>
    <t>reecea@bsd405.org</t>
  </si>
  <si>
    <t>425.456.4700</t>
  </si>
  <si>
    <t>Spiritridge Elementary School</t>
  </si>
  <si>
    <t>16401 SE 24th Street</t>
  </si>
  <si>
    <t>98008-5499</t>
  </si>
  <si>
    <t>Scott  Hetherington</t>
  </si>
  <si>
    <t>hetheringtons@bsd405.org</t>
  </si>
  <si>
    <t>425.456.5900</t>
  </si>
  <si>
    <t>Bennett Elementary School</t>
  </si>
  <si>
    <t>17900 NE 16th Street</t>
  </si>
  <si>
    <t>David   Staight</t>
  </si>
  <si>
    <t>staightd@bsd405.org</t>
  </si>
  <si>
    <t>425.456.4800</t>
  </si>
  <si>
    <t>Cherry Crest Elementary School</t>
  </si>
  <si>
    <t>12400 N.E. 32nd St.</t>
  </si>
  <si>
    <t>Dusty  Steere</t>
  </si>
  <si>
    <t>steered@bsd405.org</t>
  </si>
  <si>
    <t>425.456.4900</t>
  </si>
  <si>
    <t>Somerset Elementary School</t>
  </si>
  <si>
    <t>14100 Somerset Boulevard SE</t>
  </si>
  <si>
    <t>98006-2399</t>
  </si>
  <si>
    <t>Judy  Bowlby</t>
  </si>
  <si>
    <t>bowlbyj@bsd405.org</t>
  </si>
  <si>
    <t>425.456.5800</t>
  </si>
  <si>
    <t>Tukwila School District</t>
  </si>
  <si>
    <t>Showalter Middle School</t>
  </si>
  <si>
    <t>4628 S 144TH ST</t>
  </si>
  <si>
    <t>TUKWILA</t>
  </si>
  <si>
    <t>98168-0000</t>
  </si>
  <si>
    <t>Brett  Christopher</t>
  </si>
  <si>
    <t>christopherb@tukwila.wednet.edu</t>
  </si>
  <si>
    <t>206.901.7805</t>
  </si>
  <si>
    <t>Foster Senior High School</t>
  </si>
  <si>
    <t>4242 S 144th St</t>
  </si>
  <si>
    <t>Tukwila</t>
  </si>
  <si>
    <t>Richard  Harwood</t>
  </si>
  <si>
    <t>harwoodr@tukwila.wednet.edu</t>
  </si>
  <si>
    <t>206.901.7905</t>
  </si>
  <si>
    <t>Cascade View Elementary</t>
  </si>
  <si>
    <t>13601 32nd Avenue S</t>
  </si>
  <si>
    <t>Tenesha  Fremstad</t>
  </si>
  <si>
    <t>fremstadt@tukwila.wednet.edu</t>
  </si>
  <si>
    <t>206.901.7705</t>
  </si>
  <si>
    <t>Tukwila Elementary</t>
  </si>
  <si>
    <t>5939 S 149TH ST</t>
  </si>
  <si>
    <t>Steve  Salisbury</t>
  </si>
  <si>
    <t>salisburys@tukwila.wednet.edu</t>
  </si>
  <si>
    <t>206.901.7505</t>
  </si>
  <si>
    <t>Thorndyke Elementary</t>
  </si>
  <si>
    <t>4415 S 150TH ST</t>
  </si>
  <si>
    <t>Javier  Roman</t>
  </si>
  <si>
    <t>romanj@tukwila.wednet.edu</t>
  </si>
  <si>
    <t>206.901.7600</t>
  </si>
  <si>
    <t>Riverview School District</t>
  </si>
  <si>
    <t>CLIP</t>
  </si>
  <si>
    <t>32302 NE 50th Street</t>
  </si>
  <si>
    <t>Carnation</t>
  </si>
  <si>
    <t>John  Bomar</t>
  </si>
  <si>
    <t>bomarj@rsd407.org</t>
  </si>
  <si>
    <t>425.844.4960</t>
  </si>
  <si>
    <t>PARADE</t>
  </si>
  <si>
    <t>32302 NE 50th St</t>
  </si>
  <si>
    <t>98014-6332</t>
  </si>
  <si>
    <t>Carnation Elementary School</t>
  </si>
  <si>
    <t>4950 Tolt Ave</t>
  </si>
  <si>
    <t>98014-7608</t>
  </si>
  <si>
    <t>Chris  Lupo</t>
  </si>
  <si>
    <t>lupoc@rsd407.org</t>
  </si>
  <si>
    <t>425.844.4553</t>
  </si>
  <si>
    <t>Eagle Rock Multiage School</t>
  </si>
  <si>
    <t>29300 NE 150th St</t>
  </si>
  <si>
    <t>Duvall</t>
  </si>
  <si>
    <t>98019-8523</t>
  </si>
  <si>
    <t>Molly  Lutz</t>
  </si>
  <si>
    <t>lutzm@rsd407.org</t>
  </si>
  <si>
    <t>425.844.4900</t>
  </si>
  <si>
    <t>Cherry Valley Elementary School</t>
  </si>
  <si>
    <t>26701 NE Cherry Valley Rd</t>
  </si>
  <si>
    <t>98019-8618</t>
  </si>
  <si>
    <t>Roxanne  Luchini</t>
  </si>
  <si>
    <t>luchinir@rsd407.org</t>
  </si>
  <si>
    <t>425.844.4750</t>
  </si>
  <si>
    <t>Cedarcrest High School</t>
  </si>
  <si>
    <t>29000 NE 150th St</t>
  </si>
  <si>
    <t>98019-8519</t>
  </si>
  <si>
    <t>Ray  LaBate</t>
  </si>
  <si>
    <t>labater@rsd407.org</t>
  </si>
  <si>
    <t>425.844.4800</t>
  </si>
  <si>
    <t>Tolt Middle School</t>
  </si>
  <si>
    <t>3740 Tolt Ave</t>
  </si>
  <si>
    <t>98014-7537</t>
  </si>
  <si>
    <t>Amie  Karkainen</t>
  </si>
  <si>
    <t>karkinena@rsd407.org</t>
  </si>
  <si>
    <t>425.844.4603</t>
  </si>
  <si>
    <t>Stillwater Elementary</t>
  </si>
  <si>
    <t>11530 320th Ave NE</t>
  </si>
  <si>
    <t>98014-9792</t>
  </si>
  <si>
    <t>Jack  Madigan</t>
  </si>
  <si>
    <t>madiganj@rsd407.org</t>
  </si>
  <si>
    <t>425.844.4680</t>
  </si>
  <si>
    <t>Auburn School District</t>
  </si>
  <si>
    <t>Washington Elementary School</t>
  </si>
  <si>
    <t>20 E ST NE</t>
  </si>
  <si>
    <t>98002-5501</t>
  </si>
  <si>
    <t>PAULINE  THOMAS</t>
  </si>
  <si>
    <t>pthomas@auburn.wednet.edu</t>
  </si>
  <si>
    <t>253.931.4988</t>
  </si>
  <si>
    <t>1015 24TH ST NE</t>
  </si>
  <si>
    <t>98002-2430</t>
  </si>
  <si>
    <t>Megan  McGroarty</t>
  </si>
  <si>
    <t>mmcgroarty@auburn.wednet.edu</t>
  </si>
  <si>
    <t>253.931.4995</t>
  </si>
  <si>
    <t>Terminal Park Elementary School</t>
  </si>
  <si>
    <t>1101 D ST SE</t>
  </si>
  <si>
    <t>98002-6013</t>
  </si>
  <si>
    <t>Mike  Weibel</t>
  </si>
  <si>
    <t>mweibel@auburn.wednet.edu</t>
  </si>
  <si>
    <t>253.931.4978</t>
  </si>
  <si>
    <t>West Auburn Senior High School</t>
  </si>
  <si>
    <t>401 W MAIN ST</t>
  </si>
  <si>
    <t>98001-5275</t>
  </si>
  <si>
    <t>Michael  Robinson</t>
  </si>
  <si>
    <t>mrobinson@auburn.wednet.edu</t>
  </si>
  <si>
    <t>253.931.4990</t>
  </si>
  <si>
    <t>Auburn Senior High School</t>
  </si>
  <si>
    <t>711 E MAIN ST</t>
  </si>
  <si>
    <t>98002-5662</t>
  </si>
  <si>
    <t>Jeffry  Gardner</t>
  </si>
  <si>
    <t>jgardner@auburn.wednet.edu</t>
  </si>
  <si>
    <t>253.931.4880</t>
  </si>
  <si>
    <t>Dick Scobee Elementary School</t>
  </si>
  <si>
    <t>1031 14th ST NE</t>
  </si>
  <si>
    <t>Adam  Couch</t>
  </si>
  <si>
    <t>acouch@auburn.wednet.edu</t>
  </si>
  <si>
    <t>253.931.4984</t>
  </si>
  <si>
    <t>Olympic Middle School</t>
  </si>
  <si>
    <t>839 21st ST SE</t>
  </si>
  <si>
    <t>98002-8300</t>
  </si>
  <si>
    <t>Jason  Hill</t>
  </si>
  <si>
    <t>jhill@auburn.wednet.edu</t>
  </si>
  <si>
    <t>253.931.4966</t>
  </si>
  <si>
    <t>Pioneer Elementary School</t>
  </si>
  <si>
    <t>1825 K ST SE</t>
  </si>
  <si>
    <t>98002-6914</t>
  </si>
  <si>
    <t>Paul  McKenzie</t>
  </si>
  <si>
    <t>pmckenzie@auburn.wednet.edu</t>
  </si>
  <si>
    <t>253.931.4986</t>
  </si>
  <si>
    <t>Chinook Elementary School</t>
  </si>
  <si>
    <t>3502 AUBURN WAY S</t>
  </si>
  <si>
    <t>98092-7221</t>
  </si>
  <si>
    <t>Jennifer  Davidson</t>
  </si>
  <si>
    <t>jdavidson@auburn.wednet.edu</t>
  </si>
  <si>
    <t>253.931.4980</t>
  </si>
  <si>
    <t>Lea Hill Elementary School</t>
  </si>
  <si>
    <t>30908 124TH AVE SE</t>
  </si>
  <si>
    <t>98092-3154</t>
  </si>
  <si>
    <t>EDWARD  HERDA</t>
  </si>
  <si>
    <t>eherda@auburn.wednet.edu</t>
  </si>
  <si>
    <t>253.931.4982</t>
  </si>
  <si>
    <t>Gildo Rey Elementary School</t>
  </si>
  <si>
    <t>1005 37TH ST SE</t>
  </si>
  <si>
    <t>98002-8710</t>
  </si>
  <si>
    <t>Lenny  Holloman</t>
  </si>
  <si>
    <t>LHolloman@auburn.wednet.edu</t>
  </si>
  <si>
    <t>253.931.4952</t>
  </si>
  <si>
    <t>Evergreen Heights Elementary</t>
  </si>
  <si>
    <t>5602 S 316TH ST</t>
  </si>
  <si>
    <t>98001-3822</t>
  </si>
  <si>
    <t>Anne   Gayman</t>
  </si>
  <si>
    <t>agayman@auburn.wednet.edu</t>
  </si>
  <si>
    <t>253.931.4974</t>
  </si>
  <si>
    <t>Alpac Elementary School</t>
  </si>
  <si>
    <t>310 MILWAUKEE BLVD N</t>
  </si>
  <si>
    <t>PACIFIC</t>
  </si>
  <si>
    <t>98047-1122</t>
  </si>
  <si>
    <t>James  Riley</t>
  </si>
  <si>
    <t>jriley@auburn.wednet.edu</t>
  </si>
  <si>
    <t>253.931.4976</t>
  </si>
  <si>
    <t>Lake View Elementary School</t>
  </si>
  <si>
    <t>16401 SE 318TH ST</t>
  </si>
  <si>
    <t>98092-9285</t>
  </si>
  <si>
    <t>Dan  St Mary</t>
  </si>
  <si>
    <t>dstmary@auburn.wednet.edu</t>
  </si>
  <si>
    <t>253.931.4830</t>
  </si>
  <si>
    <t>11815 SE 304TH ST</t>
  </si>
  <si>
    <t>98092-3115</t>
  </si>
  <si>
    <t>Sally  Colburn</t>
  </si>
  <si>
    <t>scolburn@auburn.wednet.edu</t>
  </si>
  <si>
    <t>253.931.4740</t>
  </si>
  <si>
    <t>Rainier Middle School</t>
  </si>
  <si>
    <t>30620 116TH AVE SE</t>
  </si>
  <si>
    <t>98092-3161</t>
  </si>
  <si>
    <t>Justin  Maier</t>
  </si>
  <si>
    <t>jmaier@auburn.wednet.edu</t>
  </si>
  <si>
    <t>253.931.4955</t>
  </si>
  <si>
    <t>Ilalko Elementary School</t>
  </si>
  <si>
    <t>301 ORAVETZ PL SE</t>
  </si>
  <si>
    <t>98092-8601</t>
  </si>
  <si>
    <t>Timothy  Carstens</t>
  </si>
  <si>
    <t>tcarstens@auburn.wednet.edu</t>
  </si>
  <si>
    <t>253.931.4748</t>
  </si>
  <si>
    <t>Mt Baker Middle School</t>
  </si>
  <si>
    <t>620 37TH ST SE</t>
  </si>
  <si>
    <t>98002-8011</t>
  </si>
  <si>
    <t>Greg  Brown</t>
  </si>
  <si>
    <t>gbrown@auburn.wednet.edu</t>
  </si>
  <si>
    <t>253.804.4555</t>
  </si>
  <si>
    <t>Auburn Riverside High School</t>
  </si>
  <si>
    <t>501 ORAVETZ RD SE</t>
  </si>
  <si>
    <t>98092-8621</t>
  </si>
  <si>
    <t>DAVID  HALFORD</t>
  </si>
  <si>
    <t>dhalford@auburn.wednet.edu</t>
  </si>
  <si>
    <t>253.804.5154</t>
  </si>
  <si>
    <t>Tahoma School District</t>
  </si>
  <si>
    <t>Tahoma Senior High School</t>
  </si>
  <si>
    <t>23499 SE Tahoma Way</t>
  </si>
  <si>
    <t>Maple Valley</t>
  </si>
  <si>
    <t>Terry  Duty</t>
  </si>
  <si>
    <t>tduty@tahomasd.us</t>
  </si>
  <si>
    <t>425.413.6201</t>
  </si>
  <si>
    <t>Lake Wilderness Elementary</t>
  </si>
  <si>
    <t>24216 Witte Road SE</t>
  </si>
  <si>
    <t>98038-6827</t>
  </si>
  <si>
    <t>Melanie  Ready</t>
  </si>
  <si>
    <t>mready@TahomaSD.US</t>
  </si>
  <si>
    <t>425.413.3509</t>
  </si>
  <si>
    <t>Summit Trail Middle School</t>
  </si>
  <si>
    <t>25600 SE Summit Landsburg Rd</t>
  </si>
  <si>
    <t>Ravensdale</t>
  </si>
  <si>
    <t>Sean  Cassidy</t>
  </si>
  <si>
    <t>scassidy@tahomasd.us</t>
  </si>
  <si>
    <t>425.413.5601</t>
  </si>
  <si>
    <t>Shadow Lake Elementary</t>
  </si>
  <si>
    <t>22620 Sweeney Road SE</t>
  </si>
  <si>
    <t>98038-6416</t>
  </si>
  <si>
    <t>Scott  Mitchell</t>
  </si>
  <si>
    <t>SMitchel@TahomaSD.US</t>
  </si>
  <si>
    <t>425.413.6104</t>
  </si>
  <si>
    <t>Maple View Middle School</t>
  </si>
  <si>
    <t>18200 SE 240th ST</t>
  </si>
  <si>
    <t>Covington</t>
  </si>
  <si>
    <t>Kenneth  McGrath</t>
  </si>
  <si>
    <t>amcgrath@tahomasd.us</t>
  </si>
  <si>
    <t>425.413.5501</t>
  </si>
  <si>
    <t>Rock Creek Elementary</t>
  </si>
  <si>
    <t>25700 MAPLE VALLEY BLK DIAM RD</t>
  </si>
  <si>
    <t>98038-8307</t>
  </si>
  <si>
    <t>Chris  Thomas</t>
  </si>
  <si>
    <t>Cthomas@tahomasd.us</t>
  </si>
  <si>
    <t>425.413.3301</t>
  </si>
  <si>
    <t>Glacier Park Elementary</t>
  </si>
  <si>
    <t>23700 SE 280th Street</t>
  </si>
  <si>
    <t>98038-8198</t>
  </si>
  <si>
    <t>Shelly  Gaston</t>
  </si>
  <si>
    <t>SGaston@TahomaSD.US</t>
  </si>
  <si>
    <t>425.413.3701</t>
  </si>
  <si>
    <t>Snoqualmie Valley School District</t>
  </si>
  <si>
    <t>Two Rivers School</t>
  </si>
  <si>
    <t>8651 Meadowbrook Way SE</t>
  </si>
  <si>
    <t>Snoqualmie</t>
  </si>
  <si>
    <t>Rhonda L Schmidt</t>
  </si>
  <si>
    <t>schmidtr@svsd410.org</t>
  </si>
  <si>
    <t>425.831.4200</t>
  </si>
  <si>
    <t>Snoqualmie Middle School</t>
  </si>
  <si>
    <t>9200 RAILROAD AVE SE</t>
  </si>
  <si>
    <t>SNOQUALMIE</t>
  </si>
  <si>
    <t>98065-0000</t>
  </si>
  <si>
    <t>Megan  Botulinski</t>
  </si>
  <si>
    <t>botulinskim@svsd410.org</t>
  </si>
  <si>
    <t>425.831.8450</t>
  </si>
  <si>
    <t>Fall City Elementary</t>
  </si>
  <si>
    <t>Box 220</t>
  </si>
  <si>
    <t>Fall City</t>
  </si>
  <si>
    <t>98024-0000</t>
  </si>
  <si>
    <t>Katelyn T Long</t>
  </si>
  <si>
    <t>longkt@svsd410.org</t>
  </si>
  <si>
    <t>425.831.4000</t>
  </si>
  <si>
    <t>North Bend Elementary School</t>
  </si>
  <si>
    <t>400 E THIRD ST</t>
  </si>
  <si>
    <t>NORTH BEND</t>
  </si>
  <si>
    <t>98045-0000</t>
  </si>
  <si>
    <t>Stephanie  Shepherd</t>
  </si>
  <si>
    <t>shepherds@svsd410.org</t>
  </si>
  <si>
    <t>425.831.8400</t>
  </si>
  <si>
    <t>Snoqualmie Elementary</t>
  </si>
  <si>
    <t>755 PARK ST</t>
  </si>
  <si>
    <t>John  Norberg</t>
  </si>
  <si>
    <t>norbergj@svsd410.org</t>
  </si>
  <si>
    <t>425.831.8050</t>
  </si>
  <si>
    <t>Mount Si High School</t>
  </si>
  <si>
    <t>8651 MEADOWBROOK WAY SE</t>
  </si>
  <si>
    <t>John  Belcher</t>
  </si>
  <si>
    <t>belcherjh@svsd410.org</t>
  </si>
  <si>
    <t>425.831.8100</t>
  </si>
  <si>
    <t>Edwin R Opstad Elementary</t>
  </si>
  <si>
    <t>1345 STILLSON AVE SE</t>
  </si>
  <si>
    <t>Gregory  Forrest</t>
  </si>
  <si>
    <t>forrestg@svsd410.org</t>
  </si>
  <si>
    <t>425.831.8300</t>
  </si>
  <si>
    <t>Chief Kanim Middle School</t>
  </si>
  <si>
    <t>Box 639</t>
  </si>
  <si>
    <t>Michelle  Trifunovic</t>
  </si>
  <si>
    <t>trifunovicm@svsd410.org</t>
  </si>
  <si>
    <t>425.831.8225</t>
  </si>
  <si>
    <t>Issaquah School District</t>
  </si>
  <si>
    <t>Issaquah Special Services</t>
  </si>
  <si>
    <t>5150 220th Ave SE</t>
  </si>
  <si>
    <t>ISSAQUAH</t>
  </si>
  <si>
    <t>Dana  Bailey</t>
  </si>
  <si>
    <t>baileyd@issaquah.wednet.edu</t>
  </si>
  <si>
    <t>425.837.7085</t>
  </si>
  <si>
    <t>Clark Elementary</t>
  </si>
  <si>
    <t>335 First Avenue SE</t>
  </si>
  <si>
    <t>98027-4315</t>
  </si>
  <si>
    <t>Christy  Otley</t>
  </si>
  <si>
    <t>otleyc@issaquah.wednet.edu</t>
  </si>
  <si>
    <t>425.837.6250</t>
  </si>
  <si>
    <t>Issaquah Middle School</t>
  </si>
  <si>
    <t>600 2ND AVE SE</t>
  </si>
  <si>
    <t>98027-4318</t>
  </si>
  <si>
    <t>Carrie  Reckling</t>
  </si>
  <si>
    <t>recklingc@issaquah.wednet.edu</t>
  </si>
  <si>
    <t>425.837.6812</t>
  </si>
  <si>
    <t>Sunset Elementary</t>
  </si>
  <si>
    <t>4229 W LAKE SAMM PKWY SE</t>
  </si>
  <si>
    <t>BELLEVUE</t>
  </si>
  <si>
    <t>98008-5981</t>
  </si>
  <si>
    <t>LeAnn  Tuupo</t>
  </si>
  <si>
    <t>tuupoL@issaquah.wednet.edu</t>
  </si>
  <si>
    <t>425.837.5601</t>
  </si>
  <si>
    <t>Issaquah High School</t>
  </si>
  <si>
    <t>700 2ND AVE SE</t>
  </si>
  <si>
    <t>98027-4319</t>
  </si>
  <si>
    <t>Andrea Marlo McCormick</t>
  </si>
  <si>
    <t>McCormickA@issaquah.wednet.edu</t>
  </si>
  <si>
    <t>425.837.6000</t>
  </si>
  <si>
    <t>Sunny Hills Elementary</t>
  </si>
  <si>
    <t>3200 ISSAQUAH-PINE LAKE RD SE</t>
  </si>
  <si>
    <t>SAMMAMISH</t>
  </si>
  <si>
    <t>98075-7528</t>
  </si>
  <si>
    <t>Timothy  Baynes</t>
  </si>
  <si>
    <t>baynest@issaquah.wednet.edu</t>
  </si>
  <si>
    <t>425.837.7400</t>
  </si>
  <si>
    <t>Briarwood Elementary</t>
  </si>
  <si>
    <t>17020 SE 134TH ST</t>
  </si>
  <si>
    <t>RENTON</t>
  </si>
  <si>
    <t>98059-7020</t>
  </si>
  <si>
    <t>Steven  Thatcher</t>
  </si>
  <si>
    <t>ThatcherS@issaquah.wednet.edu</t>
  </si>
  <si>
    <t>425.837.5000</t>
  </si>
  <si>
    <t>Echo Glen School</t>
  </si>
  <si>
    <t>33010 SE 99TH ST</t>
  </si>
  <si>
    <t>98065-9798</t>
  </si>
  <si>
    <t>LaShea   Lee</t>
  </si>
  <si>
    <t>Leel@issaquah.wednet.edu</t>
  </si>
  <si>
    <t>425.837.2520</t>
  </si>
  <si>
    <t xml:space="preserve"> Institution</t>
  </si>
  <si>
    <t>I</t>
  </si>
  <si>
    <t>Maywood Middle School</t>
  </si>
  <si>
    <t>14490 168TH AVE SE</t>
  </si>
  <si>
    <t>98059-7951</t>
  </si>
  <si>
    <t>Erin  McKee</t>
  </si>
  <si>
    <t>mckeee@issaquah.wednet.edu</t>
  </si>
  <si>
    <t>425.837.6903</t>
  </si>
  <si>
    <t>Maple Hills Elementary</t>
  </si>
  <si>
    <t>15644 204TH AVE SE</t>
  </si>
  <si>
    <t>98059-5018</t>
  </si>
  <si>
    <t>JoEllen  Tapper</t>
  </si>
  <si>
    <t>TapperJ@issaquah.wednet.edu</t>
  </si>
  <si>
    <t>425.837.5100</t>
  </si>
  <si>
    <t>Issaquah Valley Elementary</t>
  </si>
  <si>
    <t>555 NW HOLLY ST</t>
  </si>
  <si>
    <t>98027-2834</t>
  </si>
  <si>
    <t>Michelle  Pickard</t>
  </si>
  <si>
    <t>pickardm@issaquah.wednet.edu</t>
  </si>
  <si>
    <t>425.837.6600</t>
  </si>
  <si>
    <t>Apollo Elementary</t>
  </si>
  <si>
    <t>15025 SE 117TH ST</t>
  </si>
  <si>
    <t>98059-6017</t>
  </si>
  <si>
    <t>Jane  Harris</t>
  </si>
  <si>
    <t>harrisj@issaquah.wednet.edu</t>
  </si>
  <si>
    <t>425.837.7500</t>
  </si>
  <si>
    <t>Pine Lake Middle School</t>
  </si>
  <si>
    <t>3095 Issaquah-Pine Lake Rd</t>
  </si>
  <si>
    <t>Michelle  Caponigro</t>
  </si>
  <si>
    <t>CaponigroM@issaquah.wednet.edu</t>
  </si>
  <si>
    <t>425.837.5700</t>
  </si>
  <si>
    <t>Liberty Sr High School</t>
  </si>
  <si>
    <t>16655 SE 136TH ST</t>
  </si>
  <si>
    <t>98059-6950</t>
  </si>
  <si>
    <t>Sean  Martin</t>
  </si>
  <si>
    <t>MartinS3@issaquah.wednet.edu</t>
  </si>
  <si>
    <t>425.837.4800</t>
  </si>
  <si>
    <t>Challenger Elementary</t>
  </si>
  <si>
    <t>25200 SE KLAHANIE BLVD</t>
  </si>
  <si>
    <t>98029-5763</t>
  </si>
  <si>
    <t>Jennifer  Kessler</t>
  </si>
  <si>
    <t>kesslerj@issaquah.wednet.edu</t>
  </si>
  <si>
    <t>425.837.7553</t>
  </si>
  <si>
    <t>Cougar Ridge Elementary</t>
  </si>
  <si>
    <t>4630 167TH AVE SE</t>
  </si>
  <si>
    <t>98006-5837</t>
  </si>
  <si>
    <t>Drew  Terry</t>
  </si>
  <si>
    <t>terryd@issaquah.wednet.edu</t>
  </si>
  <si>
    <t>425.837.7300</t>
  </si>
  <si>
    <t>Discovery Elementary</t>
  </si>
  <si>
    <t>2300 228TH AVE SE</t>
  </si>
  <si>
    <t>Kathy  Keegan</t>
  </si>
  <si>
    <t>keegank@issaquah.wednet.edu</t>
  </si>
  <si>
    <t>425.837.4022</t>
  </si>
  <si>
    <t>Beaver Lake Middle School</t>
  </si>
  <si>
    <t>25025 SE 32ND ST</t>
  </si>
  <si>
    <t>98029-7738</t>
  </si>
  <si>
    <t>Stacy  Cho</t>
  </si>
  <si>
    <t>ChoS@issaquah.wednet.edu</t>
  </si>
  <si>
    <t>425.837.4150</t>
  </si>
  <si>
    <t>Endeavour Elementary School</t>
  </si>
  <si>
    <t>26205 SE ISSAQUAH-FALL CITY RD</t>
  </si>
  <si>
    <t>98029-9114</t>
  </si>
  <si>
    <t>Megan  Funes</t>
  </si>
  <si>
    <t>funesM@issaquah.wednet.edu</t>
  </si>
  <si>
    <t>425.837.7352</t>
  </si>
  <si>
    <t>Skyline High School</t>
  </si>
  <si>
    <t>1122 228TH AVE SE</t>
  </si>
  <si>
    <t>98075-9509</t>
  </si>
  <si>
    <t>Kieth  Hennig</t>
  </si>
  <si>
    <t>hennigk@issaquah.wednet.edu</t>
  </si>
  <si>
    <t>425.837.7706</t>
  </si>
  <si>
    <t>Cascade Ridge Elementary</t>
  </si>
  <si>
    <t>2020 TROSSACHS BLVD SE</t>
  </si>
  <si>
    <t>98075-0000</t>
  </si>
  <si>
    <t>Tia  Klienkopf</t>
  </si>
  <si>
    <t>kleinkopft@issaquah.wednet.edu</t>
  </si>
  <si>
    <t>425.837.5500</t>
  </si>
  <si>
    <t>Shoreline School District</t>
  </si>
  <si>
    <t>Handicapped Contractual Services</t>
  </si>
  <si>
    <t>18560 1st Avenue N.E.</t>
  </si>
  <si>
    <t>Shoreline</t>
  </si>
  <si>
    <t>98155-2148</t>
  </si>
  <si>
    <t>Rebecca Lee Miner</t>
  </si>
  <si>
    <t>rebecca.miner@shorelineschools.org</t>
  </si>
  <si>
    <t>206.393.4203</t>
  </si>
  <si>
    <t>Home Education Exchange</t>
  </si>
  <si>
    <t>2800 NE 200th</t>
  </si>
  <si>
    <t>Ron  Jones</t>
  </si>
  <si>
    <t>ron.jones@shorelineschools.org</t>
  </si>
  <si>
    <t>206.393.3389</t>
  </si>
  <si>
    <t>Lake Forest Park Elementary</t>
  </si>
  <si>
    <t>18500 37th Avenue N.E.</t>
  </si>
  <si>
    <t>Lake Forest Park</t>
  </si>
  <si>
    <t>98155-2799</t>
  </si>
  <si>
    <t>Aimee  Miner</t>
  </si>
  <si>
    <t>aimee.miner@shorelineschools.org</t>
  </si>
  <si>
    <t>206.393.4136</t>
  </si>
  <si>
    <t>Fircrest Residential Habilitation</t>
  </si>
  <si>
    <t>15230 15th N.E.</t>
  </si>
  <si>
    <t>98155-0000</t>
  </si>
  <si>
    <t>Hillery  Clark</t>
  </si>
  <si>
    <t>hillery.clark@shorelineschools.org</t>
  </si>
  <si>
    <t>206.361.3165</t>
  </si>
  <si>
    <t>Ridgecrest Elementary</t>
  </si>
  <si>
    <t>16516 10th Avenue N.E.</t>
  </si>
  <si>
    <t>98155-5904</t>
  </si>
  <si>
    <t>Elizabeth  Nunes</t>
  </si>
  <si>
    <t>elizabeth.nunes@shorelineschools.org</t>
  </si>
  <si>
    <t>206.393.4274</t>
  </si>
  <si>
    <t>Briarcrest Elementary</t>
  </si>
  <si>
    <t>2715 N.E. 158th Street</t>
  </si>
  <si>
    <t>98155-6443</t>
  </si>
  <si>
    <t>Jonathan  Nessan</t>
  </si>
  <si>
    <t>jonathan.nessan@shorelineschools.org</t>
  </si>
  <si>
    <t>206.393.4175</t>
  </si>
  <si>
    <t>Echo Lake Elementary School</t>
  </si>
  <si>
    <t>19345 Wallingford Ave. N.</t>
  </si>
  <si>
    <t>98133-4155</t>
  </si>
  <si>
    <t>Andrew  Lohman</t>
  </si>
  <si>
    <t>andrew.lohman@shorelineschools.org</t>
  </si>
  <si>
    <t>206.393.4337</t>
  </si>
  <si>
    <t>Brookside Elementary</t>
  </si>
  <si>
    <t>17447 37th Avenue N.E.</t>
  </si>
  <si>
    <t>98155-5499</t>
  </si>
  <si>
    <t>John  Simard</t>
  </si>
  <si>
    <t>john.simard@shorelineschools.org</t>
  </si>
  <si>
    <t>206.393.4142</t>
  </si>
  <si>
    <t>Highland Terrace Elementary</t>
  </si>
  <si>
    <t>100 N. 160th Street</t>
  </si>
  <si>
    <t>98133-5698</t>
  </si>
  <si>
    <t>Lara  Drew</t>
  </si>
  <si>
    <t>lara.drew@shorelineschools.org</t>
  </si>
  <si>
    <t>206.393.4343</t>
  </si>
  <si>
    <t>Shorecrest High School</t>
  </si>
  <si>
    <t>15343 25th Avenue N.E.</t>
  </si>
  <si>
    <t>98155-7394</t>
  </si>
  <si>
    <t>Lisa  Gonzalez</t>
  </si>
  <si>
    <t>lisa.gonzalez@shorelineschools.org</t>
  </si>
  <si>
    <t>206.393.4289</t>
  </si>
  <si>
    <t>Kellogg Middle School</t>
  </si>
  <si>
    <t>16045 25th Avenue N.E.</t>
  </si>
  <si>
    <t>98155-6426</t>
  </si>
  <si>
    <t>Heather  Hiatt</t>
  </si>
  <si>
    <t>heather.hiatt@shorelineschools.org</t>
  </si>
  <si>
    <t>206.393.4783</t>
  </si>
  <si>
    <t>Educational Service District 101</t>
  </si>
  <si>
    <t>Washtucna School District</t>
  </si>
  <si>
    <t>Washtucna Elementary/High School</t>
  </si>
  <si>
    <t>730 East Booth Avenue</t>
  </si>
  <si>
    <t>Washtucna</t>
  </si>
  <si>
    <t>99371-0688</t>
  </si>
  <si>
    <t>Vance  Wing</t>
  </si>
  <si>
    <t>vwing@tucna.wednet.edu</t>
  </si>
  <si>
    <t>509.646.3211</t>
  </si>
  <si>
    <t>Benge School District</t>
  </si>
  <si>
    <t>Benge Elementary</t>
  </si>
  <si>
    <t>2978 E. Benge-Winona Rd.</t>
  </si>
  <si>
    <t>Benge</t>
  </si>
  <si>
    <t>99105-0697</t>
  </si>
  <si>
    <t>Educational Service District 123</t>
  </si>
  <si>
    <t>Othello School District</t>
  </si>
  <si>
    <t>Lutacaga Elementary</t>
  </si>
  <si>
    <t>795 S 7th Ave</t>
  </si>
  <si>
    <t>Othello</t>
  </si>
  <si>
    <t>99344-1463</t>
  </si>
  <si>
    <t>Aurora  Garza</t>
  </si>
  <si>
    <t>agarza@othello.wednet.edu</t>
  </si>
  <si>
    <t>509 488 9669</t>
  </si>
  <si>
    <t>Hiawatha Elementary School</t>
  </si>
  <si>
    <t>506 N 7th Ave</t>
  </si>
  <si>
    <t>William  Scheffler-Von Bracht</t>
  </si>
  <si>
    <t>wivonbracht@othelloschools.org</t>
  </si>
  <si>
    <t>509.488.3389</t>
  </si>
  <si>
    <t>Othello High School</t>
  </si>
  <si>
    <t>340 S 7th Ave</t>
  </si>
  <si>
    <t>Alejandro  Vergara</t>
  </si>
  <si>
    <t>avergara@othelloschools.org</t>
  </si>
  <si>
    <t>509.488.3351 ext. 2010</t>
  </si>
  <si>
    <t>McFarland Middle School</t>
  </si>
  <si>
    <t xml:space="preserve">790 S 10th Ave </t>
  </si>
  <si>
    <t>Dennis  Adams</t>
  </si>
  <si>
    <t>Dadams@othello.wednet.edu</t>
  </si>
  <si>
    <t>509 488 3326</t>
  </si>
  <si>
    <t>Scootney Springs Elementary</t>
  </si>
  <si>
    <t>695 S 14th Ave</t>
  </si>
  <si>
    <t>Jennifer  Garza</t>
  </si>
  <si>
    <t>jennifergarza@othello.wednet.edu</t>
  </si>
  <si>
    <t>509.488.9625</t>
  </si>
  <si>
    <t>Lind School District</t>
  </si>
  <si>
    <t>Lind-Ritzville High School</t>
  </si>
  <si>
    <t>209 E Wellsandt Rd</t>
  </si>
  <si>
    <t>Ritzville</t>
  </si>
  <si>
    <t>Kevin  Terris</t>
  </si>
  <si>
    <t>kterris@lrschools.org</t>
  </si>
  <si>
    <t>509.659.1720</t>
  </si>
  <si>
    <t>Lind Elementary School</t>
  </si>
  <si>
    <t>PO BOX 340</t>
  </si>
  <si>
    <t>Lind</t>
  </si>
  <si>
    <t>99341-0340</t>
  </si>
  <si>
    <t>Darrell  Lembcke</t>
  </si>
  <si>
    <t>dlembcke@lrschools.org</t>
  </si>
  <si>
    <t>509.347.6733</t>
  </si>
  <si>
    <t>Ritzville School District</t>
  </si>
  <si>
    <t>Ritzville High School</t>
  </si>
  <si>
    <t>209 E Wellsandt Avenue</t>
  </si>
  <si>
    <t>99169-1674</t>
  </si>
  <si>
    <t>Ronanda   Liberty</t>
  </si>
  <si>
    <t>rliberty@lrschools.org</t>
  </si>
  <si>
    <t>Ritzville Grade School</t>
  </si>
  <si>
    <t>401 E 6th Ave.</t>
  </si>
  <si>
    <t>Tom  Arlt</t>
  </si>
  <si>
    <t>tarlt@lrschools.org</t>
  </si>
  <si>
    <t>509.659.0232</t>
  </si>
  <si>
    <t>Clarkston School District</t>
  </si>
  <si>
    <t>Educational Opportunity Center</t>
  </si>
  <si>
    <t>1284 Chestnut St</t>
  </si>
  <si>
    <t>Clarkston</t>
  </si>
  <si>
    <t>99403-2557</t>
  </si>
  <si>
    <t>Elece A. Lockridge</t>
  </si>
  <si>
    <t>LockridgeE@csdk12.org</t>
  </si>
  <si>
    <t>509.758.4508</t>
  </si>
  <si>
    <t>Charles Francis Adams High School</t>
  </si>
  <si>
    <t>401 Chestnut St</t>
  </si>
  <si>
    <t>99403-2673</t>
  </si>
  <si>
    <t>Doug  LaMunyan</t>
  </si>
  <si>
    <t>LamunyanD@csdk12.org</t>
  </si>
  <si>
    <t>509.758.5591</t>
  </si>
  <si>
    <t>Lincoln Middle School</t>
  </si>
  <si>
    <t>1945 4th Ave</t>
  </si>
  <si>
    <t>99403-1319</t>
  </si>
  <si>
    <t>Michael  Sperry</t>
  </si>
  <si>
    <t>SperryM@csdk12.org</t>
  </si>
  <si>
    <t>509.758.5506</t>
  </si>
  <si>
    <t>Parkway Elementary</t>
  </si>
  <si>
    <t>1103 4th St</t>
  </si>
  <si>
    <t>99403-2603</t>
  </si>
  <si>
    <t>Eric  Price</t>
  </si>
  <si>
    <t>PriceE@csdk12.org</t>
  </si>
  <si>
    <t>509.758.2553</t>
  </si>
  <si>
    <t>Grantham Elementary</t>
  </si>
  <si>
    <t>1253 Poplar St</t>
  </si>
  <si>
    <t>99403-2248</t>
  </si>
  <si>
    <t>Don  Lee</t>
  </si>
  <si>
    <t>LeeD@csdk12.org</t>
  </si>
  <si>
    <t>509.769.5522</t>
  </si>
  <si>
    <t>Highland Elementary</t>
  </si>
  <si>
    <t>1432 Highland St</t>
  </si>
  <si>
    <t>99403-2964</t>
  </si>
  <si>
    <t>Angela  Baldus</t>
  </si>
  <si>
    <t>baldusa@csdk12.org</t>
  </si>
  <si>
    <t>509.758.5531</t>
  </si>
  <si>
    <t>Special Services</t>
  </si>
  <si>
    <t>1294 Chestnut St</t>
  </si>
  <si>
    <t>99403-0070</t>
  </si>
  <si>
    <t>Wendy  Rogers</t>
  </si>
  <si>
    <t>rogersw@csdk12.org</t>
  </si>
  <si>
    <t>509.758.2531</t>
  </si>
  <si>
    <t>Heights Elementary</t>
  </si>
  <si>
    <t>1917 4th Ave</t>
  </si>
  <si>
    <t>Samantha  Ogden</t>
  </si>
  <si>
    <t>OgdenS@csdk12.org</t>
  </si>
  <si>
    <t>509.758.8180</t>
  </si>
  <si>
    <t>Asotin-Anatone School District</t>
  </si>
  <si>
    <t>Asotin Jr Sr High</t>
  </si>
  <si>
    <t>PO BOX 489</t>
  </si>
  <si>
    <t>ASOTIN</t>
  </si>
  <si>
    <t>99402-0000</t>
  </si>
  <si>
    <t>Asotin Elementary</t>
  </si>
  <si>
    <t>PO Box 489</t>
  </si>
  <si>
    <t>Wes  Nicholas</t>
  </si>
  <si>
    <t>wnicholas@aasd.wednet.edu</t>
  </si>
  <si>
    <t>(509) 243-4147</t>
  </si>
  <si>
    <t>Kennewick School District</t>
  </si>
  <si>
    <t>Legacy High School</t>
  </si>
  <si>
    <t>4624 W 10th Ave</t>
  </si>
  <si>
    <t>KENNEWICK</t>
  </si>
  <si>
    <t>Paul  Osborne</t>
  </si>
  <si>
    <t>paul.osborne@ksd.org</t>
  </si>
  <si>
    <t>509.222.6552</t>
  </si>
  <si>
    <t>Keewaydin Discovery Center</t>
  </si>
  <si>
    <t>125 S Conway Pl</t>
  </si>
  <si>
    <t>99336-5633</t>
  </si>
  <si>
    <t>Kate  Armitage</t>
  </si>
  <si>
    <t>kate.armitage@ksd.org</t>
  </si>
  <si>
    <t>509.222.6483</t>
  </si>
  <si>
    <t>PK Only</t>
  </si>
  <si>
    <t>910 EAST 10TH AVENUE</t>
  </si>
  <si>
    <t>99336-5926</t>
  </si>
  <si>
    <t>Brittany  Mercer</t>
  </si>
  <si>
    <t>brittany.mercer@ksd.org</t>
  </si>
  <si>
    <t>509.222.6521</t>
  </si>
  <si>
    <t>Westgate Elementary School</t>
  </si>
  <si>
    <t>2514 WEST 4TH AVENUE</t>
  </si>
  <si>
    <t>99336-3180</t>
  </si>
  <si>
    <t>Dale  Kern</t>
  </si>
  <si>
    <t>dale.kern@ksd.org</t>
  </si>
  <si>
    <t>509.222.6304</t>
  </si>
  <si>
    <t>Kennewick High School</t>
  </si>
  <si>
    <t>201 S Garfield St</t>
  </si>
  <si>
    <t>Kennewick, WA 99336</t>
  </si>
  <si>
    <t>Kennewick</t>
  </si>
  <si>
    <t>Ron  King</t>
  </si>
  <si>
    <t>ron.king@ksd.org</t>
  </si>
  <si>
    <t>509.222.7100</t>
  </si>
  <si>
    <t>Hawthorne Elementary School - Kennewick</t>
  </si>
  <si>
    <t>3520 WEST JOHN DAY AVENUE</t>
  </si>
  <si>
    <t>99336-2456</t>
  </si>
  <si>
    <t>Craig  Miller</t>
  </si>
  <si>
    <t>craig.miller@ksd.org</t>
  </si>
  <si>
    <t>509.222.6509</t>
  </si>
  <si>
    <t>105 WEST 21ST AVENUE</t>
  </si>
  <si>
    <t>99337-4999</t>
  </si>
  <si>
    <t>Kim  Limbeck</t>
  </si>
  <si>
    <t>kim.limbeck@ksd.org</t>
  </si>
  <si>
    <t>509.222.6668</t>
  </si>
  <si>
    <t>Highlands Middle School</t>
  </si>
  <si>
    <t>425 SOUTH TWEEDT STREET</t>
  </si>
  <si>
    <t>99336-4399</t>
  </si>
  <si>
    <t>Lori  McCord</t>
  </si>
  <si>
    <t>lori.mccord@ksd.org</t>
  </si>
  <si>
    <t>509.222.6700</t>
  </si>
  <si>
    <t>Edison Elementary School - Kennewick</t>
  </si>
  <si>
    <t>201 SOUTH DAWES STREET</t>
  </si>
  <si>
    <t>99336-2047</t>
  </si>
  <si>
    <t>Mia  Shindehite</t>
  </si>
  <si>
    <t>mia.shindehite@ksd.org</t>
  </si>
  <si>
    <t>509.222.5504</t>
  </si>
  <si>
    <t>Vista Elementary School</t>
  </si>
  <si>
    <t>1701 NORTH YOUNG STREET</t>
  </si>
  <si>
    <t>99336-1199</t>
  </si>
  <si>
    <t>Jennifer Jean Behrends</t>
  </si>
  <si>
    <t>jennifer.behrends@ksd.org</t>
  </si>
  <si>
    <t>509.222.6527</t>
  </si>
  <si>
    <t>Park Middle School</t>
  </si>
  <si>
    <t>1011 WEST 10TH AVENUE</t>
  </si>
  <si>
    <t>99336-6097</t>
  </si>
  <si>
    <t>Shaun  Espe</t>
  </si>
  <si>
    <t>shaun.espe@ksd.org</t>
  </si>
  <si>
    <t>509.222.6904</t>
  </si>
  <si>
    <t>Kamiakin High School</t>
  </si>
  <si>
    <t>600 NORTH ARTHUR STREET</t>
  </si>
  <si>
    <t>99336-2196</t>
  </si>
  <si>
    <t>Chris  Chelin</t>
  </si>
  <si>
    <t>Chris.Chelin@ksd.org</t>
  </si>
  <si>
    <t>509.222.6478</t>
  </si>
  <si>
    <t>Benton/Franklin Juvenile Justice Center</t>
  </si>
  <si>
    <t>5606 WEST CANAL DRIVE</t>
  </si>
  <si>
    <t>99336-1300</t>
  </si>
  <si>
    <t>509.222.6522</t>
  </si>
  <si>
    <t xml:space="preserve"> Detention Center</t>
  </si>
  <si>
    <t>J</t>
  </si>
  <si>
    <t>Desert Hills Middle School</t>
  </si>
  <si>
    <t>1701 S Clodfelter Rd</t>
  </si>
  <si>
    <t>99338-1400</t>
  </si>
  <si>
    <t>Steve  Jones</t>
  </si>
  <si>
    <t>steve.jones@ksd.org</t>
  </si>
  <si>
    <t>509.222.6493</t>
  </si>
  <si>
    <t>Canyon View Elementary School</t>
  </si>
  <si>
    <t>1229 WEST 22ND PLACE</t>
  </si>
  <si>
    <t>99337-4224</t>
  </si>
  <si>
    <t>Mark  Stephens</t>
  </si>
  <si>
    <t>mark.stephens@ksd.org</t>
  </si>
  <si>
    <t>509.222.6480</t>
  </si>
  <si>
    <t>Southgate Elementary School</t>
  </si>
  <si>
    <t>3121 WEST 19TH AVENUE</t>
  </si>
  <si>
    <t>99337-2399</t>
  </si>
  <si>
    <t>Bob  Smart</t>
  </si>
  <si>
    <t>bob.smart@ksd.org</t>
  </si>
  <si>
    <t>509.222.6489</t>
  </si>
  <si>
    <t>Tri-Tech Skills Center</t>
  </si>
  <si>
    <t>5929 WEST METALINE AVENUE</t>
  </si>
  <si>
    <t>99336-1494</t>
  </si>
  <si>
    <t>Paul  Randall</t>
  </si>
  <si>
    <t>paul.randall@ksd.org</t>
  </si>
  <si>
    <t>509.222.7300</t>
  </si>
  <si>
    <t>Sunset View Elementary School</t>
  </si>
  <si>
    <t>711 NORTH CENTER PARKWAY</t>
  </si>
  <si>
    <t>99336-8100</t>
  </si>
  <si>
    <t>Heidi  Guizar</t>
  </si>
  <si>
    <t>heidi.guizar@ksd.org</t>
  </si>
  <si>
    <t>509.222.6000</t>
  </si>
  <si>
    <t>Lincoln Elementary School</t>
  </si>
  <si>
    <t>4901 WEST 21ST AVENUE</t>
  </si>
  <si>
    <t>99338-1818</t>
  </si>
  <si>
    <t>Tony  Langdon</t>
  </si>
  <si>
    <t>tony.langdon@ksd.org</t>
  </si>
  <si>
    <t>509.222.5700</t>
  </si>
  <si>
    <t>505 SOUTH HIGHLAND DRIVE</t>
  </si>
  <si>
    <t>99337-5112</t>
  </si>
  <si>
    <t>Julie  Nelson</t>
  </si>
  <si>
    <t>julie.c.nelson@ksd.org</t>
  </si>
  <si>
    <t>509.222.5304</t>
  </si>
  <si>
    <t>Amistad Elementary School</t>
  </si>
  <si>
    <t>123 S Kent St</t>
  </si>
  <si>
    <t>99336-6061</t>
  </si>
  <si>
    <t>Andy  Woehler</t>
  </si>
  <si>
    <t>andy.woehler@ksd.org</t>
  </si>
  <si>
    <t>509.222.5100</t>
  </si>
  <si>
    <t>Horse Heaven Hills Middle School</t>
  </si>
  <si>
    <t>3500 SOUTH VANCOUVER STREET</t>
  </si>
  <si>
    <t>99337-3749</t>
  </si>
  <si>
    <t>Mary  Isley</t>
  </si>
  <si>
    <t>mary.isley@ksd.org</t>
  </si>
  <si>
    <t>509.222.6404</t>
  </si>
  <si>
    <t>Ridge View Elementary School</t>
  </si>
  <si>
    <t>7001 WEST 13TH AVENUE</t>
  </si>
  <si>
    <t>99338-1339</t>
  </si>
  <si>
    <t>Naomi  Puckett</t>
  </si>
  <si>
    <t>naomi.puckett@ksd.org</t>
  </si>
  <si>
    <t>509.222.5804</t>
  </si>
  <si>
    <t>Southridge High School</t>
  </si>
  <si>
    <t>3320 Southridge Boulevard</t>
  </si>
  <si>
    <t>99338-1976</t>
  </si>
  <si>
    <t>Molly  Hamaker-Teals</t>
  </si>
  <si>
    <t>molly.hamaker-teals@ksd.org</t>
  </si>
  <si>
    <t>509.222.6528</t>
  </si>
  <si>
    <t>Paterson School District</t>
  </si>
  <si>
    <t>Paterson Elementary School</t>
  </si>
  <si>
    <t>51409 W. Prior Rd.</t>
  </si>
  <si>
    <t>PO Box 189</t>
  </si>
  <si>
    <t>Paterson</t>
  </si>
  <si>
    <t>99345-0189</t>
  </si>
  <si>
    <t>Monica  Burnett</t>
  </si>
  <si>
    <t>monicab@patersonschool.org</t>
  </si>
  <si>
    <t>509.875.2601</t>
  </si>
  <si>
    <t>Kiona-Benton City School District</t>
  </si>
  <si>
    <t>Kiona-Benton City Primary School</t>
  </si>
  <si>
    <t>1105 Dae Avenue</t>
  </si>
  <si>
    <t>Benton City</t>
  </si>
  <si>
    <t>Kristine  Hanson</t>
  </si>
  <si>
    <t>khanson@kibesd.org</t>
  </si>
  <si>
    <t>509.588.2090</t>
  </si>
  <si>
    <t>Kiona-Benton City High School</t>
  </si>
  <si>
    <t>1105 Dale Avenue</t>
  </si>
  <si>
    <t>99320-9705</t>
  </si>
  <si>
    <t>Clay  Henry</t>
  </si>
  <si>
    <t>chenry@kibesd.org</t>
  </si>
  <si>
    <t>509.588.2142</t>
  </si>
  <si>
    <t>Kiona-Benton City Middle School</t>
  </si>
  <si>
    <t>Chuck  Feth</t>
  </si>
  <si>
    <t>cfeth@kibesd.org</t>
  </si>
  <si>
    <t>509.588.2042</t>
  </si>
  <si>
    <t>Kiona-Benton Intermediate School</t>
  </si>
  <si>
    <t>1105 Dale Aveune</t>
  </si>
  <si>
    <t>C.D.  Williams</t>
  </si>
  <si>
    <t>cwilliams@kibesd.org</t>
  </si>
  <si>
    <t>509.588.2078</t>
  </si>
  <si>
    <t xml:space="preserve"> Public School</t>
  </si>
  <si>
    <t>Finley School District</t>
  </si>
  <si>
    <t>River View High School</t>
  </si>
  <si>
    <t>36509 S LEMON DR</t>
  </si>
  <si>
    <t>99337-9180</t>
  </si>
  <si>
    <t>Chris  Davis</t>
  </si>
  <si>
    <t>chdavis@finleysd.org</t>
  </si>
  <si>
    <t>509.582.2158</t>
  </si>
  <si>
    <t>Finley Elementary</t>
  </si>
  <si>
    <t>213504 E COUGAR RD</t>
  </si>
  <si>
    <t>99337-7203</t>
  </si>
  <si>
    <t>Pam  Kinne</t>
  </si>
  <si>
    <t>pkinne@finleysd.org</t>
  </si>
  <si>
    <t>509.586.7577</t>
  </si>
  <si>
    <t>Finley Middle School</t>
  </si>
  <si>
    <t>37208 S FINLEY RD</t>
  </si>
  <si>
    <t>99337-7574</t>
  </si>
  <si>
    <t>Michael  Harrington</t>
  </si>
  <si>
    <t>mharrington@finleysd.org</t>
  </si>
  <si>
    <t>509.586.7561</t>
  </si>
  <si>
    <t>Prosser School District</t>
  </si>
  <si>
    <t>Keene-Riverview Elementary</t>
  </si>
  <si>
    <t>832 Park Ave.</t>
  </si>
  <si>
    <t>Prosser</t>
  </si>
  <si>
    <t>99350-0000</t>
  </si>
  <si>
    <t>Kris  Moore</t>
  </si>
  <si>
    <t>kris.moore@prosserschools.org</t>
  </si>
  <si>
    <t>509.786.2020</t>
  </si>
  <si>
    <t>Prosser High School</t>
  </si>
  <si>
    <t>1203 Prosser Ave.</t>
  </si>
  <si>
    <t>99350-1430</t>
  </si>
  <si>
    <t>Kevin  Lusk</t>
  </si>
  <si>
    <t>kevin.lusk@prosserschools.org</t>
  </si>
  <si>
    <t>509.786.1224</t>
  </si>
  <si>
    <t>Whitstran Elementary</t>
  </si>
  <si>
    <t>102101 W. Foisy Road</t>
  </si>
  <si>
    <t>99350-5666</t>
  </si>
  <si>
    <t>Kevin   Gilman</t>
  </si>
  <si>
    <t>kevin.gillman@prosserschools.org</t>
  </si>
  <si>
    <t>509.778.4434</t>
  </si>
  <si>
    <t>Housel Middle School</t>
  </si>
  <si>
    <t>2001 Highland Drive</t>
  </si>
  <si>
    <t>99350-1597</t>
  </si>
  <si>
    <t>Michael   Denny</t>
  </si>
  <si>
    <t>michael.denny@prosserschools.org</t>
  </si>
  <si>
    <t>509.786.1732</t>
  </si>
  <si>
    <t>Prosser Heights Elementary</t>
  </si>
  <si>
    <t>2008 Miller Ave.</t>
  </si>
  <si>
    <t>99350-1535</t>
  </si>
  <si>
    <t>Sally  Juzeler</t>
  </si>
  <si>
    <t>sally.juzeler@prosserschools.org</t>
  </si>
  <si>
    <t>509.786.2633</t>
  </si>
  <si>
    <t>Richland School District</t>
  </si>
  <si>
    <t>Special Programs</t>
  </si>
  <si>
    <t>615 Snow Ave.</t>
  </si>
  <si>
    <t>Richland</t>
  </si>
  <si>
    <t>99352-0000</t>
  </si>
  <si>
    <t>Mandy  Cathey</t>
  </si>
  <si>
    <t>Mandy.Cathey@rsd.edu</t>
  </si>
  <si>
    <t>509.967.6050</t>
  </si>
  <si>
    <t>Jefferson Elementary</t>
  </si>
  <si>
    <t>1550 George Washington Way</t>
  </si>
  <si>
    <t>Bobbi  Buttars</t>
  </si>
  <si>
    <t>Bobbi.Buttars@rsd.edu</t>
  </si>
  <si>
    <t>509.967.6250</t>
  </si>
  <si>
    <t>Marcus Whitman Elementary</t>
  </si>
  <si>
    <t>1704 Gray St.</t>
  </si>
  <si>
    <t>Kristien  McKenzie</t>
  </si>
  <si>
    <t>Kristien.McKenzie@rsd.edu</t>
  </si>
  <si>
    <t>509.967.6300</t>
  </si>
  <si>
    <t>Lewis &amp; Clark Elementary School</t>
  </si>
  <si>
    <t>415 Jadwin</t>
  </si>
  <si>
    <t>Marc  Nelson</t>
  </si>
  <si>
    <t>Marc.Nelson@rsd.edu</t>
  </si>
  <si>
    <t>509.967.6275</t>
  </si>
  <si>
    <t>Carmichael Middle School</t>
  </si>
  <si>
    <t>620 Thayer Drive</t>
  </si>
  <si>
    <t>Brian  Stadleman</t>
  </si>
  <si>
    <t>Brian.Stadleman@rsd.edu</t>
  </si>
  <si>
    <t>509.967.6425</t>
  </si>
  <si>
    <t>Chief Joseph Middle School</t>
  </si>
  <si>
    <t>504 Wilson</t>
  </si>
  <si>
    <t>Kevin  Norris</t>
  </si>
  <si>
    <t>Kevin.Norris@rsd.edu</t>
  </si>
  <si>
    <t>509.967.6400</t>
  </si>
  <si>
    <t>Jason Lee Elementary School</t>
  </si>
  <si>
    <t>1750 McMurray</t>
  </si>
  <si>
    <t>Deborah  Whitney</t>
  </si>
  <si>
    <t>Deborah.Whitney@rsd.edu</t>
  </si>
  <si>
    <t>509.967.6475</t>
  </si>
  <si>
    <t>Twin Rivers Group Home</t>
  </si>
  <si>
    <t>605 MCMURRAY</t>
  </si>
  <si>
    <t>RICHLAND</t>
  </si>
  <si>
    <t>99352-2239</t>
  </si>
  <si>
    <t>Randy  Kimbler</t>
  </si>
  <si>
    <t xml:space="preserve">kimblr@dshs.wa.gov </t>
  </si>
  <si>
    <t>(509) 734-7140</t>
  </si>
  <si>
    <t>Richland High School</t>
  </si>
  <si>
    <t>930 Long Ave</t>
  </si>
  <si>
    <t>Tim  Praino</t>
  </si>
  <si>
    <t>Tim.Praino@rsd.edu</t>
  </si>
  <si>
    <t>509.967.6535</t>
  </si>
  <si>
    <t>Sacajawea Elementary</t>
  </si>
  <si>
    <t>535 Fuller St.</t>
  </si>
  <si>
    <t>Kindra  Clayton</t>
  </si>
  <si>
    <t>Kindra.Clayton@rsd.edu</t>
  </si>
  <si>
    <t>509.967.6325</t>
  </si>
  <si>
    <t>Hanford High School</t>
  </si>
  <si>
    <t>450 Hanford Street</t>
  </si>
  <si>
    <t>Tory  Christensen</t>
  </si>
  <si>
    <t>Tory.Christensen@rsd.edu</t>
  </si>
  <si>
    <t>509.967.6500</t>
  </si>
  <si>
    <t>Enterprise Middle School</t>
  </si>
  <si>
    <t>5200 Paradise Way</t>
  </si>
  <si>
    <t>West Richland</t>
  </si>
  <si>
    <t>Jennifer  Klauss</t>
  </si>
  <si>
    <t>Jennifer.Klauss@rsd.edu</t>
  </si>
  <si>
    <t>509.967.6200</t>
  </si>
  <si>
    <t>Tapteal Elementary School</t>
  </si>
  <si>
    <t>2100 Sunshine Ave</t>
  </si>
  <si>
    <t>99353-0000</t>
  </si>
  <si>
    <t>Rhonda  Pratt</t>
  </si>
  <si>
    <t>Rhonda.Pratt@rsd.edu</t>
  </si>
  <si>
    <t>509.967.6350</t>
  </si>
  <si>
    <t>Badger Mountain Elementary</t>
  </si>
  <si>
    <t>1515 Elementary Street</t>
  </si>
  <si>
    <t>Shana Borms Ledbetter</t>
  </si>
  <si>
    <t>Shana.Borms@rsd.edu</t>
  </si>
  <si>
    <t>509.967.6225</t>
  </si>
  <si>
    <t>Rivers Edge High School</t>
  </si>
  <si>
    <t>975 Gillespie</t>
  </si>
  <si>
    <t>Dan  Chubb</t>
  </si>
  <si>
    <t>Dan.Chubb@RSD.EDU</t>
  </si>
  <si>
    <t>509.967.6450</t>
  </si>
  <si>
    <t>William Wiley Elementary School</t>
  </si>
  <si>
    <t>2820 S Highlands Blvd</t>
  </si>
  <si>
    <t>Paul  Chartrand</t>
  </si>
  <si>
    <t>Paul.Chartrand@rsd.edu</t>
  </si>
  <si>
    <t>509.967.6375</t>
  </si>
  <si>
    <t>North Central Educational Service District 171</t>
  </si>
  <si>
    <t>Manson School District</t>
  </si>
  <si>
    <t>Manson Elementary</t>
  </si>
  <si>
    <t>PO BOX A</t>
  </si>
  <si>
    <t>950 Totem Pole Road</t>
  </si>
  <si>
    <t>MANSON</t>
  </si>
  <si>
    <t>98831-0000</t>
  </si>
  <si>
    <t>Benjamin  Riippi</t>
  </si>
  <si>
    <t>Briippi@manson.org</t>
  </si>
  <si>
    <t>509.687.9502</t>
  </si>
  <si>
    <t>Manson High School</t>
  </si>
  <si>
    <t>1000 Totem Pole Road</t>
  </si>
  <si>
    <t>Manson</t>
  </si>
  <si>
    <t>Heather  Ireland</t>
  </si>
  <si>
    <t>hireland@manson.org</t>
  </si>
  <si>
    <t>509.687.9585</t>
  </si>
  <si>
    <t>Stehekin School District</t>
  </si>
  <si>
    <t>Stehekin Elementary</t>
  </si>
  <si>
    <t>PO Box 37</t>
  </si>
  <si>
    <t>Stehekin</t>
  </si>
  <si>
    <t>98852-0037</t>
  </si>
  <si>
    <t>Michelle  Price</t>
  </si>
  <si>
    <t>michellep@ncesd.org</t>
  </si>
  <si>
    <t>509.665.2628</t>
  </si>
  <si>
    <t>Entiat School District</t>
  </si>
  <si>
    <t>Paul Rumburg Elementary</t>
  </si>
  <si>
    <t>2650 ENTIAT WAY</t>
  </si>
  <si>
    <t>ENTIAT</t>
  </si>
  <si>
    <t>98822-0000</t>
  </si>
  <si>
    <t>Robin  Kirkpatrick</t>
  </si>
  <si>
    <t>rkirkpatrick@entiatschools.org</t>
  </si>
  <si>
    <t>509.784.1314</t>
  </si>
  <si>
    <t>Entiat Middle and High School</t>
  </si>
  <si>
    <t>509.784.1911</t>
  </si>
  <si>
    <t>Lake Chelan School District</t>
  </si>
  <si>
    <t>Lake Chelan Preschool</t>
  </si>
  <si>
    <t>PO Box 369</t>
  </si>
  <si>
    <t>Chelan</t>
  </si>
  <si>
    <t>98816-0000</t>
  </si>
  <si>
    <t>Kelly  Kronbauer</t>
  </si>
  <si>
    <t>kronbauerk@chelanschools.org</t>
  </si>
  <si>
    <t>509.682.7744</t>
  </si>
  <si>
    <t>Chelan Middle School</t>
  </si>
  <si>
    <t>Brian  Wood</t>
  </si>
  <si>
    <t>woodb@chelanschools.org</t>
  </si>
  <si>
    <t>509.682.4061</t>
  </si>
  <si>
    <t>Morgen Owings Elementary School</t>
  </si>
  <si>
    <t>Erin  Morin</t>
  </si>
  <si>
    <t>morine@chelanschools.org</t>
  </si>
  <si>
    <t>509.682.4031</t>
  </si>
  <si>
    <t>Holden Village Community School</t>
  </si>
  <si>
    <t>HCOO Stop 2</t>
  </si>
  <si>
    <t>Holden Village</t>
  </si>
  <si>
    <t>Chelan High School</t>
  </si>
  <si>
    <t>Brad  Wilson</t>
  </si>
  <si>
    <t>wilsonb@chelanschools.org</t>
  </si>
  <si>
    <t>CASHMERE SCHOOL DISTRICT</t>
  </si>
  <si>
    <t>CASHMERE MIDDLE SCHOOL</t>
  </si>
  <si>
    <t>300 Tigner Road</t>
  </si>
  <si>
    <t>Cashmere</t>
  </si>
  <si>
    <t>98815-1250</t>
  </si>
  <si>
    <t>SARA COLLEEN GRAVES</t>
  </si>
  <si>
    <t>SGRAVES@CASHMERE.WEDNET.EDU</t>
  </si>
  <si>
    <t>509.782.2001</t>
  </si>
  <si>
    <t>VALE ELEMENTARY SCHOOL</t>
  </si>
  <si>
    <t>101 Pioneer Avenue</t>
  </si>
  <si>
    <t>98815-1225</t>
  </si>
  <si>
    <t>SEAN R MCKENNA</t>
  </si>
  <si>
    <t>SMCKENNA@CASHMERE.WEDNET.EDU</t>
  </si>
  <si>
    <t>509.782.3355</t>
  </si>
  <si>
    <t>CASHMERE HIGH SCHOOL</t>
  </si>
  <si>
    <t>329 Tigner Road</t>
  </si>
  <si>
    <t>98815-1249</t>
  </si>
  <si>
    <t>WILLIAM ANTHONY  BOYLE</t>
  </si>
  <si>
    <t>tboyle@cashmere.wednet.edu</t>
  </si>
  <si>
    <t>509.782.2914</t>
  </si>
  <si>
    <t>Cascade School District</t>
  </si>
  <si>
    <t>Peshastin Dryden Elementary</t>
  </si>
  <si>
    <t>10001 School Street</t>
  </si>
  <si>
    <t>Peshastin</t>
  </si>
  <si>
    <t>Emily  Ross</t>
  </si>
  <si>
    <t>eross@cascadesd.org</t>
  </si>
  <si>
    <t>509.548.5832</t>
  </si>
  <si>
    <t>Alpine Lakes Elementary</t>
  </si>
  <si>
    <t>500 Pine Street</t>
  </si>
  <si>
    <t>Leavenworth</t>
  </si>
  <si>
    <t>98826-1215</t>
  </si>
  <si>
    <t>Kenny  Renner-Singer</t>
  </si>
  <si>
    <t>KSinger@cascadesd.org</t>
  </si>
  <si>
    <t>509.548.5839</t>
  </si>
  <si>
    <t>Cascade High School</t>
  </si>
  <si>
    <t>10190 Chumstick Hwy</t>
  </si>
  <si>
    <t>98826-9113</t>
  </si>
  <si>
    <t>Elia  Ala'ilima-Daley</t>
  </si>
  <si>
    <t>edaley@cascadesd.org</t>
  </si>
  <si>
    <t>509.548.5277</t>
  </si>
  <si>
    <t>Icicle River Middle School</t>
  </si>
  <si>
    <t>10195 Titus Rd</t>
  </si>
  <si>
    <t>98826-9598</t>
  </si>
  <si>
    <t>Mike  Janski</t>
  </si>
  <si>
    <t>mjanski@cascadesd.org</t>
  </si>
  <si>
    <t>509.548.4062</t>
  </si>
  <si>
    <t>Beaver Valley School</t>
  </si>
  <si>
    <t>19265 Beaver Valley Rd</t>
  </si>
  <si>
    <t>98826-0000</t>
  </si>
  <si>
    <t>ksinger@cascade.wednet.edu</t>
  </si>
  <si>
    <t>509.548.4042</t>
  </si>
  <si>
    <t>Wenatchee School District</t>
  </si>
  <si>
    <t>Skill Source</t>
  </si>
  <si>
    <t xml:space="preserve">233 North Chelan </t>
  </si>
  <si>
    <t>Wenatchee</t>
  </si>
  <si>
    <t>98801-0000</t>
  </si>
  <si>
    <t>KORY  KALAHAR</t>
  </si>
  <si>
    <t>kalahar.k@wenatcheeschools.org</t>
  </si>
  <si>
    <t>509.663.3369</t>
  </si>
  <si>
    <t>Westside High School</t>
  </si>
  <si>
    <t>1510 Ninth St</t>
  </si>
  <si>
    <t>Kory  G Kalahar</t>
  </si>
  <si>
    <t>509.663.7947</t>
  </si>
  <si>
    <t>Chelan County Juvenile Detention Center</t>
  </si>
  <si>
    <t>316 WASHINGTON ST</t>
  </si>
  <si>
    <t>WENATCHEE</t>
  </si>
  <si>
    <t>Kory  Kalahar</t>
  </si>
  <si>
    <t>Wenatchee High School</t>
  </si>
  <si>
    <t>1101 MILLERDALE AVE</t>
  </si>
  <si>
    <t>Eric J Anderson</t>
  </si>
  <si>
    <t>anderson.eric@wenatcheeschools.org</t>
  </si>
  <si>
    <t>509.663.8117</t>
  </si>
  <si>
    <t>Lewis And Clark Elementary Sch</t>
  </si>
  <si>
    <t>1130 PRINCETON</t>
  </si>
  <si>
    <t>Alfonso  Lopez</t>
  </si>
  <si>
    <t>lopez.a@wenatcheeschools.org</t>
  </si>
  <si>
    <t>509.663.5951</t>
  </si>
  <si>
    <t>Columbia Elementary School</t>
  </si>
  <si>
    <t>600 ALASKA ST</t>
  </si>
  <si>
    <t>Si James Stuber</t>
  </si>
  <si>
    <t>stuber.si@wenatcheeschools.org</t>
  </si>
  <si>
    <t>509.662.7256</t>
  </si>
  <si>
    <t>Mission View Elementary School</t>
  </si>
  <si>
    <t>60 TERMINAL AVENUE</t>
  </si>
  <si>
    <t>Jeff  Jaeger</t>
  </si>
  <si>
    <t>jaeger.j@wenatcheeschools.org</t>
  </si>
  <si>
    <t>509.663.5851</t>
  </si>
  <si>
    <t>1401 WASHINGTON ST.</t>
  </si>
  <si>
    <t>KEITH  COLLINS</t>
  </si>
  <si>
    <t>collins.k@wenatcheeschools.org</t>
  </si>
  <si>
    <t>509.662.5504</t>
  </si>
  <si>
    <t>Sunnyslope Elementary School</t>
  </si>
  <si>
    <t>3109 SCHOOL STREET</t>
  </si>
  <si>
    <t>David D  Perkins</t>
  </si>
  <si>
    <t>perkins.d@wenatcheeschools.org</t>
  </si>
  <si>
    <t>509.663.5520</t>
  </si>
  <si>
    <t>Abraham Lincoln Elementary</t>
  </si>
  <si>
    <t>1224 METHOW ST.</t>
  </si>
  <si>
    <t>Tim  Sheppard</t>
  </si>
  <si>
    <t>sheppard.t@wenatcheeschools.org</t>
  </si>
  <si>
    <t>509.663.5710</t>
  </si>
  <si>
    <t>Pioneer Middle School</t>
  </si>
  <si>
    <t>1620 RUSSELL ST</t>
  </si>
  <si>
    <t>Robert B Cline</t>
  </si>
  <si>
    <t>cline.robert@wenatcheeschools.org</t>
  </si>
  <si>
    <t>509.663.7171</t>
  </si>
  <si>
    <t>Castlerock Early Learning Center</t>
  </si>
  <si>
    <t>112 SO. ELLIOTT STREET</t>
  </si>
  <si>
    <t>TRISHA   CRAIG</t>
  </si>
  <si>
    <t>craig.t@wenatcheeschools.org</t>
  </si>
  <si>
    <t>509.663.7117</t>
  </si>
  <si>
    <t>Orchard Middle School</t>
  </si>
  <si>
    <t>1024 ORCHARD AVE</t>
  </si>
  <si>
    <t>Taunya  Brown</t>
  </si>
  <si>
    <t>brown.t@wenatcheeschools.org</t>
  </si>
  <si>
    <t>509.662.7745</t>
  </si>
  <si>
    <t>John Newbery Elementary</t>
  </si>
  <si>
    <t>850 N. WESTERN</t>
  </si>
  <si>
    <t>Kevin  Loomis</t>
  </si>
  <si>
    <t>loomis.k@wenatcheeschools.org</t>
  </si>
  <si>
    <t>509.664.8930</t>
  </si>
  <si>
    <t>Foothills Middle School</t>
  </si>
  <si>
    <t>1410 MAPLE ST</t>
  </si>
  <si>
    <t>Mark  Goveia</t>
  </si>
  <si>
    <t>goveia.m@wenatcheeschools.org</t>
  </si>
  <si>
    <t>509.663.8961</t>
  </si>
  <si>
    <t>Olympic Educational Service District 114</t>
  </si>
  <si>
    <t>Port Angeles School District</t>
  </si>
  <si>
    <t>Special Education</t>
  </si>
  <si>
    <t>216 E 4TH ST</t>
  </si>
  <si>
    <t>PORT ANGELES</t>
  </si>
  <si>
    <t>98362-3200</t>
  </si>
  <si>
    <t>Pamela  Sanford</t>
  </si>
  <si>
    <t>psanford@portangelesschools.org</t>
  </si>
  <si>
    <t>360.565.3740</t>
  </si>
  <si>
    <t>218 E 12TH ST</t>
  </si>
  <si>
    <t>98362-7814</t>
  </si>
  <si>
    <t>RHONDA  KROMM</t>
  </si>
  <si>
    <t>RKROMM@PORTANGELESSCHOOLS.ORG</t>
  </si>
  <si>
    <t>360.457.4231</t>
  </si>
  <si>
    <t>Port Angeles High School</t>
  </si>
  <si>
    <t>304 E PARK AVE</t>
  </si>
  <si>
    <t>98362-6934</t>
  </si>
  <si>
    <t>Jeffrey  Clark</t>
  </si>
  <si>
    <t>jclark@portangelesschools.org</t>
  </si>
  <si>
    <t>360.452.9502</t>
  </si>
  <si>
    <t>Franklin Elementary</t>
  </si>
  <si>
    <t>2505 S WASHINGTON ST</t>
  </si>
  <si>
    <t>98362-6763</t>
  </si>
  <si>
    <t>Jeffrey  Lunt</t>
  </si>
  <si>
    <t>jlunt@portangelesschools.org</t>
  </si>
  <si>
    <t>360.457.1343</t>
  </si>
  <si>
    <t>Hamilton Elementary</t>
  </si>
  <si>
    <t>1822 W 7TH ST</t>
  </si>
  <si>
    <t>98363-5206</t>
  </si>
  <si>
    <t>Gary  Pringle</t>
  </si>
  <si>
    <t>gpringle@portangelesschools.org</t>
  </si>
  <si>
    <t>360.452.6818</t>
  </si>
  <si>
    <t>Office of Superintendent of Public Instruction</t>
  </si>
  <si>
    <t>Clallam Co Juvenile Detention</t>
  </si>
  <si>
    <t>1912 W 18TH ST</t>
  </si>
  <si>
    <t>98363-5121</t>
  </si>
  <si>
    <t>Awilda  Jesionowski</t>
  </si>
  <si>
    <t>(360) 565-2625</t>
  </si>
  <si>
    <t>Stevens Middle School</t>
  </si>
  <si>
    <t>1139 W 14TH ST</t>
  </si>
  <si>
    <t>98363-7035</t>
  </si>
  <si>
    <t>Kristen  Lunt</t>
  </si>
  <si>
    <t>klunt@portangelesschools.org</t>
  </si>
  <si>
    <t>360.452.5590</t>
  </si>
  <si>
    <t>Lincoln High School</t>
  </si>
  <si>
    <t>924 W 9TH ST</t>
  </si>
  <si>
    <t>98363-5748</t>
  </si>
  <si>
    <t>Mace  Gratz</t>
  </si>
  <si>
    <t>mgratz@portangelesschools.org</t>
  </si>
  <si>
    <t>Dry Creek Elementary</t>
  </si>
  <si>
    <t>25 RIFE RD</t>
  </si>
  <si>
    <t>98363-8433</t>
  </si>
  <si>
    <t>Michelle  Olsen</t>
  </si>
  <si>
    <t>molsen@portangelesschools.org</t>
  </si>
  <si>
    <t>360.457.5050</t>
  </si>
  <si>
    <t>Crescent School District</t>
  </si>
  <si>
    <t>Crescent School</t>
  </si>
  <si>
    <t>P. O. Box 20</t>
  </si>
  <si>
    <t>Joyce</t>
  </si>
  <si>
    <t>98343-0020</t>
  </si>
  <si>
    <t>David  Bingham</t>
  </si>
  <si>
    <t>daveb@crescent.wednet.edu</t>
  </si>
  <si>
    <t>360.928.3311</t>
  </si>
  <si>
    <t>Sequim School District</t>
  </si>
  <si>
    <t>Olympic Peninsula Academy</t>
  </si>
  <si>
    <t>400 N. 2nd Ave</t>
  </si>
  <si>
    <t>Sequim</t>
  </si>
  <si>
    <t>98382-3356</t>
  </si>
  <si>
    <t>Randy  Hill</t>
  </si>
  <si>
    <t>rhill@sequim.k12.wa.us</t>
  </si>
  <si>
    <t>360.582.3400</t>
  </si>
  <si>
    <t>Sequim Senior High</t>
  </si>
  <si>
    <t>601 N. Sequim Ave.</t>
  </si>
  <si>
    <t>98382-0000</t>
  </si>
  <si>
    <t>Shawn  Langston</t>
  </si>
  <si>
    <t>slangston@sequim.k12.wa.us</t>
  </si>
  <si>
    <t>360.582.3600</t>
  </si>
  <si>
    <t>Helen Haller Elementary School</t>
  </si>
  <si>
    <t>350 W. Fir Street</t>
  </si>
  <si>
    <t>Rebecca  Stanton</t>
  </si>
  <si>
    <t>rstanton@sequim.k12.wa.us</t>
  </si>
  <si>
    <t>360.582.3200</t>
  </si>
  <si>
    <t>Greywolf Elementary School</t>
  </si>
  <si>
    <t>171 Carlsborg Rd.</t>
  </si>
  <si>
    <t>Donna  Hudson</t>
  </si>
  <si>
    <t>dhudson@sequim.k12.wa.us</t>
  </si>
  <si>
    <t>360.582.3300</t>
  </si>
  <si>
    <t>Sequim Middle School</t>
  </si>
  <si>
    <t>301 W. Hendrickson Rd.</t>
  </si>
  <si>
    <t>Vincent  Riccobene</t>
  </si>
  <si>
    <t>vriccobene@sequim.k12.wa.us</t>
  </si>
  <si>
    <t>360.582.3500</t>
  </si>
  <si>
    <t>Cape Flattery School District</t>
  </si>
  <si>
    <t>Cape Flattery Preschool</t>
  </si>
  <si>
    <t>Box 109</t>
  </si>
  <si>
    <t>Sekiu</t>
  </si>
  <si>
    <t>98381-0109</t>
  </si>
  <si>
    <t>Michelle  Parkin</t>
  </si>
  <si>
    <t>mparkin@cfsd.wednet.edu</t>
  </si>
  <si>
    <t>360.963.2075</t>
  </si>
  <si>
    <t>Neah Bay Elementary School</t>
  </si>
  <si>
    <t>3560 Deer Street</t>
  </si>
  <si>
    <t>PO Box 86</t>
  </si>
  <si>
    <t>Neah Bay</t>
  </si>
  <si>
    <t>98357-0086</t>
  </si>
  <si>
    <t>Alice   Murner</t>
  </si>
  <si>
    <t>amurner@cfsd.wednet.edu</t>
  </si>
  <si>
    <t>360.645.2649</t>
  </si>
  <si>
    <t>Neah Bay Junior/ Senior High School</t>
  </si>
  <si>
    <t>P.O. Box 86</t>
  </si>
  <si>
    <t>Jennifer  Sikes</t>
  </si>
  <si>
    <t>jsikes@cfsd.wednet.edu</t>
  </si>
  <si>
    <t>360.645.2880</t>
  </si>
  <si>
    <t>Clallam Bay High &amp; Elementary</t>
  </si>
  <si>
    <t>P.O. Box 337</t>
  </si>
  <si>
    <t>Clallam Bay</t>
  </si>
  <si>
    <t>98326-0337</t>
  </si>
  <si>
    <t>Kristian  Hanson</t>
  </si>
  <si>
    <t>krishans@cfsd.wednet.edu</t>
  </si>
  <si>
    <t>360.963.2142</t>
  </si>
  <si>
    <t>Quillayute Valley School District</t>
  </si>
  <si>
    <t>Forks Alternative School</t>
  </si>
  <si>
    <t>411 S Spartan Ave</t>
  </si>
  <si>
    <t>Forks</t>
  </si>
  <si>
    <t>98331-0000</t>
  </si>
  <si>
    <t>Cindy  Feasel</t>
  </si>
  <si>
    <t>cindy.feasel@qvschools.org</t>
  </si>
  <si>
    <t>360.374.6262 ext.356</t>
  </si>
  <si>
    <t>District Run Home School</t>
  </si>
  <si>
    <t>411 S Spartan Avenue</t>
  </si>
  <si>
    <t>98331-9027</t>
  </si>
  <si>
    <t>Forks Junior-Senior High School</t>
  </si>
  <si>
    <t>261 South Spartan Avenue</t>
  </si>
  <si>
    <t>Cindy   Feasel</t>
  </si>
  <si>
    <t>Forks Elementary School</t>
  </si>
  <si>
    <t>301 South Elderberry Ave</t>
  </si>
  <si>
    <t>Matthew  Holshouser</t>
  </si>
  <si>
    <t>matt.holshouser@qvschools.org</t>
  </si>
  <si>
    <t>360.374.6262 ext. 361</t>
  </si>
  <si>
    <t>Educational Service District 112</t>
  </si>
  <si>
    <t>Vancouver School District</t>
  </si>
  <si>
    <t>Fir Grove Childrens Center</t>
  </si>
  <si>
    <t>2920 FALK RD</t>
  </si>
  <si>
    <t>VANCOUVER</t>
  </si>
  <si>
    <t>98661-5604</t>
  </si>
  <si>
    <t>Jeremy  Berliss</t>
  </si>
  <si>
    <t>Jeremy.Berliss@vansd.org</t>
  </si>
  <si>
    <t>360.313.1800</t>
  </si>
  <si>
    <t>Vancouver School of Arts and Academics</t>
  </si>
  <si>
    <t>3101 MAIN ST</t>
  </si>
  <si>
    <t>98663-2751</t>
  </si>
  <si>
    <t>Lori  Rotherham</t>
  </si>
  <si>
    <t>lori.rotherham@vansd.org</t>
  </si>
  <si>
    <t>360.313.4600</t>
  </si>
  <si>
    <t>Gate Program</t>
  </si>
  <si>
    <t>3100 E 18TH ST</t>
  </si>
  <si>
    <t>98661-5645</t>
  </si>
  <si>
    <t>Fort Vancouver High School</t>
  </si>
  <si>
    <t>5700 E 18TH ST</t>
  </si>
  <si>
    <t>98661-6898</t>
  </si>
  <si>
    <t>Franklin  Scheidel</t>
  </si>
  <si>
    <t>Curt.Scheidel@vansd.org</t>
  </si>
  <si>
    <t>360.313.4000</t>
  </si>
  <si>
    <t>4200 DANIELS ST</t>
  </si>
  <si>
    <t>98660-1799</t>
  </si>
  <si>
    <t>Craig R Homnick</t>
  </si>
  <si>
    <t>Craig.Homnick@vansd.org</t>
  </si>
  <si>
    <t>360.313.2300</t>
  </si>
  <si>
    <t>Hough Elementary School</t>
  </si>
  <si>
    <t>1900 DANIELS ST</t>
  </si>
  <si>
    <t>98660-2535</t>
  </si>
  <si>
    <t>Jessica  Graham</t>
  </si>
  <si>
    <t>Jessica.Graham@vansd.org</t>
  </si>
  <si>
    <t>360.313.2100</t>
  </si>
  <si>
    <t>Early Childhood Education Center</t>
  </si>
  <si>
    <t>PO BOX 8937</t>
  </si>
  <si>
    <t>98668-8937</t>
  </si>
  <si>
    <t>Debra L Hale</t>
  </si>
  <si>
    <t>Debra.Hale@vansd.org</t>
  </si>
  <si>
    <t>360.313.1010</t>
  </si>
  <si>
    <t>Fruit Valley Elementary School</t>
  </si>
  <si>
    <t>3410 NW FRUIT VALLEY RD</t>
  </si>
  <si>
    <t>98680-1215</t>
  </si>
  <si>
    <t>Matthew  Fechter</t>
  </si>
  <si>
    <t>matthew.fechter@vansd.org</t>
  </si>
  <si>
    <t>360.313.1900</t>
  </si>
  <si>
    <t>Harney Elementary School</t>
  </si>
  <si>
    <t>3212 E EVERGREEN BLVD</t>
  </si>
  <si>
    <t>98661-4928</t>
  </si>
  <si>
    <t>Lucy Diane Estrada-Guzman</t>
  </si>
  <si>
    <t>Lucy.Estrada@vansd.org</t>
  </si>
  <si>
    <t>360.313.2000</t>
  </si>
  <si>
    <t>Peter S Ogden Elementary</t>
  </si>
  <si>
    <t>3200 NE 86TH AVENUE</t>
  </si>
  <si>
    <t>98662-7299</t>
  </si>
  <si>
    <t>Matthew  Kauffman</t>
  </si>
  <si>
    <t>Matt.Kauffman@vansd.org</t>
  </si>
  <si>
    <t>360.313.2550</t>
  </si>
  <si>
    <t>Hazel Dell Elementary School</t>
  </si>
  <si>
    <t>511 NE ANDERSON RD</t>
  </si>
  <si>
    <t>98665-8313</t>
  </si>
  <si>
    <t>Lisa  Reed</t>
  </si>
  <si>
    <t>Lisa.Reed@vansd.org</t>
  </si>
  <si>
    <t>360.313.2050</t>
  </si>
  <si>
    <t>Minnehaha Elementary School</t>
  </si>
  <si>
    <t>2800 NE 54TH ST</t>
  </si>
  <si>
    <t>WASHINGTON</t>
  </si>
  <si>
    <t>98663-1945</t>
  </si>
  <si>
    <t>Troy B Winzer</t>
  </si>
  <si>
    <t>Troy.Winzer@vansd.org</t>
  </si>
  <si>
    <t>360.313.2500</t>
  </si>
  <si>
    <t>Walnut Grove Elementary</t>
  </si>
  <si>
    <t>6103 NE 72ND AVE</t>
  </si>
  <si>
    <t>98661-1998</t>
  </si>
  <si>
    <t>Esteban M Delgadillo</t>
  </si>
  <si>
    <t>esteban.delgadillo@vansd.org</t>
  </si>
  <si>
    <t>360.313.3000</t>
  </si>
  <si>
    <t>Salmon Creek Elementary</t>
  </si>
  <si>
    <t>1601 NE 129TH ST</t>
  </si>
  <si>
    <t>98685-3199</t>
  </si>
  <si>
    <t>Heath E Angelbeck</t>
  </si>
  <si>
    <t>Heath.Angelbeck@vansd.org</t>
  </si>
  <si>
    <t>360.313.2800</t>
  </si>
  <si>
    <t>Sarah J Anderson Elementary</t>
  </si>
  <si>
    <t>2215 NE 104TH ST</t>
  </si>
  <si>
    <t>98686-5641</t>
  </si>
  <si>
    <t>Marie K. Arkoosh</t>
  </si>
  <si>
    <t>katie.arkoosh@vansd.org</t>
  </si>
  <si>
    <t>360.313.1500</t>
  </si>
  <si>
    <t>Lake Shore Elementary</t>
  </si>
  <si>
    <t>9300 NW 21ST AVE</t>
  </si>
  <si>
    <t>98665-6619</t>
  </si>
  <si>
    <t>Starlet Tiara Heitz</t>
  </si>
  <si>
    <t>Starlet.Heitz@vansd.org</t>
  </si>
  <si>
    <t>360.313.2250</t>
  </si>
  <si>
    <t>Benjamin Franklin Elementary</t>
  </si>
  <si>
    <t>5206 FRANKLIN ST</t>
  </si>
  <si>
    <t>98663-1698</t>
  </si>
  <si>
    <t>Laurence R Howard</t>
  </si>
  <si>
    <t>Woody.Howard@vansd.org</t>
  </si>
  <si>
    <t>360.313.1850</t>
  </si>
  <si>
    <t>Hudson's Bay High School</t>
  </si>
  <si>
    <t>1601 E MCLOUGHLIN BLVD</t>
  </si>
  <si>
    <t>98663-3528</t>
  </si>
  <si>
    <t>Valerie Jean Anderson-Seeley</t>
  </si>
  <si>
    <t>Valerie.Seeley@vansd.org</t>
  </si>
  <si>
    <t>360.313.4400</t>
  </si>
  <si>
    <t>Mcloughlin Middle School</t>
  </si>
  <si>
    <t>5802 MACARTHUR BLVD</t>
  </si>
  <si>
    <t>98661-7491</t>
  </si>
  <si>
    <t>Travis J Boeh</t>
  </si>
  <si>
    <t>Travis.Boeh@vansd.org</t>
  </si>
  <si>
    <t>360.313.3600</t>
  </si>
  <si>
    <t>Columbia River High</t>
  </si>
  <si>
    <t>800 NW 99TH ST</t>
  </si>
  <si>
    <t>98665-7599</t>
  </si>
  <si>
    <t>Alexander  Geoffery Otoupal</t>
  </si>
  <si>
    <t>Alex.Otoupal@vansd.org</t>
  </si>
  <si>
    <t>360.313.3900</t>
  </si>
  <si>
    <t>George C Marshall Elementary</t>
  </si>
  <si>
    <t>6400 MACARTHUR BLVD</t>
  </si>
  <si>
    <t>98661-7533</t>
  </si>
  <si>
    <t>Roberta J Geenty</t>
  </si>
  <si>
    <t>Bobbi.Geenty@vansd.org</t>
  </si>
  <si>
    <t>360.313.2400</t>
  </si>
  <si>
    <t>Jason Lee Middle School</t>
  </si>
  <si>
    <t>8500 NW 9TH AVE</t>
  </si>
  <si>
    <t>98665-7799</t>
  </si>
  <si>
    <t>Jody  Videlco</t>
  </si>
  <si>
    <t>Jody.Videlco@vansd.org</t>
  </si>
  <si>
    <t>360.313.3500</t>
  </si>
  <si>
    <t>Washington Elementary</t>
  </si>
  <si>
    <t>2908 S ST</t>
  </si>
  <si>
    <t>98663-2932</t>
  </si>
  <si>
    <t>Kirsten A Copeland</t>
  </si>
  <si>
    <t>Kirsten.Copeland@vansd.org</t>
  </si>
  <si>
    <t>360.313.3050</t>
  </si>
  <si>
    <t>Dwight D Eisenhower Elementary</t>
  </si>
  <si>
    <t>9201 NW 9TH AVE</t>
  </si>
  <si>
    <t>98665-7628</t>
  </si>
  <si>
    <t>Jennifer Joan Blechschmidt</t>
  </si>
  <si>
    <t>Jennifer.Blechschmidt@vansd.org</t>
  </si>
  <si>
    <t>360.313.1700</t>
  </si>
  <si>
    <t>Martin Luther King Elementary</t>
  </si>
  <si>
    <t>8100 NE 28 ST</t>
  </si>
  <si>
    <t>98661-6598</t>
  </si>
  <si>
    <t>Janell Denice Ephraim</t>
  </si>
  <si>
    <t>Janell.Ephraim@vansd.org</t>
  </si>
  <si>
    <t>360.313.2200</t>
  </si>
  <si>
    <t>Harry S Truman Elementary School</t>
  </si>
  <si>
    <t>4505 NE 42ND AVE</t>
  </si>
  <si>
    <t>98661-2811</t>
  </si>
  <si>
    <t>Theresa Marie David-Turner</t>
  </si>
  <si>
    <t>Theresa.David@vansd.org</t>
  </si>
  <si>
    <t>360.313.2900</t>
  </si>
  <si>
    <t>Office of the Governor (Sch for Blind)</t>
  </si>
  <si>
    <t>Washington State School for the Blind</t>
  </si>
  <si>
    <t>2214 E. 13th St.</t>
  </si>
  <si>
    <t>Vancouver</t>
  </si>
  <si>
    <t>98661-4120</t>
  </si>
  <si>
    <t>Sean J McCormick</t>
  </si>
  <si>
    <t>sean.mccormick@wssb.wa.gov</t>
  </si>
  <si>
    <t>360.947.3308</t>
  </si>
  <si>
    <t xml:space="preserve"> Institution, Public School</t>
  </si>
  <si>
    <t>Gaiser Middle School</t>
  </si>
  <si>
    <t>3000 NE 99TH ST</t>
  </si>
  <si>
    <t>98665-9262</t>
  </si>
  <si>
    <t>Abby L Davis</t>
  </si>
  <si>
    <t>Abby.Davis@vansd.org</t>
  </si>
  <si>
    <t>360.313.3400</t>
  </si>
  <si>
    <t>Lewis and Clark High School</t>
  </si>
  <si>
    <t>2901 GENERAL ANDERSON AVE</t>
  </si>
  <si>
    <t>98661-6181</t>
  </si>
  <si>
    <t>Steven D Lindblom</t>
  </si>
  <si>
    <t>steve.lindblom@vansd.org</t>
  </si>
  <si>
    <t>360.313.4350</t>
  </si>
  <si>
    <t>Sacajawea Elementary School</t>
  </si>
  <si>
    <t>700 NE 112TH ST</t>
  </si>
  <si>
    <t>98685-3930</t>
  </si>
  <si>
    <t>Travis M Bond</t>
  </si>
  <si>
    <t>Travis.Bond@vansd.org</t>
  </si>
  <si>
    <t>360.313.2750</t>
  </si>
  <si>
    <t>Felida Elementary School</t>
  </si>
  <si>
    <t>2700 NW 119TH ST</t>
  </si>
  <si>
    <t>98685-3699</t>
  </si>
  <si>
    <t>Kris Michelle Janati</t>
  </si>
  <si>
    <t>Kris.Janati@vansd.org</t>
  </si>
  <si>
    <t>360.313.1750</t>
  </si>
  <si>
    <t>Washington Center for Deaf and Hard of Hearing Youth</t>
  </si>
  <si>
    <t>Washington State School for the Deaf</t>
  </si>
  <si>
    <t>611 Grand Blvd</t>
  </si>
  <si>
    <t>98661-4918</t>
  </si>
  <si>
    <t>April  McArthur</t>
  </si>
  <si>
    <t>april.mcarthur@cdhy.wa.gov</t>
  </si>
  <si>
    <t>360.553.4612</t>
  </si>
  <si>
    <t>1900 NW BLISS RD</t>
  </si>
  <si>
    <t>98685-1824</t>
  </si>
  <si>
    <t>Patrick M Conners</t>
  </si>
  <si>
    <t>Patrick.Conners@vansd.org</t>
  </si>
  <si>
    <t>360.313.1600</t>
  </si>
  <si>
    <t>Alki Middle School</t>
  </si>
  <si>
    <t>1800 NW BLISS RD</t>
  </si>
  <si>
    <t>98685-1823</t>
  </si>
  <si>
    <t>Darci R  Fronk</t>
  </si>
  <si>
    <t>Darci.Fronk@vansd.org</t>
  </si>
  <si>
    <t>360.313.3200</t>
  </si>
  <si>
    <t>Roosevelt Elementary School</t>
  </si>
  <si>
    <t>2921 FALK RD</t>
  </si>
  <si>
    <t>98661-5683</t>
  </si>
  <si>
    <t>Megan  Vickery</t>
  </si>
  <si>
    <t>megan.vickery@vansd.org</t>
  </si>
  <si>
    <t>360.313.2600</t>
  </si>
  <si>
    <t>Discovery Middle School</t>
  </si>
  <si>
    <t>800 E 40TH ST</t>
  </si>
  <si>
    <t>98663-1874</t>
  </si>
  <si>
    <t>Mark A Cain</t>
  </si>
  <si>
    <t>Mark.Cain@vansd.org</t>
  </si>
  <si>
    <t>360.313.3300</t>
  </si>
  <si>
    <t>Skyview High School</t>
  </si>
  <si>
    <t>1300 NW 139TH ST</t>
  </si>
  <si>
    <t>98685-1858</t>
  </si>
  <si>
    <t>Andy  Meyer</t>
  </si>
  <si>
    <t>Andy.Meyer@vansd.org</t>
  </si>
  <si>
    <t>360.313.4200</t>
  </si>
  <si>
    <t>Hockinson School District</t>
  </si>
  <si>
    <t>Hockinson Middle School</t>
  </si>
  <si>
    <t>15916 NE 182ND AVE</t>
  </si>
  <si>
    <t>BRUSH PRAIRIE</t>
  </si>
  <si>
    <t>98606-0000</t>
  </si>
  <si>
    <t>Brian  Lehner</t>
  </si>
  <si>
    <t>brian.lehner@hocksd.org</t>
  </si>
  <si>
    <t>360.448.6440</t>
  </si>
  <si>
    <t>Hockinson High School</t>
  </si>
  <si>
    <t>16819 NE 159 ST</t>
  </si>
  <si>
    <t>Andrew  Schoonover</t>
  </si>
  <si>
    <t>andrew.schoonover@hocksd.org</t>
  </si>
  <si>
    <t>360.448.6450</t>
  </si>
  <si>
    <t>La Center School District</t>
  </si>
  <si>
    <t>La Center Elementary</t>
  </si>
  <si>
    <t>PO Box 1810</t>
  </si>
  <si>
    <t>La Center</t>
  </si>
  <si>
    <t>Scott  Lincoln</t>
  </si>
  <si>
    <t>scott.lincoln@lacenterschools.org</t>
  </si>
  <si>
    <t>360.263.2134</t>
  </si>
  <si>
    <t>La Center Middle School</t>
  </si>
  <si>
    <t>PO Box 1750</t>
  </si>
  <si>
    <t>98629-0000</t>
  </si>
  <si>
    <t>Lauri  Landerholm</t>
  </si>
  <si>
    <t>lauri.landerholm@lacenterschools.org</t>
  </si>
  <si>
    <t>360.263.2136</t>
  </si>
  <si>
    <t>La Center High School</t>
  </si>
  <si>
    <t>PO BOX 1780</t>
  </si>
  <si>
    <t>Carol  Patton</t>
  </si>
  <si>
    <t>carol.patton@lacenterschools.org</t>
  </si>
  <si>
    <t>360.263.1700</t>
  </si>
  <si>
    <t>Green Mountain School District</t>
  </si>
  <si>
    <t>Green Mountain School</t>
  </si>
  <si>
    <t>13105 NE GRINNELL RD</t>
  </si>
  <si>
    <t>WOODLAND</t>
  </si>
  <si>
    <t>98674-3808</t>
  </si>
  <si>
    <t>tyson  Vogeler</t>
  </si>
  <si>
    <t>tyson.vogeler@greenmountainschool.us</t>
  </si>
  <si>
    <t>360.225.7366</t>
  </si>
  <si>
    <t>Washougal School District</t>
  </si>
  <si>
    <t>Hathaway Elementary</t>
  </si>
  <si>
    <t>630 24th St</t>
  </si>
  <si>
    <t>Washougal</t>
  </si>
  <si>
    <t>98671-1652</t>
  </si>
  <si>
    <t>Wendy  Morrill</t>
  </si>
  <si>
    <t>wendy.morrill@washougalsd.org</t>
  </si>
  <si>
    <t>360.954.3801</t>
  </si>
  <si>
    <t>Gause Elementary</t>
  </si>
  <si>
    <t>1100 34th Street</t>
  </si>
  <si>
    <t>98671-1907</t>
  </si>
  <si>
    <t>Tami  Culp</t>
  </si>
  <si>
    <t>tami.culp@washougalsd.org</t>
  </si>
  <si>
    <t>360.954.3701</t>
  </si>
  <si>
    <t>Washougal High School</t>
  </si>
  <si>
    <t>1201 39th St</t>
  </si>
  <si>
    <t>98671-9112</t>
  </si>
  <si>
    <t>Sheree Ann Clark</t>
  </si>
  <si>
    <t>sheree.clark@washougalsd.org</t>
  </si>
  <si>
    <t>360.954.3100</t>
  </si>
  <si>
    <t>Cape Horn Skye Elementary</t>
  </si>
  <si>
    <t>9731 Washougal River Rd</t>
  </si>
  <si>
    <t>98671-7832</t>
  </si>
  <si>
    <t>Penny  Andrews</t>
  </si>
  <si>
    <t>penny.andrews@washougalsd.org</t>
  </si>
  <si>
    <t>360.954.3601</t>
  </si>
  <si>
    <t>Jemtegaard Middle School</t>
  </si>
  <si>
    <t>35300 SE Evergreen Hwy</t>
  </si>
  <si>
    <t>98671-6736</t>
  </si>
  <si>
    <t>David  Cooke</t>
  </si>
  <si>
    <t>david.cooke@washougalsd.org</t>
  </si>
  <si>
    <t>360.954.3400</t>
  </si>
  <si>
    <t>Canyon Creek Middle School</t>
  </si>
  <si>
    <t>Brian  Amundson</t>
  </si>
  <si>
    <t>brian.amundson@washougalsd.org</t>
  </si>
  <si>
    <t>360.954.3500</t>
  </si>
  <si>
    <t>Evergreen School District (Clark)</t>
  </si>
  <si>
    <t>Early Childhood Center</t>
  </si>
  <si>
    <t>13501 NE 28th Street</t>
  </si>
  <si>
    <t>Janet  Locascio</t>
  </si>
  <si>
    <t>Janet.Locascio@evergreenps.org</t>
  </si>
  <si>
    <t>360.604.4013</t>
  </si>
  <si>
    <t>49th Street Academy</t>
  </si>
  <si>
    <t>14619B NE 49th Street</t>
  </si>
  <si>
    <t>98682-6308</t>
  </si>
  <si>
    <t>Amber  Lindly</t>
  </si>
  <si>
    <t>Amber.Lindly@evergreenps.org</t>
  </si>
  <si>
    <t>360.604.6720</t>
  </si>
  <si>
    <t>14300 NE 18th Street</t>
  </si>
  <si>
    <t>98684-7807</t>
  </si>
  <si>
    <t>Danny  Orrantia</t>
  </si>
  <si>
    <t>Danny.Orrantia@evergreenps.org</t>
  </si>
  <si>
    <t>360.604.3700</t>
  </si>
  <si>
    <t>Mill Plain Elementary School</t>
  </si>
  <si>
    <t>400 SE 164th Avenue</t>
  </si>
  <si>
    <t>98684-9611</t>
  </si>
  <si>
    <t>Jennifer  Dowell</t>
  </si>
  <si>
    <t>Jennifer.Dowell@evergreenps.org</t>
  </si>
  <si>
    <t>360.604.6800</t>
  </si>
  <si>
    <t>Orchards Elementary School</t>
  </si>
  <si>
    <t>11405 NE 69th Street</t>
  </si>
  <si>
    <t>Stuart  Anderson</t>
  </si>
  <si>
    <t>Stuart.Anderson@evergreenps.org</t>
  </si>
  <si>
    <t>360.604.6975</t>
  </si>
  <si>
    <t>Ellsworth Elementary School</t>
  </si>
  <si>
    <t>512 SE Ellsworth Avenue</t>
  </si>
  <si>
    <t>98664-5149</t>
  </si>
  <si>
    <t>Alexander  Schiewe</t>
  </si>
  <si>
    <t>Alexander.Schiewe@evergreenps.org</t>
  </si>
  <si>
    <t>360.604.6950</t>
  </si>
  <si>
    <t>Clark County Juvenile Detention School</t>
  </si>
  <si>
    <t>PO Box 5000</t>
  </si>
  <si>
    <t>Kevin  Johnson</t>
  </si>
  <si>
    <t>kevin.johnson@esd112.org</t>
  </si>
  <si>
    <t>360.750.7500 ext.105</t>
  </si>
  <si>
    <t>Seattle Public Schools</t>
  </si>
  <si>
    <t>Cascadia Elementary</t>
  </si>
  <si>
    <t>1700 N 90th Street</t>
  </si>
  <si>
    <t>Sandra  MacKey</t>
  </si>
  <si>
    <t>samackey@seattleschools.org</t>
  </si>
  <si>
    <t>206.413.2000</t>
  </si>
  <si>
    <t>Lind-Ritzville Middle School</t>
  </si>
  <si>
    <t>PO Box 340</t>
  </si>
  <si>
    <t>Cheney School District</t>
  </si>
  <si>
    <t>Phil Snowdon Elementary</t>
  </si>
  <si>
    <t>6323 S Holly Rd</t>
  </si>
  <si>
    <t>Cheney</t>
  </si>
  <si>
    <t>Shawna  Fraser</t>
  </si>
  <si>
    <t>sfraser@cheneysd.org</t>
  </si>
  <si>
    <t>509-559-4200</t>
  </si>
  <si>
    <t>Snoqualmie Parent Partnership Program</t>
  </si>
  <si>
    <t>9200 Railroad Ave SE</t>
  </si>
  <si>
    <t>Clover Park School District</t>
  </si>
  <si>
    <t>Transition Day Students</t>
  </si>
  <si>
    <t>10903 Gravelly Lake DR SW</t>
  </si>
  <si>
    <t>C/O Ann Almlie</t>
  </si>
  <si>
    <t>Lakewood</t>
  </si>
  <si>
    <t>Carolyn   Watkins</t>
  </si>
  <si>
    <t>cwatkins@cloverpark.k12.wa.us</t>
  </si>
  <si>
    <t>253.756.2522</t>
  </si>
  <si>
    <t>Oakridge Group Home</t>
  </si>
  <si>
    <t>8805 Steilacoom Blvd</t>
  </si>
  <si>
    <t>Eatonville School District</t>
  </si>
  <si>
    <t>Mt. Rainier Parent Partnership</t>
  </si>
  <si>
    <t>P.O. Box 698</t>
  </si>
  <si>
    <t>Eatonville</t>
  </si>
  <si>
    <t>Linn  Ames</t>
  </si>
  <si>
    <t>l.ames@eatonville.wednet.edu</t>
  </si>
  <si>
    <t>360.879.1650</t>
  </si>
  <si>
    <t>Spokane School District</t>
  </si>
  <si>
    <t>The Community School</t>
  </si>
  <si>
    <t>1025 W Spofford Ave</t>
  </si>
  <si>
    <t>Spokane</t>
  </si>
  <si>
    <t>Cindy   McMahon</t>
  </si>
  <si>
    <t>CindyMc@spokaneschools.org</t>
  </si>
  <si>
    <t>509.354.6404</t>
  </si>
  <si>
    <t>Washington Military Department</t>
  </si>
  <si>
    <t>Washington Youth Academy</t>
  </si>
  <si>
    <t>1207 Carver St</t>
  </si>
  <si>
    <t>Bremerton</t>
  </si>
  <si>
    <t>Lind Ritzville Middle School</t>
  </si>
  <si>
    <t>LInd</t>
  </si>
  <si>
    <t xml:space="preserve"> Affiliated With District, Public School</t>
  </si>
  <si>
    <t>Capital Region ESD 113</t>
  </si>
  <si>
    <t>GRAVITY High School</t>
  </si>
  <si>
    <t>6005 Tyee Dr. SW</t>
  </si>
  <si>
    <t>Tumwater</t>
  </si>
  <si>
    <t>Gerald  Grubbs</t>
  </si>
  <si>
    <t>ggrubbs@esd113.org</t>
  </si>
  <si>
    <t>360.927.6232</t>
  </si>
  <si>
    <t xml:space="preserve"> Public School, Re-Engagement School</t>
  </si>
  <si>
    <t>R</t>
  </si>
  <si>
    <t>Lake Washington Institute of Technology</t>
  </si>
  <si>
    <t>Open Doors at LWIT</t>
  </si>
  <si>
    <t>11605 132nd Ave NE</t>
  </si>
  <si>
    <t>Kirkland</t>
  </si>
  <si>
    <t>Tuan  Dang</t>
  </si>
  <si>
    <t>Tuan.Dang@lwtech.edu</t>
  </si>
  <si>
    <t>425.739.8274</t>
  </si>
  <si>
    <t>Tacoma School District</t>
  </si>
  <si>
    <t>Tacoma Open Doors</t>
  </si>
  <si>
    <t>601 S 8th Street</t>
  </si>
  <si>
    <t>Tacoma</t>
  </si>
  <si>
    <t>Gregory  Eisnaugle</t>
  </si>
  <si>
    <t>geisnau@tacoma.k12.wa.us</t>
  </si>
  <si>
    <t>253.572.6661</t>
  </si>
  <si>
    <t>Jing Mei Elementary School</t>
  </si>
  <si>
    <t>12635 SE 56th Street</t>
  </si>
  <si>
    <t>Tina   Bogucharova</t>
  </si>
  <si>
    <t>bogucharovat@bsd405.org</t>
  </si>
  <si>
    <t>425.456.6900</t>
  </si>
  <si>
    <t>Camas School District</t>
  </si>
  <si>
    <t>Woodburn Elementary</t>
  </si>
  <si>
    <t>2400 NE Woodburn Dr</t>
  </si>
  <si>
    <t>Camas</t>
  </si>
  <si>
    <t>Brian  Graham</t>
  </si>
  <si>
    <t>brian.graham@camas.wednet.edu</t>
  </si>
  <si>
    <t>360.833.5860</t>
  </si>
  <si>
    <t>Henrietta Lacks Health and Bioscience High School</t>
  </si>
  <si>
    <t>9105 NE 9th Street</t>
  </si>
  <si>
    <t>Julie  Tumelty</t>
  </si>
  <si>
    <t>Julie.Tumelty@evergreenps.org</t>
  </si>
  <si>
    <t>360.604.6340</t>
  </si>
  <si>
    <t>Hockinson Heights Elementary School</t>
  </si>
  <si>
    <t>20000 NE 164th St</t>
  </si>
  <si>
    <t>Brush Prairie</t>
  </si>
  <si>
    <t>Joshua  Robertson</t>
  </si>
  <si>
    <t>joshua.robertson@hocksd.org</t>
  </si>
  <si>
    <t>360.448.6430</t>
  </si>
  <si>
    <t>Longview School District</t>
  </si>
  <si>
    <t>Discovery High School</t>
  </si>
  <si>
    <t>2742 Harding Blvd</t>
  </si>
  <si>
    <t>Longview</t>
  </si>
  <si>
    <t>Michael  Kleiner</t>
  </si>
  <si>
    <t>mkleiner@longview.k12.wa.us</t>
  </si>
  <si>
    <t>360.414.2926</t>
  </si>
  <si>
    <t>Meadow Crest Early Childhood Education Center</t>
  </si>
  <si>
    <t>1800 Index Ave NE</t>
  </si>
  <si>
    <t>98056-2314</t>
  </si>
  <si>
    <t>Cindy  Farnsworth</t>
  </si>
  <si>
    <t>cynthia.farnsworth@rentonschools.us</t>
  </si>
  <si>
    <t>425.204.2200</t>
  </si>
  <si>
    <t xml:space="preserve"> Preschool, Public School</t>
  </si>
  <si>
    <t>Youthsource</t>
  </si>
  <si>
    <t>4640 S 144th ST</t>
  </si>
  <si>
    <t>Forrest   Griek</t>
  </si>
  <si>
    <t>michael.davie@kingcounty.gov</t>
  </si>
  <si>
    <t>Open Doors  Re-Engagement Wenatchee</t>
  </si>
  <si>
    <t>PO Box 2360</t>
  </si>
  <si>
    <t>Chehalis School District</t>
  </si>
  <si>
    <t>Lewis County Jail</t>
  </si>
  <si>
    <t xml:space="preserve">345 NW North Street </t>
  </si>
  <si>
    <t>Chehalis</t>
  </si>
  <si>
    <t>Tim   Touhey</t>
  </si>
  <si>
    <t>ttouhey@chehalisschools.org</t>
  </si>
  <si>
    <t>360.740.3521</t>
  </si>
  <si>
    <t>Suquamish Tribal Education Department</t>
  </si>
  <si>
    <t>Chief Kitsap Academy</t>
  </si>
  <si>
    <t>15838 Sandy Hook Rd</t>
  </si>
  <si>
    <t>Poulsbo</t>
  </si>
  <si>
    <t>Fabian  Castilleja</t>
  </si>
  <si>
    <t>fcastilleja@Suquamish.nsn.us</t>
  </si>
  <si>
    <t>360-394-8597</t>
  </si>
  <si>
    <t>Q</t>
  </si>
  <si>
    <t>Puyallup School District</t>
  </si>
  <si>
    <t>Puyallup Open Doors/POD</t>
  </si>
  <si>
    <t>716 South Hill Park Drive</t>
  </si>
  <si>
    <t>Suite B</t>
  </si>
  <si>
    <t>Puyalllup</t>
  </si>
  <si>
    <t>Adriana  Julian</t>
  </si>
  <si>
    <t>JuliaAC@puyallup.k12.wa.us</t>
  </si>
  <si>
    <t>253.841.8630</t>
  </si>
  <si>
    <t>Puyallup Parent Partnership Program</t>
  </si>
  <si>
    <t>Puyallup</t>
  </si>
  <si>
    <t>Moses Lake School District</t>
  </si>
  <si>
    <t>Skill Source Learning Center</t>
  </si>
  <si>
    <t xml:space="preserve">309 E. 5th Ave. </t>
  </si>
  <si>
    <t xml:space="preserve">Moses Lake </t>
  </si>
  <si>
    <t>Yolanda  Rios</t>
  </si>
  <si>
    <t>yolanda@skillsource.org</t>
  </si>
  <si>
    <t>509.766.6300</t>
  </si>
  <si>
    <t>Grad Alliance Program</t>
  </si>
  <si>
    <t>12111 NE 1ST STREET</t>
  </si>
  <si>
    <t>Joseph  Kempisty</t>
  </si>
  <si>
    <t>kempistyj@bsd405.org</t>
  </si>
  <si>
    <t>425.456.4175</t>
  </si>
  <si>
    <t>La Center Home School Academy</t>
  </si>
  <si>
    <t>PO Box 1840</t>
  </si>
  <si>
    <t>Central Valley School District</t>
  </si>
  <si>
    <t>CVSD Open Doors Programs</t>
  </si>
  <si>
    <t>19307 E Cataldo Ave</t>
  </si>
  <si>
    <t>Spokane Valley</t>
  </si>
  <si>
    <t>99016-9489</t>
  </si>
  <si>
    <t>Kent  Martin</t>
  </si>
  <si>
    <t>kentmartin@cvsd.org</t>
  </si>
  <si>
    <t>509.558.5430</t>
  </si>
  <si>
    <t>Northwest Educational Service District 189</t>
  </si>
  <si>
    <t>Sultan School District</t>
  </si>
  <si>
    <t>Open Doors Youth Reengagement Sultan</t>
  </si>
  <si>
    <t>13715 310th Ave SE</t>
  </si>
  <si>
    <t>Sultan</t>
  </si>
  <si>
    <t>Sarita  Whitmire</t>
  </si>
  <si>
    <t>sarita.whitmire@sultan.k12.wa.us</t>
  </si>
  <si>
    <t>360.793.9810</t>
  </si>
  <si>
    <t>Everett School District</t>
  </si>
  <si>
    <t>Everett Reengagement Academy</t>
  </si>
  <si>
    <t>PO Box 2098</t>
  </si>
  <si>
    <t>Everett</t>
  </si>
  <si>
    <t>98213-2999</t>
  </si>
  <si>
    <t>Cathy  Woods</t>
  </si>
  <si>
    <t>cwoods2@everettsd.org</t>
  </si>
  <si>
    <t>425.385.4078</t>
  </si>
  <si>
    <t>Northshore School District</t>
  </si>
  <si>
    <t>Northshore Online School</t>
  </si>
  <si>
    <t>3330 Monte Villa Parkway</t>
  </si>
  <si>
    <t>Bothell</t>
  </si>
  <si>
    <t>98021-8972</t>
  </si>
  <si>
    <t>Donna  Tyo</t>
  </si>
  <si>
    <t>dtyo@nsd.org</t>
  </si>
  <si>
    <t>425-408-6605</t>
  </si>
  <si>
    <t>New Beginnings</t>
  </si>
  <si>
    <t>Educational Service District 105</t>
  </si>
  <si>
    <t>Selah School District</t>
  </si>
  <si>
    <t xml:space="preserve">SELAH ACADEMY REENGAGEMENT PROGRAM </t>
  </si>
  <si>
    <t>308 W Naches Ave</t>
  </si>
  <si>
    <t>Selah</t>
  </si>
  <si>
    <t>Joe  Coscarart</t>
  </si>
  <si>
    <t>joecoscarart@selahschools.org</t>
  </si>
  <si>
    <t>509.698.8453</t>
  </si>
  <si>
    <t>Open Door Youth Reengagement Renton</t>
  </si>
  <si>
    <t>Vickie  Damon</t>
  </si>
  <si>
    <t>vickie.damon@rentonschools.us</t>
  </si>
  <si>
    <t>425.204.2462</t>
  </si>
  <si>
    <t>Grand Coulee Dam School District</t>
  </si>
  <si>
    <t>Lake Roosevelt Alternative School</t>
  </si>
  <si>
    <t>505 Crest Dr</t>
  </si>
  <si>
    <t>Coulee Dam</t>
  </si>
  <si>
    <t>Mark  Herndon</t>
  </si>
  <si>
    <t>mherndon@gcdsd.org</t>
  </si>
  <si>
    <t>509.633.2143</t>
  </si>
  <si>
    <t>Walla Walla Public Schools</t>
  </si>
  <si>
    <t>SE AREA TECHNICAL SKILLS CENTER</t>
  </si>
  <si>
    <t>525 CAMPUS LOOP DR</t>
  </si>
  <si>
    <t>WALLA WALLA</t>
  </si>
  <si>
    <t>Jerry Thomas Maher</t>
  </si>
  <si>
    <t>jmaher@wwps.org</t>
  </si>
  <si>
    <t>509.526.2001</t>
  </si>
  <si>
    <t>White River School District</t>
  </si>
  <si>
    <t>White River Reengagement Program</t>
  </si>
  <si>
    <t>PO Box 2050</t>
  </si>
  <si>
    <t>Buckley</t>
  </si>
  <si>
    <t>Michael  Hagadone</t>
  </si>
  <si>
    <t>mhagadone@whiteriver.wednet.edu</t>
  </si>
  <si>
    <t>360.829.3817</t>
  </si>
  <si>
    <t>Spokane Public Schools Charter Authorizer</t>
  </si>
  <si>
    <t>PRIDE Prep Charter School District</t>
  </si>
  <si>
    <t xml:space="preserve">PRIDE Prep School </t>
  </si>
  <si>
    <t>811 E. Sprague</t>
  </si>
  <si>
    <t>Suite A</t>
  </si>
  <si>
    <t>Brenda R McDonald</t>
  </si>
  <si>
    <t>bmcdonald@prideprepschool.org</t>
  </si>
  <si>
    <t>509.994.6234</t>
  </si>
  <si>
    <t>Charter,  Public School, Regular School</t>
  </si>
  <si>
    <t>Bellingham School District</t>
  </si>
  <si>
    <t>Bellingham Re-Engagement Program</t>
  </si>
  <si>
    <t>1306 Dupont St</t>
  </si>
  <si>
    <t>Bellingham</t>
  </si>
  <si>
    <t>Open Doors Vancouver</t>
  </si>
  <si>
    <t>Deanna Lynn Hogan</t>
  </si>
  <si>
    <t>Deanna.Hogan@vansd.org</t>
  </si>
  <si>
    <t>360.313.4990</t>
  </si>
  <si>
    <t>Oak Harbor School District</t>
  </si>
  <si>
    <t>iGrad Academy</t>
  </si>
  <si>
    <t>#1 Wildcat Way</t>
  </si>
  <si>
    <t>Oak Harbor</t>
  </si>
  <si>
    <t>Ray  Cone</t>
  </si>
  <si>
    <t>rcone@ohsd.net</t>
  </si>
  <si>
    <t>360.279.5801</t>
  </si>
  <si>
    <t>Open Doors Youth Re-Engagement Spokane</t>
  </si>
  <si>
    <t>200 N. Bernard</t>
  </si>
  <si>
    <t>Larry  Gardner</t>
  </si>
  <si>
    <t>lgardner@esd101.net</t>
  </si>
  <si>
    <t>509-477-2451</t>
  </si>
  <si>
    <t>Pasco School District</t>
  </si>
  <si>
    <t>Rosalind Franklin STEM Elementary</t>
  </si>
  <si>
    <t>6010 Road 52</t>
  </si>
  <si>
    <t>Pasco</t>
  </si>
  <si>
    <t>Deidre  Holmberg</t>
  </si>
  <si>
    <t>dholmberg@psd1.org</t>
  </si>
  <si>
    <t>509.416.7114</t>
  </si>
  <si>
    <t>East Valley School District (Spokane)</t>
  </si>
  <si>
    <t>East Valley Middle School</t>
  </si>
  <si>
    <t>4920 N Progress Rd</t>
  </si>
  <si>
    <t>Mathew  Orndorff</t>
  </si>
  <si>
    <t>orndorffm@evsd.org</t>
  </si>
  <si>
    <t>509.924.9383</t>
  </si>
  <si>
    <t>Open Doors Youth Reengagement (1418)</t>
  </si>
  <si>
    <t>31455 28th Ave S</t>
  </si>
  <si>
    <t>Federal Way</t>
  </si>
  <si>
    <t>Caitlin  Boline</t>
  </si>
  <si>
    <t>cboline@fwps.org</t>
  </si>
  <si>
    <t>253.945.4590</t>
  </si>
  <si>
    <t>Granite Falls School District</t>
  </si>
  <si>
    <t>Granite Falls Open Doors</t>
  </si>
  <si>
    <t>205 N Alder Ave</t>
  </si>
  <si>
    <t>Granite Falls</t>
  </si>
  <si>
    <t>Bridgette  McVay</t>
  </si>
  <si>
    <t>bmcvay@gfalls.wednet.edu</t>
  </si>
  <si>
    <t>360.691.4407</t>
  </si>
  <si>
    <t>Marysville School District</t>
  </si>
  <si>
    <t>Quil Ceda Tulalip Elementary</t>
  </si>
  <si>
    <t>2415 74th St NE</t>
  </si>
  <si>
    <t>Tulalip</t>
  </si>
  <si>
    <t>Sarah Marie Boerner</t>
  </si>
  <si>
    <t>Sarahmarie_Boerner@msd25.org</t>
  </si>
  <si>
    <t>360.965.3100</t>
  </si>
  <si>
    <t>Jane Addams Middle School</t>
  </si>
  <si>
    <t>11051 34th Ave. NE</t>
  </si>
  <si>
    <t>Paula Ann Montgomery</t>
  </si>
  <si>
    <t>plmontgomery@seattleschools.org</t>
  </si>
  <si>
    <t>206.252.4515</t>
  </si>
  <si>
    <t>Sunnyside School District</t>
  </si>
  <si>
    <t>SHS Graduation Alliance</t>
  </si>
  <si>
    <t>1801 E Edison Ave</t>
  </si>
  <si>
    <t>Sunnyside</t>
  </si>
  <si>
    <t>David  Martinez</t>
  </si>
  <si>
    <t>david.martinez@sunnysideschools.org</t>
  </si>
  <si>
    <t>509.837.2601</t>
  </si>
  <si>
    <t xml:space="preserve"> Contract School, Public School, Re-Engagement School</t>
  </si>
  <si>
    <t xml:space="preserve">Endeavor Middle School </t>
  </si>
  <si>
    <t>6527 Patton Blvd</t>
  </si>
  <si>
    <t xml:space="preserve">Abram  Ramirez Jr. </t>
  </si>
  <si>
    <t>aramirez@mlsd161.org</t>
  </si>
  <si>
    <t>509.766.2667</t>
  </si>
  <si>
    <t>Yakima School District</t>
  </si>
  <si>
    <t>Yakima Open Doors</t>
  </si>
  <si>
    <t>1120 S 18th St</t>
  </si>
  <si>
    <t>Portable A</t>
  </si>
  <si>
    <t>Yakima</t>
  </si>
  <si>
    <t>Lois  Menard</t>
  </si>
  <si>
    <t>menard.lois@yakimaschools.org</t>
  </si>
  <si>
    <t>509.573.5581</t>
  </si>
  <si>
    <t>West Valley School District (Spokane)</t>
  </si>
  <si>
    <t xml:space="preserve">re-engagement </t>
  </si>
  <si>
    <t>2805 N Argonne</t>
  </si>
  <si>
    <t>Jean C Marczynski</t>
  </si>
  <si>
    <t>jean.marczynski@wvsd.org</t>
  </si>
  <si>
    <t>509.924.2150</t>
  </si>
  <si>
    <t>Valley School District</t>
  </si>
  <si>
    <t>Valley Early Learning Center</t>
  </si>
  <si>
    <t>3030 Huffman Road</t>
  </si>
  <si>
    <t>Valley</t>
  </si>
  <si>
    <t>Candace  Harris</t>
  </si>
  <si>
    <t>candace.harris@valleysd.org</t>
  </si>
  <si>
    <t>509-937-2638</t>
  </si>
  <si>
    <t>Edmonds School District</t>
  </si>
  <si>
    <t>Edmonds Career Access Program</t>
  </si>
  <si>
    <t>20420 68th Ave W</t>
  </si>
  <si>
    <t>Lynnwood</t>
  </si>
  <si>
    <t>Mark  Madison</t>
  </si>
  <si>
    <t>madisonm@edmonds.wednet.edu</t>
  </si>
  <si>
    <t>425-431-7124</t>
  </si>
  <si>
    <t>Centralia School District</t>
  </si>
  <si>
    <t>Futurus High School</t>
  </si>
  <si>
    <t>906 Johnson Road</t>
  </si>
  <si>
    <t>Centralia</t>
  </si>
  <si>
    <t>James RM Bowers</t>
  </si>
  <si>
    <t>jbowers@centralia.wednet.edu</t>
  </si>
  <si>
    <t>360-827-6430</t>
  </si>
  <si>
    <t>Battle Ground School District</t>
  </si>
  <si>
    <t>Open Doors Battle Ground</t>
  </si>
  <si>
    <t>PO Box 200</t>
  </si>
  <si>
    <t>Battle Ground</t>
  </si>
  <si>
    <t>Beth  Beattie</t>
  </si>
  <si>
    <t>beattie.beth@battlegroundps.org</t>
  </si>
  <si>
    <t>360.885.5407</t>
  </si>
  <si>
    <t>Spokane Public Montessori</t>
  </si>
  <si>
    <t>1300 West Knox Ave.</t>
  </si>
  <si>
    <t>Shannon  Lawson</t>
  </si>
  <si>
    <t>ShannonLa@SpokaneSchools.org</t>
  </si>
  <si>
    <t>509-354-6409</t>
  </si>
  <si>
    <t>College Place School District</t>
  </si>
  <si>
    <t>College Place High School</t>
  </si>
  <si>
    <t>1755 S. College Avenue</t>
  </si>
  <si>
    <t>College Place</t>
  </si>
  <si>
    <t>Robert A Aguilar</t>
  </si>
  <si>
    <t>raguilar@cpps.org</t>
  </si>
  <si>
    <t>509.522.3312</t>
  </si>
  <si>
    <t>Forks Intermediate School</t>
  </si>
  <si>
    <t>121 S Spartan Ave</t>
  </si>
  <si>
    <t>Elena  Velasquez</t>
  </si>
  <si>
    <t>elena.velasquez@qvschools.org</t>
  </si>
  <si>
    <t>360.374.6262</t>
  </si>
  <si>
    <t>Meriwether Elementary School</t>
  </si>
  <si>
    <t>10285 Compass Ave</t>
  </si>
  <si>
    <t>JBLM Lewis North</t>
  </si>
  <si>
    <t>Leila  Davis</t>
  </si>
  <si>
    <t>lsdavis@cloverpark.k12.wa.us</t>
  </si>
  <si>
    <t>253.583.5200</t>
  </si>
  <si>
    <t>Rainier Elementary School</t>
  </si>
  <si>
    <t>2410 Stryker Avenue</t>
  </si>
  <si>
    <t>JBLM Lewis Main</t>
  </si>
  <si>
    <t>Kylie  Danielson</t>
  </si>
  <si>
    <t>kdaniels@cloverpark.k12.wa.us</t>
  </si>
  <si>
    <t>253.583.5220</t>
  </si>
  <si>
    <t>Bellingham Family Partnership Program</t>
  </si>
  <si>
    <t>1409 18th St</t>
  </si>
  <si>
    <t>98225-7201</t>
  </si>
  <si>
    <t>Katherine  Baehr</t>
  </si>
  <si>
    <t>kate.baehr@bellinghamschools.org</t>
  </si>
  <si>
    <t>360.676.6424</t>
  </si>
  <si>
    <t>Desert Oasis High School</t>
  </si>
  <si>
    <t>825 E. Ash St.</t>
  </si>
  <si>
    <t>Russell  Kovalenko</t>
  </si>
  <si>
    <t>rkovalenko@othello.wednet.edu</t>
  </si>
  <si>
    <t>509-488-4534</t>
  </si>
  <si>
    <t>White Salmon Valley School District</t>
  </si>
  <si>
    <t>Wallace &amp; Priscilla Stevenson Intermediate School</t>
  </si>
  <si>
    <t>PO Box 2550</t>
  </si>
  <si>
    <t>White Salmon</t>
  </si>
  <si>
    <t>Columba  Jones</t>
  </si>
  <si>
    <t>columba.jones@whitesalmonschools.org</t>
  </si>
  <si>
    <t>509.493.4028</t>
  </si>
  <si>
    <t>Lewis County Alternative School</t>
  </si>
  <si>
    <t>1265 SW Pacific Ave</t>
  </si>
  <si>
    <t>Tim  Touhey</t>
  </si>
  <si>
    <t>Highline Open Doors 1418</t>
  </si>
  <si>
    <t>614 SW 120th Street</t>
  </si>
  <si>
    <t>206.631.7750</t>
  </si>
  <si>
    <t>Highline Home School Center</t>
  </si>
  <si>
    <t>18367 8th Avenue South</t>
  </si>
  <si>
    <t>206.631.7665</t>
  </si>
  <si>
    <t>Bethel School District</t>
  </si>
  <si>
    <t>Acceleration Academy</t>
  </si>
  <si>
    <t>16218 Pacific Ave</t>
  </si>
  <si>
    <t>Spanaway</t>
  </si>
  <si>
    <t>Gin  Hooks</t>
  </si>
  <si>
    <t>ghooks@accelerationacademy.org</t>
  </si>
  <si>
    <t>253.267.1045</t>
  </si>
  <si>
    <t>Lummi Tribal Agency</t>
  </si>
  <si>
    <t>Lummi Nation School</t>
  </si>
  <si>
    <t>2334 Lummi View Drive</t>
  </si>
  <si>
    <t>Bernie  Thomas</t>
  </si>
  <si>
    <t>bernie.thomas@lummi-k12.org</t>
  </si>
  <si>
    <t>360.758.4300</t>
  </si>
  <si>
    <t xml:space="preserve"> Affiliated With District, Tribal School</t>
  </si>
  <si>
    <t>SVSD OPEN DOORS</t>
  </si>
  <si>
    <t>8001 SILVA AVE SE</t>
  </si>
  <si>
    <t>Deborah   O'Brien</t>
  </si>
  <si>
    <t>deborah.obrien@graduationalliance.com</t>
  </si>
  <si>
    <t>509.570.4619</t>
  </si>
  <si>
    <t xml:space="preserve"> Contract School, Re-Engagement School</t>
  </si>
  <si>
    <t>Washington State Charter School Commission</t>
  </si>
  <si>
    <t>Summit Public School: Sierra</t>
  </si>
  <si>
    <t>210 S Hudson St</t>
  </si>
  <si>
    <t>Malia  Burns</t>
  </si>
  <si>
    <t>mburns@summitps.org</t>
  </si>
  <si>
    <t>206.999.9196</t>
  </si>
  <si>
    <t>Summit Public School: Olympus</t>
  </si>
  <si>
    <t>210 S. Hudson St</t>
  </si>
  <si>
    <t>Greg  Ponikvar</t>
  </si>
  <si>
    <t>gponikvar@summitps.org</t>
  </si>
  <si>
    <t>253.271.9146</t>
  </si>
  <si>
    <t>Rainier Prep Charter School District</t>
  </si>
  <si>
    <t>Rainier Prep</t>
  </si>
  <si>
    <t>10211 12th Ave S</t>
  </si>
  <si>
    <t>Maggie  O'Sullivan</t>
  </si>
  <si>
    <t>mainoffice@rainierprep.org</t>
  </si>
  <si>
    <t>206.725.1174</t>
  </si>
  <si>
    <t>Spokane International Academy</t>
  </si>
  <si>
    <t>2706 E Queen</t>
  </si>
  <si>
    <t>Travis  Franklin</t>
  </si>
  <si>
    <t>mainoffice@spokaneintlacademy.org</t>
  </si>
  <si>
    <t>509-882-3855</t>
  </si>
  <si>
    <t>John Campbell Primary School</t>
  </si>
  <si>
    <t>408 North First Street</t>
  </si>
  <si>
    <t>Amanda  Scribner</t>
  </si>
  <si>
    <t>AmandaScribner@selahschools.org</t>
  </si>
  <si>
    <t>509.698.8102</t>
  </si>
  <si>
    <t>Selah Intermediate School</t>
  </si>
  <si>
    <t>1401 West Fremont</t>
  </si>
  <si>
    <t>Ryan   Ranger</t>
  </si>
  <si>
    <t>RyanRanger@selahschools.org</t>
  </si>
  <si>
    <t>509.698.8306</t>
  </si>
  <si>
    <t>Selah Middle School</t>
  </si>
  <si>
    <t>411 North First Street</t>
  </si>
  <si>
    <t>Marc  Gallaway</t>
  </si>
  <si>
    <t>marcgallaway@selahschools.org</t>
  </si>
  <si>
    <t>509.698.8402</t>
  </si>
  <si>
    <t>Clover Park Early Learning Program</t>
  </si>
  <si>
    <t>10202 Earley Ave SW</t>
  </si>
  <si>
    <t>Jennifer  White</t>
  </si>
  <si>
    <t>jwhite@cloverpark.k12.wa.us</t>
  </si>
  <si>
    <t>253-583-5360</t>
  </si>
  <si>
    <t>Four Heroes Elementary</t>
  </si>
  <si>
    <t>9101 Lakewood Dr SW</t>
  </si>
  <si>
    <t>John  Mitchell</t>
  </si>
  <si>
    <t>jmitchel@cloverpark.k12.wa.us</t>
  </si>
  <si>
    <t>253-583-5340</t>
  </si>
  <si>
    <t>Royal School District</t>
  </si>
  <si>
    <t>Royal Intermediate School</t>
  </si>
  <si>
    <t>PO Box 486</t>
  </si>
  <si>
    <t>Royal City</t>
  </si>
  <si>
    <t>99357-0486</t>
  </si>
  <si>
    <t>Linda  Achondo</t>
  </si>
  <si>
    <t>lachondo@royalsd.org</t>
  </si>
  <si>
    <t>509.346.2226</t>
  </si>
  <si>
    <t>Steilacoom Hist. School District</t>
  </si>
  <si>
    <t>Birth to Three</t>
  </si>
  <si>
    <t>511 Chambers Street</t>
  </si>
  <si>
    <t>Steilacoom</t>
  </si>
  <si>
    <t>Gudrun   Sullivan</t>
  </si>
  <si>
    <t>gusullivan@steilacoom.k12.wa.us</t>
  </si>
  <si>
    <t>253.983.2238</t>
  </si>
  <si>
    <t>White River Homeschool</t>
  </si>
  <si>
    <t>Mike  Hagadone</t>
  </si>
  <si>
    <t>360.829.0600</t>
  </si>
  <si>
    <t xml:space="preserve"> Not Affiliated With District, Public School</t>
  </si>
  <si>
    <t>Barbara McClintock STEM Elementary</t>
  </si>
  <si>
    <t>5706 Road 60</t>
  </si>
  <si>
    <t>Jaime  Morales</t>
  </si>
  <si>
    <t>jmorales@psd1.org</t>
  </si>
  <si>
    <t>509.412.7808</t>
  </si>
  <si>
    <t>Captain Gray STEM Elementary</t>
  </si>
  <si>
    <t>1102 N 10th Ave</t>
  </si>
  <si>
    <t>Armando  Castrellon</t>
  </si>
  <si>
    <t>acastrellon@psd1.org</t>
  </si>
  <si>
    <t>509.547.2474</t>
  </si>
  <si>
    <t>Internet Pasco Academy of Learning</t>
  </si>
  <si>
    <t>2803 N Road 88</t>
  </si>
  <si>
    <t>Deb  Thurston</t>
  </si>
  <si>
    <t>dthurston@psd1.org</t>
  </si>
  <si>
    <t>509-543-6765</t>
  </si>
  <si>
    <t>Marie Curie STEM Elementary</t>
  </si>
  <si>
    <t>715 N California</t>
  </si>
  <si>
    <t>Valerie  Aragon</t>
  </si>
  <si>
    <t>varagon@psd1.org</t>
  </si>
  <si>
    <t>509.416.7810</t>
  </si>
  <si>
    <t>Bremerton School District</t>
  </si>
  <si>
    <t>Career &amp; Academic Re-engagement Center</t>
  </si>
  <si>
    <t>134 Marion Ave N</t>
  </si>
  <si>
    <t>Kristen  Morga</t>
  </si>
  <si>
    <t>kristen.morga@bremertonschools.org</t>
  </si>
  <si>
    <t>360.473.4700</t>
  </si>
  <si>
    <t>Cheney Open Doors</t>
  </si>
  <si>
    <t>460 N. 6th St.</t>
  </si>
  <si>
    <t>Troy  Heuett</t>
  </si>
  <si>
    <t>theuett@cheneysd.org</t>
  </si>
  <si>
    <t>509-559-4001</t>
  </si>
  <si>
    <t>ESD 112 Open Doors Reengagement</t>
  </si>
  <si>
    <t>2500 NE 65th Avenue</t>
  </si>
  <si>
    <t>360.750.7500</t>
  </si>
  <si>
    <t>Grandview School District</t>
  </si>
  <si>
    <t>Step Up to College Open Doors High School</t>
  </si>
  <si>
    <t>913 W 2nd ST</t>
  </si>
  <si>
    <t>Grandview</t>
  </si>
  <si>
    <t>Henry M Strom</t>
  </si>
  <si>
    <t>hmstrom@gsd200.org</t>
  </si>
  <si>
    <t>509.882.8500</t>
  </si>
  <si>
    <t>Discovery High School-Achieve</t>
  </si>
  <si>
    <t>2742 Harding</t>
  </si>
  <si>
    <t>Mead School District</t>
  </si>
  <si>
    <t>Mead Open Doors</t>
  </si>
  <si>
    <t>2323 E Farwell Rd</t>
  </si>
  <si>
    <t>Mead</t>
  </si>
  <si>
    <t>Ken   Russell</t>
  </si>
  <si>
    <t>ken.russell@mead354.org</t>
  </si>
  <si>
    <t>509.465.6040</t>
  </si>
  <si>
    <t>Marysville NWESD 189 Youth Engagement</t>
  </si>
  <si>
    <t xml:space="preserve">1605  7th Street </t>
  </si>
  <si>
    <t>Marysville</t>
  </si>
  <si>
    <t>Jodie  Desbiens</t>
  </si>
  <si>
    <t>jdesbiens@nwesd.org</t>
  </si>
  <si>
    <t>425.879.8810</t>
  </si>
  <si>
    <t>Ugrad â€“ ESD123 Re-Engagement Program</t>
  </si>
  <si>
    <t>3918 West Court Street</t>
  </si>
  <si>
    <t xml:space="preserve">Pasco </t>
  </si>
  <si>
    <t>Interagency Open Doors</t>
  </si>
  <si>
    <t>3528 S. Ferdinand Street</t>
  </si>
  <si>
    <t>Melissa  Rysemus</t>
  </si>
  <si>
    <t>merysemus@seattleschools.org</t>
  </si>
  <si>
    <t>206.743.3935</t>
  </si>
  <si>
    <t>Bridges Transition</t>
  </si>
  <si>
    <t>7201 Beacon Ave S</t>
  </si>
  <si>
    <t>Sherry  Studley</t>
  </si>
  <si>
    <t>srstudley@seattleschools.org</t>
  </si>
  <si>
    <t>206.252.0842</t>
  </si>
  <si>
    <t>Woodland School District</t>
  </si>
  <si>
    <t>Woodland Middle School</t>
  </si>
  <si>
    <t>755 Park St</t>
  </si>
  <si>
    <t>Woodland</t>
  </si>
  <si>
    <t>James  Johnston</t>
  </si>
  <si>
    <t>johnstoj@woodlandschools.org</t>
  </si>
  <si>
    <t>360.841.2855</t>
  </si>
  <si>
    <t>Futures Program</t>
  </si>
  <si>
    <t>Gudrun  Sullivan</t>
  </si>
  <si>
    <t>CPSD Open Doors Program</t>
  </si>
  <si>
    <t>11023 Gravelly Lake Dr SW</t>
  </si>
  <si>
    <t>Venetia  Willis-Holbrook</t>
  </si>
  <si>
    <t>vwillish@cloverpark.k12.wa.us</t>
  </si>
  <si>
    <t>253.583.5525</t>
  </si>
  <si>
    <t>Coupeville School District</t>
  </si>
  <si>
    <t>Open Den</t>
  </si>
  <si>
    <t>501 South Main</t>
  </si>
  <si>
    <t>Coupeville</t>
  </si>
  <si>
    <t>Jim  Shank</t>
  </si>
  <si>
    <t>jshank@coupeville.k12.wa.us</t>
  </si>
  <si>
    <t>360.678.2404</t>
  </si>
  <si>
    <t>Chimacum School District</t>
  </si>
  <si>
    <t>Open Doors Reengagement Program</t>
  </si>
  <si>
    <t>PO Box 278</t>
  </si>
  <si>
    <t>Chimacum</t>
  </si>
  <si>
    <t>David  Carthum</t>
  </si>
  <si>
    <t>david_carthum@csd49.org</t>
  </si>
  <si>
    <t>360.302.5905</t>
  </si>
  <si>
    <t>Educational Opportunity Center Reengagement</t>
  </si>
  <si>
    <t>1284 Chestnut</t>
  </si>
  <si>
    <t>Elece A Lockridge</t>
  </si>
  <si>
    <t>lockridgee@csdk12.org</t>
  </si>
  <si>
    <t>509-758-4508</t>
  </si>
  <si>
    <t>Other Schools</t>
  </si>
  <si>
    <t>Rebecca  Clifford</t>
  </si>
  <si>
    <t>rclifford@everettsd.org</t>
  </si>
  <si>
    <t>425.385.5251</t>
  </si>
  <si>
    <t>Mossyrock School District</t>
  </si>
  <si>
    <t>Mossyrock Academy</t>
  </si>
  <si>
    <t>P O Box 478</t>
  </si>
  <si>
    <t>Mossyrock</t>
  </si>
  <si>
    <t>Lori  Cournyer</t>
  </si>
  <si>
    <t>lcournyer@mossyrockschools.org</t>
  </si>
  <si>
    <t>360.983.3183</t>
  </si>
  <si>
    <t>Elma School District</t>
  </si>
  <si>
    <t>East Grays Harbor Open Doors</t>
  </si>
  <si>
    <t>705 W Waldrip</t>
  </si>
  <si>
    <t>Elma</t>
  </si>
  <si>
    <t>Julie  Crawford</t>
  </si>
  <si>
    <t>jcrawford@eagles.edu</t>
  </si>
  <si>
    <t>360.482.5086</t>
  </si>
  <si>
    <t>Nine Mile Falls School District</t>
  </si>
  <si>
    <t>Re-Engagement School (Nine Mile Falls)</t>
  </si>
  <si>
    <t>5909 Highway 291</t>
  </si>
  <si>
    <t>Nine Mile Falls</t>
  </si>
  <si>
    <t>Willard B Osborn</t>
  </si>
  <si>
    <t>bosborn@9mile.org</t>
  </si>
  <si>
    <t>509.340.4200</t>
  </si>
  <si>
    <t>Cascade Home-Link</t>
  </si>
  <si>
    <t>330 Evans Street</t>
  </si>
  <si>
    <t>William Lee Motsenbocker</t>
  </si>
  <si>
    <t>jwinters@cascadesd.org</t>
  </si>
  <si>
    <t>509.548.5885</t>
  </si>
  <si>
    <t>Orchard Elementary</t>
  </si>
  <si>
    <t>1600 Gala Way</t>
  </si>
  <si>
    <t>Alysia  Arsanto</t>
  </si>
  <si>
    <t>Alysia.Arsanto@rsd.edu</t>
  </si>
  <si>
    <t>509.967.6175</t>
  </si>
  <si>
    <t>Quileute Tribal School District</t>
  </si>
  <si>
    <t>Quileute Tribal School</t>
  </si>
  <si>
    <t>PO Box 39</t>
  </si>
  <si>
    <t>La Push</t>
  </si>
  <si>
    <t>Sheri  Crippen</t>
  </si>
  <si>
    <t>sheri.crippen@quileutetribalschool.org</t>
  </si>
  <si>
    <t>360.374.5657</t>
  </si>
  <si>
    <t xml:space="preserve"> Not Affiliated With District, Tribal School</t>
  </si>
  <si>
    <t>Bates Technical College</t>
  </si>
  <si>
    <t>Bates Technical College - Open Doors</t>
  </si>
  <si>
    <t>1101 South Yakima Ave.</t>
  </si>
  <si>
    <t>Yifan  Sun</t>
  </si>
  <si>
    <t>ysun@batestech.edu</t>
  </si>
  <si>
    <t>253.680.7184</t>
  </si>
  <si>
    <t>EV Online</t>
  </si>
  <si>
    <t>3830 N Sullivan Rd Bldg 1</t>
  </si>
  <si>
    <t>Matthew  Stevens</t>
  </si>
  <si>
    <t>stevensma@evsd.org</t>
  </si>
  <si>
    <t>509.927.3200</t>
  </si>
  <si>
    <t>EV Parent Partnership</t>
  </si>
  <si>
    <t>12325 E Grace Ave</t>
  </si>
  <si>
    <t>Frank  Brou</t>
  </si>
  <si>
    <t>brouf@evsd.org</t>
  </si>
  <si>
    <t>509-241-5001</t>
  </si>
  <si>
    <t>NEWESD 101 Open Doors</t>
  </si>
  <si>
    <t>901 E. 2nd Avenue Suite 100</t>
  </si>
  <si>
    <t>Dr. Trina  Clayeux</t>
  </si>
  <si>
    <t>trinac@nextgenzone.org</t>
  </si>
  <si>
    <t>509.340.7800</t>
  </si>
  <si>
    <t>Open Doors Evergreen</t>
  </si>
  <si>
    <t>2205 NE 138th Ave</t>
  </si>
  <si>
    <t>Stephen  Getsinger</t>
  </si>
  <si>
    <t>Stephen.Getsinger@evergreenps.org</t>
  </si>
  <si>
    <t>360.604.4095</t>
  </si>
  <si>
    <t>Franklin Pierce School District</t>
  </si>
  <si>
    <t>Early Learning Center</t>
  </si>
  <si>
    <t>12223 S A Street</t>
  </si>
  <si>
    <t>Carol  Miller</t>
  </si>
  <si>
    <t>camiller@fpschools.org</t>
  </si>
  <si>
    <t>253.298.4675</t>
  </si>
  <si>
    <t>Gibson Ek High School</t>
  </si>
  <si>
    <t>379 1st PL SE</t>
  </si>
  <si>
    <t>Issaquah</t>
  </si>
  <si>
    <t>Julia  Bamba</t>
  </si>
  <si>
    <t>bambaj@issaquah.wednet.edu</t>
  </si>
  <si>
    <t>425.837.6009</t>
  </si>
  <si>
    <t>Sage Crest Elementary</t>
  </si>
  <si>
    <t>6411 W 38th Ave</t>
  </si>
  <si>
    <t>Natalie  McKay</t>
  </si>
  <si>
    <t>natalie.mckay@ksd.org</t>
  </si>
  <si>
    <t>509.222.6500</t>
  </si>
  <si>
    <t>6011 W 10th Place</t>
  </si>
  <si>
    <t>Kevin  Pierce</t>
  </si>
  <si>
    <t>kevin.pierce@ksd.org</t>
  </si>
  <si>
    <t>509-222-7500</t>
  </si>
  <si>
    <t>Kent School District</t>
  </si>
  <si>
    <t>The Outreach Program</t>
  </si>
  <si>
    <t>26024 111th Ave SE</t>
  </si>
  <si>
    <t>Kent</t>
  </si>
  <si>
    <t>98030-6289</t>
  </si>
  <si>
    <t>Susan  Whitehall</t>
  </si>
  <si>
    <t>Susan.Whitehall@kent.k12.wa.us</t>
  </si>
  <si>
    <t>253.373.4080</t>
  </si>
  <si>
    <t>Lake Stevens School District</t>
  </si>
  <si>
    <t>9215 29th St NE</t>
  </si>
  <si>
    <t>Lake Stevens</t>
  </si>
  <si>
    <t>Matt  Wyant</t>
  </si>
  <si>
    <t>matt_wyant@lkstevens.wednet.ed</t>
  </si>
  <si>
    <t>425-335-1643</t>
  </si>
  <si>
    <t>Outcomes for Academic Resilience</t>
  </si>
  <si>
    <t>2202 123rd Ave NE</t>
  </si>
  <si>
    <t>Tina  Vinnick</t>
  </si>
  <si>
    <t>tina_vinnick@lkstevens.wednet.edu</t>
  </si>
  <si>
    <t>425-335-1594</t>
  </si>
  <si>
    <t>Mabton School District</t>
  </si>
  <si>
    <t>Mabton Step Up To College</t>
  </si>
  <si>
    <t>500 W B St</t>
  </si>
  <si>
    <t>Mabton</t>
  </si>
  <si>
    <t>Tyson  Sturza</t>
  </si>
  <si>
    <t>sturzat@msd120.org</t>
  </si>
  <si>
    <t>509.894.4951</t>
  </si>
  <si>
    <t>Mary M Knight School District</t>
  </si>
  <si>
    <t>Mary M. Knight School</t>
  </si>
  <si>
    <t>2987 W Matlock Brady RD</t>
  </si>
  <si>
    <t>Washington Connections Academy</t>
  </si>
  <si>
    <t>111 Tumwater Blvd SE</t>
  </si>
  <si>
    <t>Suite B203</t>
  </si>
  <si>
    <t>Mary Walker School District</t>
  </si>
  <si>
    <t>Mary Walker Alternative Learning Experience</t>
  </si>
  <si>
    <t>PO Box 159</t>
  </si>
  <si>
    <t>Springdale</t>
  </si>
  <si>
    <t>Brett  Joachim</t>
  </si>
  <si>
    <t>bjoachim@marywalker.org</t>
  </si>
  <si>
    <t>509.258.4738</t>
  </si>
  <si>
    <t>Northwood Elementary School</t>
  </si>
  <si>
    <t>4030 86th Ave SE</t>
  </si>
  <si>
    <t>Aimee  Batliner-Gillette</t>
  </si>
  <si>
    <t>aimee.batliner-gillette@mercerislandschools.org</t>
  </si>
  <si>
    <t>206-236-4514</t>
  </si>
  <si>
    <t>Meridian School District</t>
  </si>
  <si>
    <t>Meridian Impact Re-Engagement</t>
  </si>
  <si>
    <t>Derek  Forbes</t>
  </si>
  <si>
    <t>dforbes@meridian.wednet.edu</t>
  </si>
  <si>
    <t>360.318.2280</t>
  </si>
  <si>
    <t>Mount Vernon School District</t>
  </si>
  <si>
    <t>Mount Vernon Open Doors</t>
  </si>
  <si>
    <t>2001 Cleveland Ave</t>
  </si>
  <si>
    <t>Mount Vernon</t>
  </si>
  <si>
    <t>Christopher  Jorgensen</t>
  </si>
  <si>
    <t>cjorgensen@mvsd320.org</t>
  </si>
  <si>
    <t>360.428.6206</t>
  </si>
  <si>
    <t>Mukilteo School District</t>
  </si>
  <si>
    <t>Lake Stickney Elementary School</t>
  </si>
  <si>
    <t>1625 Madison Way</t>
  </si>
  <si>
    <t>Lynn M Olsen</t>
  </si>
  <si>
    <t>OlsenLM@Mukilteo.wednet.edu</t>
  </si>
  <si>
    <t>425.366.3600</t>
  </si>
  <si>
    <t>Naches Valley School District</t>
  </si>
  <si>
    <t>Naches Valley Elementary School</t>
  </si>
  <si>
    <t>151 Bonlow Drive</t>
  </si>
  <si>
    <t>Naches</t>
  </si>
  <si>
    <t>Allison  Schnebly</t>
  </si>
  <si>
    <t>aschnebly@nvsd.org</t>
  </si>
  <si>
    <t>509.653.1508</t>
  </si>
  <si>
    <t>North Thurston Public Schools</t>
  </si>
  <si>
    <t>Salish Middle School</t>
  </si>
  <si>
    <t>8605 Campus Glen Dr NE</t>
  </si>
  <si>
    <t>Lacey</t>
  </si>
  <si>
    <t>Karen  Owen</t>
  </si>
  <si>
    <t>kowen@nthurston.k12.wa.us</t>
  </si>
  <si>
    <t>360.412.4780</t>
  </si>
  <si>
    <t>Ocean Beach School District</t>
  </si>
  <si>
    <t>Ocean Beach Alternative School</t>
  </si>
  <si>
    <t>PO Box 778</t>
  </si>
  <si>
    <t>LONG BEACH</t>
  </si>
  <si>
    <t>Amy  Huntley</t>
  </si>
  <si>
    <t>amy.huntley@oceanbeachschools.org</t>
  </si>
  <si>
    <t>360.642.1100</t>
  </si>
  <si>
    <t>Sedro-Woolley School District</t>
  </si>
  <si>
    <t>Connections Academy</t>
  </si>
  <si>
    <t>24828 Turning Point Court</t>
  </si>
  <si>
    <t>Sedro-Woolley</t>
  </si>
  <si>
    <t>Scott  McPhee</t>
  </si>
  <si>
    <t>smcphee@swsd.k12.wa.us</t>
  </si>
  <si>
    <t>360-855-3785</t>
  </si>
  <si>
    <t>Timber Ridge Elementary School</t>
  </si>
  <si>
    <t>34412 SE SWENSON DR</t>
  </si>
  <si>
    <t>AMY  WRIGHT</t>
  </si>
  <si>
    <t>siteadmin@svsd410.org</t>
  </si>
  <si>
    <t>425-831-3825</t>
  </si>
  <si>
    <t>Industrial Design Engineering and Art</t>
  </si>
  <si>
    <t>6701 S Park Ave</t>
  </si>
  <si>
    <t>Zach  Varnell</t>
  </si>
  <si>
    <t>zvarnel@tacoma.k12.wa.us</t>
  </si>
  <si>
    <t>253.571.7906</t>
  </si>
  <si>
    <t>Hoyt Early Learning Center</t>
  </si>
  <si>
    <t>2708 N Union Avenue</t>
  </si>
  <si>
    <t>Tracye  Ferguson</t>
  </si>
  <si>
    <t>afergus@tacoma.k12.wa.us</t>
  </si>
  <si>
    <t>253 571-2620</t>
  </si>
  <si>
    <t>Walla Walla Open Doors</t>
  </si>
  <si>
    <t>1917 E Isaacs Ave</t>
  </si>
  <si>
    <t>Walla Walla</t>
  </si>
  <si>
    <t>Chris R Gardea</t>
  </si>
  <si>
    <t>cgardea@wwps.org</t>
  </si>
  <si>
    <t>509.526.6711</t>
  </si>
  <si>
    <t>Wellpinit School District</t>
  </si>
  <si>
    <t>Wellpinit Fort Simcoe SEA</t>
  </si>
  <si>
    <t>PO Box 390</t>
  </si>
  <si>
    <t>Wellpinit</t>
  </si>
  <si>
    <t>Terry  Bartolino</t>
  </si>
  <si>
    <t>terryb@wellpinit.org</t>
  </si>
  <si>
    <t>509.258.4535 ext. 2195</t>
  </si>
  <si>
    <t>West Valley Early Learning Center</t>
  </si>
  <si>
    <t>2523 N Park Rd</t>
  </si>
  <si>
    <t>Dan L Andrews</t>
  </si>
  <si>
    <t>dan.andrews@wvsd.org</t>
  </si>
  <si>
    <t>509.922.5478</t>
  </si>
  <si>
    <t>PO BOX 610</t>
  </si>
  <si>
    <t>Kate  Pothier</t>
  </si>
  <si>
    <t>kpothier@centralia.wednet.edu</t>
  </si>
  <si>
    <t>360.330.7600</t>
  </si>
  <si>
    <t>Ferndale School District</t>
  </si>
  <si>
    <t>FERNDALE RE-ENGAGEMENT</t>
  </si>
  <si>
    <t>6041 VISTA DRIVE</t>
  </si>
  <si>
    <t>FERNDALE</t>
  </si>
  <si>
    <t>Scott  Brittain</t>
  </si>
  <si>
    <t>scott.brittain@ferndalesd.org</t>
  </si>
  <si>
    <t>360.383.9210</t>
  </si>
  <si>
    <t>Blaine School District</t>
  </si>
  <si>
    <t>Blaine Re-Engagement</t>
  </si>
  <si>
    <t>1055 H Street</t>
  </si>
  <si>
    <t>Blaine</t>
  </si>
  <si>
    <t>Scott  Ellis</t>
  </si>
  <si>
    <t>Scott_Ellis@blainesd.org</t>
  </si>
  <si>
    <t>360.332.6045</t>
  </si>
  <si>
    <t>Lynden School District</t>
  </si>
  <si>
    <t>IMPACT Reengagement Program</t>
  </si>
  <si>
    <t>1201 Bradley Rd</t>
  </si>
  <si>
    <t>Lynden</t>
  </si>
  <si>
    <t>Ian  Freeman</t>
  </si>
  <si>
    <t>olsonki@lynden.wednet.edu</t>
  </si>
  <si>
    <t>360.354.4443</t>
  </si>
  <si>
    <t>ESA 112</t>
  </si>
  <si>
    <t>ESA 112 Special Ed Co-Op</t>
  </si>
  <si>
    <t>Gavin  Hottman</t>
  </si>
  <si>
    <t>gavin.hottman@esd112.org</t>
  </si>
  <si>
    <t>360.952.3521</t>
  </si>
  <si>
    <t>Green Dot Public Schools Rainier Valley</t>
  </si>
  <si>
    <t>Rainier Valley Leadership Academy</t>
  </si>
  <si>
    <t>6020 Rainier Avenue S</t>
  </si>
  <si>
    <t>Baionne  Coleman</t>
  </si>
  <si>
    <t>baionne.coleman@myrvla.org</t>
  </si>
  <si>
    <t>206.659.0956</t>
  </si>
  <si>
    <t>Summit Public School: Atlas</t>
  </si>
  <si>
    <t>9601 35th Avenue SW</t>
  </si>
  <si>
    <t>Katheryn  Bubalo</t>
  </si>
  <si>
    <t>kbubalo@summitps.org</t>
  </si>
  <si>
    <t>504.220.9397</t>
  </si>
  <si>
    <t>Willow Public Charter School</t>
  </si>
  <si>
    <t>Willow Public School</t>
  </si>
  <si>
    <t>PO Box 814</t>
  </si>
  <si>
    <t>Brenda  McDonald</t>
  </si>
  <si>
    <t>brenda@willowpublicschool.org</t>
  </si>
  <si>
    <t>Bethel Elementary Learning Academy</t>
  </si>
  <si>
    <t>16117 Canyon Road East</t>
  </si>
  <si>
    <t>Mike   Christianson</t>
  </si>
  <si>
    <t>mchristian@bethelsd.org</t>
  </si>
  <si>
    <t>253.683.6711</t>
  </si>
  <si>
    <t>Central Kitsap School District</t>
  </si>
  <si>
    <t>Barker Creek Community School</t>
  </si>
  <si>
    <t>PO Box 8</t>
  </si>
  <si>
    <t>Silverdale</t>
  </si>
  <si>
    <t>Stuart  Crisman</t>
  </si>
  <si>
    <t>stuartc@ckschools.org</t>
  </si>
  <si>
    <t>360-662-2575</t>
  </si>
  <si>
    <t>TAFA at Saghalie</t>
  </si>
  <si>
    <t>33914 19th Ave SW</t>
  </si>
  <si>
    <t>Christina  Spencer</t>
  </si>
  <si>
    <t>chspence@fwps.org</t>
  </si>
  <si>
    <t>253.945.5000</t>
  </si>
  <si>
    <t>Ferndale Family Connections</t>
  </si>
  <si>
    <t>6041 Vista Dr</t>
  </si>
  <si>
    <t>Ferndale</t>
  </si>
  <si>
    <t>360.383.9215</t>
  </si>
  <si>
    <t>Stevens Creek Elementary</t>
  </si>
  <si>
    <t>9317 29th St NE</t>
  </si>
  <si>
    <t>Matt  Pewitt</t>
  </si>
  <si>
    <t>matt_pewitt@lkstevens.wednet.edu</t>
  </si>
  <si>
    <t>425-335-1500</t>
  </si>
  <si>
    <t>Marysville Getchell High School</t>
  </si>
  <si>
    <t>8301 84th St. NE</t>
  </si>
  <si>
    <t>Richard   Zimmerman</t>
  </si>
  <si>
    <t>richard_zimmerman@msd25.org</t>
  </si>
  <si>
    <t>360.965.2305</t>
  </si>
  <si>
    <t>Mill A School District</t>
  </si>
  <si>
    <t>Pacific Crest Innovation Academy</t>
  </si>
  <si>
    <t>1142 Jessup rd</t>
  </si>
  <si>
    <t>cook</t>
  </si>
  <si>
    <t>Bob  Rogers</t>
  </si>
  <si>
    <t>info@pacificcrestia.org</t>
  </si>
  <si>
    <t>509-538-2700</t>
  </si>
  <si>
    <t>North Creek High School</t>
  </si>
  <si>
    <t>3613 191st PL SE</t>
  </si>
  <si>
    <t>Eric Thomas McDowell</t>
  </si>
  <si>
    <t>emcdowell@nsd.org</t>
  </si>
  <si>
    <t>425-408-8805</t>
  </si>
  <si>
    <t>Pathfinder Kindergarten Center</t>
  </si>
  <si>
    <t>11401 Beverly Park Road</t>
  </si>
  <si>
    <t>Building B</t>
  </si>
  <si>
    <t>Cheryl L Boze</t>
  </si>
  <si>
    <t>BozeCL@mukilteo.wednet.edu</t>
  </si>
  <si>
    <t>425.366.3800</t>
  </si>
  <si>
    <t>Pasco Early Learning Center</t>
  </si>
  <si>
    <t>1315 N 7th Ave</t>
  </si>
  <si>
    <t>Kristi  Docken</t>
  </si>
  <si>
    <t>kdocken@psd1.org</t>
  </si>
  <si>
    <t>509-543-6700</t>
  </si>
  <si>
    <t>Risdon Middle School</t>
  </si>
  <si>
    <t>6928 116th Ave SE</t>
  </si>
  <si>
    <t>Craig  Cooper</t>
  </si>
  <si>
    <t>craig.cooper@rentonschools.us</t>
  </si>
  <si>
    <t>425-204-2349</t>
  </si>
  <si>
    <t>Meany Middle School</t>
  </si>
  <si>
    <t>301 21st Ave E</t>
  </si>
  <si>
    <t>98112-5318</t>
  </si>
  <si>
    <t>Chanda  Oatis</t>
  </si>
  <si>
    <t>ceoatis@seattleschools.org</t>
  </si>
  <si>
    <t>206-471-2745</t>
  </si>
  <si>
    <t>Robert Eagle Staff Middle School</t>
  </si>
  <si>
    <t>1330 N 90th St</t>
  </si>
  <si>
    <t>98103-4016</t>
  </si>
  <si>
    <t>Marni  Campbell</t>
  </si>
  <si>
    <t>macampbell@seattleschools.org</t>
  </si>
  <si>
    <t>206-252-1473</t>
  </si>
  <si>
    <t>Cedar Park Elementary School</t>
  </si>
  <si>
    <t>13224 37th Ave NE</t>
  </si>
  <si>
    <t>98125-4649</t>
  </si>
  <si>
    <t>Jonathan  Gasbar</t>
  </si>
  <si>
    <t>jegasbar@seattleschools.org</t>
  </si>
  <si>
    <t>206.252.4305</t>
  </si>
  <si>
    <t>Decatur Elementary School</t>
  </si>
  <si>
    <t xml:space="preserve">7711 43rd Ave NE   </t>
  </si>
  <si>
    <t>Lorien  Geoghagan</t>
  </si>
  <si>
    <t>LEGEOGHAGAN@SEATTLESCHOOLS.ORG</t>
  </si>
  <si>
    <t>206-252-3230</t>
  </si>
  <si>
    <t>Cedar River Elementary</t>
  </si>
  <si>
    <t>22615 Sweeney Rd SE</t>
  </si>
  <si>
    <t>Fritz  Gere</t>
  </si>
  <si>
    <t>fgere@tahomasd.us</t>
  </si>
  <si>
    <t>425.413.5401</t>
  </si>
  <si>
    <t>Tahoma Elementary</t>
  </si>
  <si>
    <t>24425 SE 216th ST</t>
  </si>
  <si>
    <t>Jerry  Gaston</t>
  </si>
  <si>
    <t>JGaston@TahomaSD.US</t>
  </si>
  <si>
    <t>425.413.3601</t>
  </si>
  <si>
    <t>Leona Libby Middle School</t>
  </si>
  <si>
    <t>3259 Belmont Blvd.</t>
  </si>
  <si>
    <t>Andre  Harguanani</t>
  </si>
  <si>
    <t>Andre.Harguanani@rsd.edu</t>
  </si>
  <si>
    <t>509.967.6465</t>
  </si>
  <si>
    <t>Columbia River Gorge Elementary School</t>
  </si>
  <si>
    <t>Tracey  MacLachlan</t>
  </si>
  <si>
    <t>tracey.maclachlan@washougalsd.org</t>
  </si>
  <si>
    <t>360.954.3901</t>
  </si>
  <si>
    <t>Arlington School District</t>
  </si>
  <si>
    <t>Arlington Open Doors</t>
  </si>
  <si>
    <t>4407 172nd ST NE</t>
  </si>
  <si>
    <t>Arlington</t>
  </si>
  <si>
    <t>Andrea  Dixon</t>
  </si>
  <si>
    <t>ahundredmark@asd.wednet.edu</t>
  </si>
  <si>
    <t>360.618.6340</t>
  </si>
  <si>
    <t>WA HE LUT Indian School Agency</t>
  </si>
  <si>
    <t>Wa He Lut Indian School</t>
  </si>
  <si>
    <t>11110 Conine Ave SE</t>
  </si>
  <si>
    <t>Olympia</t>
  </si>
  <si>
    <t>Harvey Leslie Whitford</t>
  </si>
  <si>
    <t>kirsten.owens@bie.edu</t>
  </si>
  <si>
    <t>360.456.1311</t>
  </si>
  <si>
    <t>Ephrata School District</t>
  </si>
  <si>
    <t>Sage Hills Open Doors</t>
  </si>
  <si>
    <t>333 4TH AVE NW</t>
  </si>
  <si>
    <t>Ephrata</t>
  </si>
  <si>
    <t>Sharon   Scellick</t>
  </si>
  <si>
    <t>sscellick@ephrataschools.org</t>
  </si>
  <si>
    <t>509.754.5285</t>
  </si>
  <si>
    <t>Mukilteo Reengagement Academy Open Doors</t>
  </si>
  <si>
    <t>9401 Sharon Drive</t>
  </si>
  <si>
    <t>Patrick B Hegarty</t>
  </si>
  <si>
    <t>HegartyPB@mukilteo.wednet.edu</t>
  </si>
  <si>
    <t>425-356-1293</t>
  </si>
  <si>
    <t>North Franklin School District</t>
  </si>
  <si>
    <t>CRCC-Open Doors</t>
  </si>
  <si>
    <t>PO Box 829</t>
  </si>
  <si>
    <t>Connell</t>
  </si>
  <si>
    <t>Open Doors - Youth Reengagement Program</t>
  </si>
  <si>
    <t>1601 R Avenue</t>
  </si>
  <si>
    <t>Anacortes</t>
  </si>
  <si>
    <t>Jodie  DesBiens</t>
  </si>
  <si>
    <t>360.299.4000</t>
  </si>
  <si>
    <t>Daybreak Youth Services</t>
  </si>
  <si>
    <t>11104 NE 149th St</t>
  </si>
  <si>
    <t>Tom  Adams</t>
  </si>
  <si>
    <t>adams.tom@battlegroundps.org</t>
  </si>
  <si>
    <t>360.885.5415</t>
  </si>
  <si>
    <t>JJ Smith Elementary</t>
  </si>
  <si>
    <t>1640 Fell Street</t>
  </si>
  <si>
    <t>Geraldine  Garton</t>
  </si>
  <si>
    <t>gerrie_garton@enumclaw.wednet.edu</t>
  </si>
  <si>
    <t>360.802.7330</t>
  </si>
  <si>
    <t>West Valley School District (Yakima)</t>
  </si>
  <si>
    <t>WEST VALLEY VIRTUAL ACADEMY K-6</t>
  </si>
  <si>
    <t>9800 Zier Rd</t>
  </si>
  <si>
    <t xml:space="preserve">Yakima </t>
  </si>
  <si>
    <t>ASHLEY  LIEBERKNECHT</t>
  </si>
  <si>
    <t>lieberknechta@wvsd208.org</t>
  </si>
  <si>
    <t>509.972.5907</t>
  </si>
  <si>
    <t>WEST VALLEY VIRTUAL ACADEMY 7-8</t>
  </si>
  <si>
    <t>509.972.5900</t>
  </si>
  <si>
    <t>WEST VALLEY VIRTUAL ACADEMY 9-12</t>
  </si>
  <si>
    <t>Liberty Creek Elementary School</t>
  </si>
  <si>
    <t>2309 E Country Vista Drive</t>
  </si>
  <si>
    <t>Liberty Lake</t>
  </si>
  <si>
    <t>Kim  Kyle</t>
  </si>
  <si>
    <t>kkyle@cvsd.org</t>
  </si>
  <si>
    <t>509-558-6302</t>
  </si>
  <si>
    <t>Wilburton Elementary School</t>
  </si>
  <si>
    <t>12300 Main Street</t>
  </si>
  <si>
    <t>Elizabeth C. Hamilton</t>
  </si>
  <si>
    <t>hamiltonel@bsd405.org</t>
  </si>
  <si>
    <t>425.456.4300</t>
  </si>
  <si>
    <t>James W Lintott Elementary School</t>
  </si>
  <si>
    <t>1220 Bishop Rd</t>
  </si>
  <si>
    <t>Robert  Hunt</t>
  </si>
  <si>
    <t>comments@chehalisschools.org</t>
  </si>
  <si>
    <t>360-807-7200</t>
  </si>
  <si>
    <t>Sifton Elementary School</t>
  </si>
  <si>
    <t>7301 NE 137th Avenue</t>
  </si>
  <si>
    <t>98682-4608</t>
  </si>
  <si>
    <t>Angela  Mitchell</t>
  </si>
  <si>
    <t>Angela.Mitchell@evergreenps.org</t>
  </si>
  <si>
    <t>360.604.6675</t>
  </si>
  <si>
    <t>Covington Middle School</t>
  </si>
  <si>
    <t>11200 NE Rosewood Rd</t>
  </si>
  <si>
    <t>98662-5447</t>
  </si>
  <si>
    <t>Tilly  Meyer</t>
  </si>
  <si>
    <t>Tilly.Meyer@evergreenps.org</t>
  </si>
  <si>
    <t>360.604.6300</t>
  </si>
  <si>
    <t>Marrion Elementary School</t>
  </si>
  <si>
    <t>10119 NE 14th Street</t>
  </si>
  <si>
    <t>98664-3003</t>
  </si>
  <si>
    <t>Mathew  Hill</t>
  </si>
  <si>
    <t>Mathew.Hill@evergreenps.org</t>
  </si>
  <si>
    <t>360.604.6825</t>
  </si>
  <si>
    <t>Burton Elementary School</t>
  </si>
  <si>
    <t>14015 NE 28th Street</t>
  </si>
  <si>
    <t>98682-8172</t>
  </si>
  <si>
    <t>Rebecca L Chase</t>
  </si>
  <si>
    <t>Rebecca.Chase@evergreenps.org</t>
  </si>
  <si>
    <t>360.604.4975</t>
  </si>
  <si>
    <t>13900 NE 18th Street</t>
  </si>
  <si>
    <t>98684-7215</t>
  </si>
  <si>
    <t>Allison  Harding</t>
  </si>
  <si>
    <t>Allison.Harding@evergreenps.org</t>
  </si>
  <si>
    <t>360.604.3600</t>
  </si>
  <si>
    <t>Crestline Elementary School</t>
  </si>
  <si>
    <t>13003 S E 7th Street</t>
  </si>
  <si>
    <t>Bobbi  Hite</t>
  </si>
  <si>
    <t>bobbi.hite@evergreenps.org</t>
  </si>
  <si>
    <t>360.604.3325</t>
  </si>
  <si>
    <t>Silver Star Elementary School</t>
  </si>
  <si>
    <t>10500 NE 86th Street</t>
  </si>
  <si>
    <t>98662-2167</t>
  </si>
  <si>
    <t>Mari  Schauer</t>
  </si>
  <si>
    <t>Mari.Schauer@evergreenps.org</t>
  </si>
  <si>
    <t>360.604.6775</t>
  </si>
  <si>
    <t>Sunset Elementary School</t>
  </si>
  <si>
    <t>9001 NE 95th Street</t>
  </si>
  <si>
    <t>98662-2036</t>
  </si>
  <si>
    <t>John  Yelverton</t>
  </si>
  <si>
    <t>John.Yelverton@evergreenps.org</t>
  </si>
  <si>
    <t>360.604.6900</t>
  </si>
  <si>
    <t>Fircrest Elementary School</t>
  </si>
  <si>
    <t>12001 NE Ninth Street</t>
  </si>
  <si>
    <t>98684-4937</t>
  </si>
  <si>
    <t>Scott  Eppinger</t>
  </si>
  <si>
    <t>Scott.Eppinger@evergreenps.org</t>
  </si>
  <si>
    <t>360.604.6925</t>
  </si>
  <si>
    <t>Image Elementary School</t>
  </si>
  <si>
    <t>4400 NE 122nd Avenue</t>
  </si>
  <si>
    <t>98682-6836</t>
  </si>
  <si>
    <t>Kathleen  Keller</t>
  </si>
  <si>
    <t>Kathleen.Keller@evergreenps.org</t>
  </si>
  <si>
    <t>360.604.6850</t>
  </si>
  <si>
    <t>Riverview Elementary School</t>
  </si>
  <si>
    <t>12601 SE Riverridge Drive</t>
  </si>
  <si>
    <t>98684-6466</t>
  </si>
  <si>
    <t>Elizabeth  Brawley</t>
  </si>
  <si>
    <t>Elizabeth.Brawley@evergreenps.org</t>
  </si>
  <si>
    <t>360.604.6625</t>
  </si>
  <si>
    <t>2205 E 138th Avenue</t>
  </si>
  <si>
    <t>98684-7228</t>
  </si>
  <si>
    <t>Heather  Fowler</t>
  </si>
  <si>
    <t>Heather.Fowler@evergreenps.org</t>
  </si>
  <si>
    <t>360.604.3900</t>
  </si>
  <si>
    <t>Wyeast Middle School</t>
  </si>
  <si>
    <t>1112 SE 136th Avenue</t>
  </si>
  <si>
    <t>98683-7014</t>
  </si>
  <si>
    <t>Caroline E Garrett</t>
  </si>
  <si>
    <t>Caroline.Garrett@evergreenps.org</t>
  </si>
  <si>
    <t>360.604.6400</t>
  </si>
  <si>
    <t>Mountain View High School</t>
  </si>
  <si>
    <t>1500 SE Blairmont Dr</t>
  </si>
  <si>
    <t>98683-8331</t>
  </si>
  <si>
    <t>Matthew  Johnson</t>
  </si>
  <si>
    <t>Matthew.Johnson@evergreenps.org</t>
  </si>
  <si>
    <t>360.604.6100</t>
  </si>
  <si>
    <t>Hearthwood Elementary School</t>
  </si>
  <si>
    <t>801 NE Hearthwood Blvd</t>
  </si>
  <si>
    <t>98684-7407</t>
  </si>
  <si>
    <t>Tracy  Schuster</t>
  </si>
  <si>
    <t>Tracy.Schuster@evergreenps.org</t>
  </si>
  <si>
    <t>360.604.6875</t>
  </si>
  <si>
    <t>Cascadia Technical Academy Skills Center</t>
  </si>
  <si>
    <t>12200 NE 28th Street</t>
  </si>
  <si>
    <t>98682-7858</t>
  </si>
  <si>
    <t>Joan  Huston</t>
  </si>
  <si>
    <t>Joan.Huston@evergreenps.org</t>
  </si>
  <si>
    <t>360.604.1050</t>
  </si>
  <si>
    <t>2017 NE 172nd Avenue</t>
  </si>
  <si>
    <t>98684-9749</t>
  </si>
  <si>
    <t>Heather  Thiessen</t>
  </si>
  <si>
    <t>Heather.Thiessen@evergreenps.org</t>
  </si>
  <si>
    <t>360.604.6500</t>
  </si>
  <si>
    <t>Burnt Bridge Creek Elementary Sch</t>
  </si>
  <si>
    <t>14619A NE 49th Street</t>
  </si>
  <si>
    <t>Darcy  Mitchelson</t>
  </si>
  <si>
    <t>Darcy.Mitchelson@evergreenps.org</t>
  </si>
  <si>
    <t>360.604.6750</t>
  </si>
  <si>
    <t>Harmony Elementary School</t>
  </si>
  <si>
    <t>17404A NE 18th Street</t>
  </si>
  <si>
    <t>98684-9770</t>
  </si>
  <si>
    <t>Laura  Buno</t>
  </si>
  <si>
    <t>Laura.Buno@evergreenps.org</t>
  </si>
  <si>
    <t>360.604.6600</t>
  </si>
  <si>
    <t>7212 NE 166th Avenue</t>
  </si>
  <si>
    <t>98682-5196</t>
  </si>
  <si>
    <t>Jenny  Hayworth</t>
  </si>
  <si>
    <t>Jenny.Hayworth@evergreenps.org</t>
  </si>
  <si>
    <t>360.604.3300</t>
  </si>
  <si>
    <t>Frontier Middle School</t>
  </si>
  <si>
    <t>7600 NE 166th Avenue</t>
  </si>
  <si>
    <t>98682-3100</t>
  </si>
  <si>
    <t>Lynnette  Sundstrom</t>
  </si>
  <si>
    <t>Lynnette.Sundstrom@evergreenps.org</t>
  </si>
  <si>
    <t>360.604.3200</t>
  </si>
  <si>
    <t>Fishers Landing Elementary School</t>
  </si>
  <si>
    <t>3800 SE Hiddenbrook Drive</t>
  </si>
  <si>
    <t>98683-8274</t>
  </si>
  <si>
    <t>Judi  DesRochers</t>
  </si>
  <si>
    <t>Judi.DesRochers@evergreenps.org</t>
  </si>
  <si>
    <t>360.604.6650</t>
  </si>
  <si>
    <t>Heritage High School</t>
  </si>
  <si>
    <t>7825 NE 130th Avenue</t>
  </si>
  <si>
    <t>98682-3316</t>
  </si>
  <si>
    <t>Derek  Garrison</t>
  </si>
  <si>
    <t>Derek.Garrison@evergreenps.org</t>
  </si>
  <si>
    <t>360.604.3400</t>
  </si>
  <si>
    <t>Illahee Elementary School</t>
  </si>
  <si>
    <t>19401 SE 1st Street</t>
  </si>
  <si>
    <t>98607-7275</t>
  </si>
  <si>
    <t>Kiya  Masunaga</t>
  </si>
  <si>
    <t>Kiya.Masunaga@evergreenps.org</t>
  </si>
  <si>
    <t>360.604.3350</t>
  </si>
  <si>
    <t>Shahala Middle School</t>
  </si>
  <si>
    <t>601 SE 192nd Avenue</t>
  </si>
  <si>
    <t>98683-9508</t>
  </si>
  <si>
    <t>Gregg  Brown</t>
  </si>
  <si>
    <t>Gregg.Brown@evergreenps.org</t>
  </si>
  <si>
    <t>360.604.3800</t>
  </si>
  <si>
    <t>Helen Baller Elem</t>
  </si>
  <si>
    <t>1954 NE Garfield Street</t>
  </si>
  <si>
    <t>98607-1143</t>
  </si>
  <si>
    <t>Aaron  Parman</t>
  </si>
  <si>
    <t>aaron.parman@camas.wednet.edu</t>
  </si>
  <si>
    <t>360.833.5720</t>
  </si>
  <si>
    <t>Lacamas Lake Elementary</t>
  </si>
  <si>
    <t>4825 North Shore Blvd</t>
  </si>
  <si>
    <t>Julie  Mueller</t>
  </si>
  <si>
    <t>julie.mueller@camas.wednet.edu</t>
  </si>
  <si>
    <t>360.833.5740</t>
  </si>
  <si>
    <t>Dorothy Fox</t>
  </si>
  <si>
    <t>2623 NW Sierra St</t>
  </si>
  <si>
    <t>98607-9397</t>
  </si>
  <si>
    <t>Cathy  Sork</t>
  </si>
  <si>
    <t>cathy.sork@camas.wednet.edu</t>
  </si>
  <si>
    <t>360.833.5700</t>
  </si>
  <si>
    <t>Skyridge Middle School</t>
  </si>
  <si>
    <t>5220 NW Parker Street</t>
  </si>
  <si>
    <t>98607-8576</t>
  </si>
  <si>
    <t>Clint  Williams</t>
  </si>
  <si>
    <t>clint.williams@camas.wednet.edu</t>
  </si>
  <si>
    <t>360.833.5800</t>
  </si>
  <si>
    <t>Prune Hill Elem</t>
  </si>
  <si>
    <t>1601 NW Tidland St</t>
  </si>
  <si>
    <t>98607-9405</t>
  </si>
  <si>
    <t>Julie  Swan</t>
  </si>
  <si>
    <t>julie.swan@camas.wednet.edu</t>
  </si>
  <si>
    <t>360.833.5730</t>
  </si>
  <si>
    <t>Camas High School</t>
  </si>
  <si>
    <t>26900 SE 15TH ST</t>
  </si>
  <si>
    <t>98607-7296</t>
  </si>
  <si>
    <t>Elizabeth  Curran-Sejkora</t>
  </si>
  <si>
    <t>liza.sejkora@camas.wednet.edu</t>
  </si>
  <si>
    <t>360.833.5750</t>
  </si>
  <si>
    <t>CAM Academy</t>
  </si>
  <si>
    <t>BATTLE GROUND</t>
  </si>
  <si>
    <t>98604-0200</t>
  </si>
  <si>
    <t>Ryan  Cowl</t>
  </si>
  <si>
    <t>cowl.ryan@battlegroundps.org</t>
  </si>
  <si>
    <t>360.885.6803</t>
  </si>
  <si>
    <t>Homelink River</t>
  </si>
  <si>
    <t>MARK  CLEMENTS</t>
  </si>
  <si>
    <t>clements.mark@battlegroundps.org</t>
  </si>
  <si>
    <t>360.334.8205</t>
  </si>
  <si>
    <t>Battle Ground High School</t>
  </si>
  <si>
    <t>Charbonneau D Gourde</t>
  </si>
  <si>
    <t>gourde.charbonneau@battlegroundps.org</t>
  </si>
  <si>
    <t>360.885.6560</t>
  </si>
  <si>
    <t>Amboy Middle School</t>
  </si>
  <si>
    <t>Nickolas K Krause</t>
  </si>
  <si>
    <t>krause.nick@battlegroundps.org</t>
  </si>
  <si>
    <t>360.885.6051</t>
  </si>
  <si>
    <t>Yacolt Primary</t>
  </si>
  <si>
    <t>406 W YACOLT RD</t>
  </si>
  <si>
    <t>YACOLT</t>
  </si>
  <si>
    <t>98675-0000</t>
  </si>
  <si>
    <t>Lynnell L Tsugawa-Murray</t>
  </si>
  <si>
    <t>murray.lynn@battlegroundps.org</t>
  </si>
  <si>
    <t>360.885.6000</t>
  </si>
  <si>
    <t>Glenwood Heights Primary</t>
  </si>
  <si>
    <t>9716 NE 134th St</t>
  </si>
  <si>
    <t>98662-0000</t>
  </si>
  <si>
    <t>Antonio   Lopez</t>
  </si>
  <si>
    <t>lopez.antonio@battlegroundps.org</t>
  </si>
  <si>
    <t>360.885.5251</t>
  </si>
  <si>
    <t>Laurin Middle School</t>
  </si>
  <si>
    <t>Travis  Drake</t>
  </si>
  <si>
    <t>drake.travis@battlegroundps.org</t>
  </si>
  <si>
    <t>360.885.5200</t>
  </si>
  <si>
    <t>Pleasant Valley Primary</t>
  </si>
  <si>
    <t>Gordon Craig Pearson</t>
  </si>
  <si>
    <t>pearson.craig@battlegroundps.org</t>
  </si>
  <si>
    <t>360.885.5550</t>
  </si>
  <si>
    <t>Pleasant Valley Middle</t>
  </si>
  <si>
    <t>14320 NE 50TH AVE</t>
  </si>
  <si>
    <t>98686-0000</t>
  </si>
  <si>
    <t>Michael T Maloney</t>
  </si>
  <si>
    <t>maloney.michael@battlegroundps.org</t>
  </si>
  <si>
    <t>360.885.5501</t>
  </si>
  <si>
    <t>Prairie High School</t>
  </si>
  <si>
    <t>Stephanie  Watts</t>
  </si>
  <si>
    <t>watts.stephanie@battlegroundps.org</t>
  </si>
  <si>
    <t>360.885.5000</t>
  </si>
  <si>
    <t>Preschool Infant Other</t>
  </si>
  <si>
    <t>Ellen  Wiessner</t>
  </si>
  <si>
    <t>wiessner.ellen@battlegroundps.org</t>
  </si>
  <si>
    <t>360.885.5414</t>
  </si>
  <si>
    <t>Maple Grove Primary</t>
  </si>
  <si>
    <t>Andrea  Sperry</t>
  </si>
  <si>
    <t>sperry.andrea@battlegroundps.org</t>
  </si>
  <si>
    <t>360.885.6700</t>
  </si>
  <si>
    <t>Captain Strong</t>
  </si>
  <si>
    <t>Angela  Knight</t>
  </si>
  <si>
    <t>knight.angela@battlegroundps.org</t>
  </si>
  <si>
    <t>360.885.6400</t>
  </si>
  <si>
    <t>Summit View High School</t>
  </si>
  <si>
    <t>360.885.5331</t>
  </si>
  <si>
    <t>Ridgefield School District</t>
  </si>
  <si>
    <t>Ridgefield High School</t>
  </si>
  <si>
    <t>2630 S HILLHURST ROAD</t>
  </si>
  <si>
    <t>RIDGEFIELD</t>
  </si>
  <si>
    <t>98642-9089</t>
  </si>
  <si>
    <t>Christen  Palmer</t>
  </si>
  <si>
    <t>christen.palmer@ridgefieldsd.org</t>
  </si>
  <si>
    <t>360.619.1323</t>
  </si>
  <si>
    <t>South Ridge Elementary</t>
  </si>
  <si>
    <t>502 NW 199TH STREET</t>
  </si>
  <si>
    <t>98642-5601</t>
  </si>
  <si>
    <t>Jill  Neyenhouse</t>
  </si>
  <si>
    <t>jill.neyenhouse@ridgefieldsd.org</t>
  </si>
  <si>
    <t>360.619.1500</t>
  </si>
  <si>
    <t>Union Ridge Elementary</t>
  </si>
  <si>
    <t>330 N FIFTH AVE</t>
  </si>
  <si>
    <t>98642-9274</t>
  </si>
  <si>
    <t>Angela  Gaub</t>
  </si>
  <si>
    <t>angie.gaub@ridgefieldsd.org</t>
  </si>
  <si>
    <t>360.750.7600</t>
  </si>
  <si>
    <t>View Ridge Middle School</t>
  </si>
  <si>
    <t>3215 S Hillhurst Rd</t>
  </si>
  <si>
    <t>98642-8571</t>
  </si>
  <si>
    <t>Anthony  Smith</t>
  </si>
  <si>
    <t>tony.smith@ridgefieldsd.org</t>
  </si>
  <si>
    <t>360.619.1400</t>
  </si>
  <si>
    <t>Dayton School District</t>
  </si>
  <si>
    <t>Dayton High School</t>
  </si>
  <si>
    <t>614 S Third Street</t>
  </si>
  <si>
    <t>Dayton</t>
  </si>
  <si>
    <t>99328-1599</t>
  </si>
  <si>
    <t>Kristina  Brown</t>
  </si>
  <si>
    <t>kristinab@daytonsd.org</t>
  </si>
  <si>
    <t>509.382.4775</t>
  </si>
  <si>
    <t>Dayton Elementary School</t>
  </si>
  <si>
    <t>302 E Park</t>
  </si>
  <si>
    <t>99328-1596</t>
  </si>
  <si>
    <t>Guy  Strot</t>
  </si>
  <si>
    <t>guys@daytonsd.org</t>
  </si>
  <si>
    <t>509.382.2507</t>
  </si>
  <si>
    <t>Dayton Middle School</t>
  </si>
  <si>
    <t>609 S Second Street</t>
  </si>
  <si>
    <t>99328-1572</t>
  </si>
  <si>
    <t>Starbuck School District</t>
  </si>
  <si>
    <t>Starbuck School</t>
  </si>
  <si>
    <t>717 TUCANNON ST</t>
  </si>
  <si>
    <t>STARBUCK</t>
  </si>
  <si>
    <t>99359-0188</t>
  </si>
  <si>
    <t>Karl  Edie</t>
  </si>
  <si>
    <t>kedie@starbuck.k12.wa.us</t>
  </si>
  <si>
    <t>509.399.2381</t>
  </si>
  <si>
    <t>Kessler Elementary School</t>
  </si>
  <si>
    <t>1902 E Kessler Blvd.</t>
  </si>
  <si>
    <t>98632-1844</t>
  </si>
  <si>
    <t>Noma M Hudson</t>
  </si>
  <si>
    <t>nhudson@longview.k12.wa.us</t>
  </si>
  <si>
    <t>360.575.7543</t>
  </si>
  <si>
    <t>Columbia Valley Garden Elem Schl</t>
  </si>
  <si>
    <t>2644 30th Avenue</t>
  </si>
  <si>
    <t>98632-4367</t>
  </si>
  <si>
    <t>Aaron T Whitright</t>
  </si>
  <si>
    <t>awhitright@longview.k12.wa.us</t>
  </si>
  <si>
    <t>360.575.7502</t>
  </si>
  <si>
    <t>Saint Helens Elementary</t>
  </si>
  <si>
    <t>431 27th Avenue</t>
  </si>
  <si>
    <t>98632-1329</t>
  </si>
  <si>
    <t>Stephanie  Teel</t>
  </si>
  <si>
    <t>steel@longview.k12.wa.us</t>
  </si>
  <si>
    <t>360.575.7362</t>
  </si>
  <si>
    <t>R A Long High School</t>
  </si>
  <si>
    <t>2903 Nichols Blvd.</t>
  </si>
  <si>
    <t>98632-2704</t>
  </si>
  <si>
    <t>Richard J. Reeves</t>
  </si>
  <si>
    <t>rreeves@longview.k12.wa.us</t>
  </si>
  <si>
    <t>360.575.7225</t>
  </si>
  <si>
    <t>Broadway Learning Center</t>
  </si>
  <si>
    <t>1410 8th Avenue</t>
  </si>
  <si>
    <t>98632-3807</t>
  </si>
  <si>
    <t>Megan  Shea-Bates</t>
  </si>
  <si>
    <t>mshea@longview.k12.wa.us</t>
  </si>
  <si>
    <t>360.575.7429</t>
  </si>
  <si>
    <t>Olympic Elementary School</t>
  </si>
  <si>
    <t>1324 30th Avenue</t>
  </si>
  <si>
    <t>98632-2799</t>
  </si>
  <si>
    <t>Michael  Mendenhall</t>
  </si>
  <si>
    <t>mmendenhall@longview.k12.wa.us</t>
  </si>
  <si>
    <t>360.575.7084</t>
  </si>
  <si>
    <t>Monticello Middle School</t>
  </si>
  <si>
    <t>1225 28th Avenue</t>
  </si>
  <si>
    <t>98632-2768</t>
  </si>
  <si>
    <t>Scott V Merzoian</t>
  </si>
  <si>
    <t>smerzoian@longview.k12.wa.us</t>
  </si>
  <si>
    <t>360.575.7773</t>
  </si>
  <si>
    <t>Northlake Elementary School</t>
  </si>
  <si>
    <t>2210 Olympia Way</t>
  </si>
  <si>
    <t>98632-4505</t>
  </si>
  <si>
    <t>Cora  Lazo</t>
  </si>
  <si>
    <t>clazo@longview.k12.wa.us</t>
  </si>
  <si>
    <t>360.575.8700</t>
  </si>
  <si>
    <t>Robert Gray Elementary</t>
  </si>
  <si>
    <t>4622 Ohio Street</t>
  </si>
  <si>
    <t>98632-5199</t>
  </si>
  <si>
    <t>Lori  Larson</t>
  </si>
  <si>
    <t>llarson@longview.k12.wa.us</t>
  </si>
  <si>
    <t>360.575.7302</t>
  </si>
  <si>
    <t>Mark Morris High School</t>
  </si>
  <si>
    <t>1602 Mark Morris Court</t>
  </si>
  <si>
    <t>98632-3926</t>
  </si>
  <si>
    <t>Brooks  Cooper</t>
  </si>
  <si>
    <t>bcooper@longview.k12.wa.us</t>
  </si>
  <si>
    <t>360.575.7663</t>
  </si>
  <si>
    <t>Columbia Heights Elementary</t>
  </si>
  <si>
    <t>2820 Parkview Drive</t>
  </si>
  <si>
    <t>98632-5502</t>
  </si>
  <si>
    <t>Christina Marie Hoskins</t>
  </si>
  <si>
    <t>choskins@longview.k12.wa.us</t>
  </si>
  <si>
    <t>360.575.7461</t>
  </si>
  <si>
    <t>2821 Parkview Drive</t>
  </si>
  <si>
    <t>98632-5501</t>
  </si>
  <si>
    <t>David Chris Rugg</t>
  </si>
  <si>
    <t>crugg@longview.k12.wa.us</t>
  </si>
  <si>
    <t>360.577.2781</t>
  </si>
  <si>
    <t>Mint Valley Elementary</t>
  </si>
  <si>
    <t>2745 38th Avenue</t>
  </si>
  <si>
    <t>98632-4721</t>
  </si>
  <si>
    <t>Jean  Merritt</t>
  </si>
  <si>
    <t>jmerritt@longview.k12.wa.us</t>
  </si>
  <si>
    <t>360.575.7581</t>
  </si>
  <si>
    <t>Longview School District Special Services</t>
  </si>
  <si>
    <t>1600 3rd Avenue</t>
  </si>
  <si>
    <t>98632-3231</t>
  </si>
  <si>
    <t>Kara  Harris</t>
  </si>
  <si>
    <t>KHarris@theprogresscenter.org</t>
  </si>
  <si>
    <t>360.425.9810</t>
  </si>
  <si>
    <t>Toutle Lake School District</t>
  </si>
  <si>
    <t>Toutle Lake High School</t>
  </si>
  <si>
    <t>5050 Spirit Lake Hwy</t>
  </si>
  <si>
    <t>Toutle</t>
  </si>
  <si>
    <t>98649-9701</t>
  </si>
  <si>
    <t>Greg  McDaniel</t>
  </si>
  <si>
    <t>greg.mcdaniel@toutlesd.k12.wa.us</t>
  </si>
  <si>
    <t>360.274.6132 ext.5002</t>
  </si>
  <si>
    <t>Toutle Lake Elementary</t>
  </si>
  <si>
    <t>Vicky  Frandsen</t>
  </si>
  <si>
    <t>vicky.frandsen@toutlesd.k12.wa.us</t>
  </si>
  <si>
    <t>360.274.6142 ext.2002</t>
  </si>
  <si>
    <t>Castle Rock School District</t>
  </si>
  <si>
    <t>Castle Rock High School</t>
  </si>
  <si>
    <t>5180 WESTSIDE HWY</t>
  </si>
  <si>
    <t>CASTLE ROCK</t>
  </si>
  <si>
    <t>98611-0000</t>
  </si>
  <si>
    <t>Brooke  French</t>
  </si>
  <si>
    <t>bfrench@crschools.org</t>
  </si>
  <si>
    <t>360.501.2940</t>
  </si>
  <si>
    <t>Castle Rock Elementary</t>
  </si>
  <si>
    <t>700 HUNTINGTON AVE S</t>
  </si>
  <si>
    <t>Veronica  Heller</t>
  </si>
  <si>
    <t>vheller@crschools.org</t>
  </si>
  <si>
    <t>360.501.2905</t>
  </si>
  <si>
    <t>Castle Rock Middle School</t>
  </si>
  <si>
    <t>615 FRONT AVE SW</t>
  </si>
  <si>
    <t>Tiffany  Golden</t>
  </si>
  <si>
    <t>tgolden@crschools.org</t>
  </si>
  <si>
    <t>360.501.2923</t>
  </si>
  <si>
    <t>Kalama School District</t>
  </si>
  <si>
    <t>Kalama Middle School</t>
  </si>
  <si>
    <t>548 China Garden Road</t>
  </si>
  <si>
    <t>Kalama</t>
  </si>
  <si>
    <t>98625-0000</t>
  </si>
  <si>
    <t>Jennifer  McCallum</t>
  </si>
  <si>
    <t>jennifer.mccallum@kalama.k12.wa.us</t>
  </si>
  <si>
    <t>360.673.5212</t>
  </si>
  <si>
    <t>Kalama Elem School</t>
  </si>
  <si>
    <t>Kala  Lougheed</t>
  </si>
  <si>
    <t>kala.lougheed@kalama.k12.wa.us</t>
  </si>
  <si>
    <t>360.673.5207</t>
  </si>
  <si>
    <t>TEAM High School</t>
  </si>
  <si>
    <t>759 3rd Street</t>
  </si>
  <si>
    <t>Yale Elementary</t>
  </si>
  <si>
    <t>11842 Lewis River Road</t>
  </si>
  <si>
    <t>Ariel</t>
  </si>
  <si>
    <t>98603-9743</t>
  </si>
  <si>
    <t>Malinda  Huddleston</t>
  </si>
  <si>
    <t>huddlesm@woodlandschools.org</t>
  </si>
  <si>
    <t>360.841.2756</t>
  </si>
  <si>
    <t>Woodland High School</t>
  </si>
  <si>
    <t>1500 Dike Access Road</t>
  </si>
  <si>
    <t>John  Shoup</t>
  </si>
  <si>
    <t>shoupj@woodlandschools.org</t>
  </si>
  <si>
    <t>360.841.2900</t>
  </si>
  <si>
    <t>Kelso School District</t>
  </si>
  <si>
    <t>Kelso High School</t>
  </si>
  <si>
    <t>1904 Allen St</t>
  </si>
  <si>
    <t>Kelso</t>
  </si>
  <si>
    <t>98626-0000</t>
  </si>
  <si>
    <t>Christine Marie McDaniel</t>
  </si>
  <si>
    <t>christine.mcdaniel@kelsosd.org</t>
  </si>
  <si>
    <t>360.501.1827</t>
  </si>
  <si>
    <t>Rose Valley Elementary</t>
  </si>
  <si>
    <t>1502 Rose Valley Rd</t>
  </si>
  <si>
    <t>Brooke  Henley</t>
  </si>
  <si>
    <t>brooke.henley@kelsosd.org</t>
  </si>
  <si>
    <t>360.501.1400</t>
  </si>
  <si>
    <t>Wallace Elementary</t>
  </si>
  <si>
    <t>410 Elm St</t>
  </si>
  <si>
    <t>Ray  Cattin</t>
  </si>
  <si>
    <t>ray.cattin@kelsosd.org</t>
  </si>
  <si>
    <t>360.501.1650</t>
  </si>
  <si>
    <t>Catlin Elementary</t>
  </si>
  <si>
    <t>404 Long Ave.</t>
  </si>
  <si>
    <t>Tim  Yore</t>
  </si>
  <si>
    <t>tim.yore@kelsosd.org</t>
  </si>
  <si>
    <t>360.501.1550</t>
  </si>
  <si>
    <t>Carrolls Elementary</t>
  </si>
  <si>
    <t>PO Box 3</t>
  </si>
  <si>
    <t>Carrolls</t>
  </si>
  <si>
    <t>98609-0000</t>
  </si>
  <si>
    <t>Mark  Connolly</t>
  </si>
  <si>
    <t>mark.connolly@kelsosd.org</t>
  </si>
  <si>
    <t>360.501.1380</t>
  </si>
  <si>
    <t>Huntington Middle School</t>
  </si>
  <si>
    <t>500 Redpath</t>
  </si>
  <si>
    <t>Laura  Hiatt</t>
  </si>
  <si>
    <t>laura.hiatt@kelsosd.org</t>
  </si>
  <si>
    <t>360.501.1700</t>
  </si>
  <si>
    <t>Butler Acres Elementary</t>
  </si>
  <si>
    <t>1609 Burcham St</t>
  </si>
  <si>
    <t>Cindy  Cromwell</t>
  </si>
  <si>
    <t>cindy.cromwell@kelsosd.org</t>
  </si>
  <si>
    <t>360.501.1600</t>
  </si>
  <si>
    <t>Cowlitz County Youth Services Center</t>
  </si>
  <si>
    <t>1725 1ST AVE</t>
  </si>
  <si>
    <t>98632-3274</t>
  </si>
  <si>
    <t>Chris  Rugg</t>
  </si>
  <si>
    <t>chris.rugg@kelsosd.org</t>
  </si>
  <si>
    <t>360.501.1905</t>
  </si>
  <si>
    <t>Coweeman Middle School</t>
  </si>
  <si>
    <t>2000 Allen St</t>
  </si>
  <si>
    <t>Greg  Gardner</t>
  </si>
  <si>
    <t>greg.gardner@kelsosd.org</t>
  </si>
  <si>
    <t>360.501.1750</t>
  </si>
  <si>
    <t>Barnes Elementary</t>
  </si>
  <si>
    <t>401 Barnes</t>
  </si>
  <si>
    <t>Angie  Hansen</t>
  </si>
  <si>
    <t>angie.hansen@kelsosd.org</t>
  </si>
  <si>
    <t>360.501.1500</t>
  </si>
  <si>
    <t>Beacon Hill Elementary</t>
  </si>
  <si>
    <t>257 Alpha Dr</t>
  </si>
  <si>
    <t>98632-0000</t>
  </si>
  <si>
    <t>Len D Hiatt</t>
  </si>
  <si>
    <t>len.hiatt@kelsosd.org</t>
  </si>
  <si>
    <t>360.501.1450</t>
  </si>
  <si>
    <t>Orondo School District</t>
  </si>
  <si>
    <t>Orondo Elementary and Middle School</t>
  </si>
  <si>
    <t>100 ORONDO SCHOOL ROAD</t>
  </si>
  <si>
    <t>ORONDO</t>
  </si>
  <si>
    <t>98843-9723</t>
  </si>
  <si>
    <t>MILLIE  WATKINS</t>
  </si>
  <si>
    <t>mwatkins@orondo.wednet.edu</t>
  </si>
  <si>
    <t>509.784.1333</t>
  </si>
  <si>
    <t>Bridgeport School District</t>
  </si>
  <si>
    <t>Bridgeport Elementary</t>
  </si>
  <si>
    <t>P.O. Box 1060</t>
  </si>
  <si>
    <t>Bridgeport</t>
  </si>
  <si>
    <t>98813-1060</t>
  </si>
  <si>
    <t>Jesse  Macy</t>
  </si>
  <si>
    <t>jmacy@bridgeport.wednet.edu</t>
  </si>
  <si>
    <t>509.686.2201</t>
  </si>
  <si>
    <t>Bridgeport High School</t>
  </si>
  <si>
    <t>BOX 1060</t>
  </si>
  <si>
    <t>BRIDGEPORT</t>
  </si>
  <si>
    <t>98813-0000</t>
  </si>
  <si>
    <t>Tamra  Jackson</t>
  </si>
  <si>
    <t>tjackson@bridgeport.wednet.edu</t>
  </si>
  <si>
    <t>509.686.8770</t>
  </si>
  <si>
    <t>Bridgeport Middle School</t>
  </si>
  <si>
    <t>PO Box 1060</t>
  </si>
  <si>
    <t>Hanna  Coffman</t>
  </si>
  <si>
    <t>hcoffman@bridgeport.wednet.edu</t>
  </si>
  <si>
    <t>509.686.9501</t>
  </si>
  <si>
    <t>Palisades School District</t>
  </si>
  <si>
    <t>Palisades Elementary School</t>
  </si>
  <si>
    <t>1114 Palisades Rd</t>
  </si>
  <si>
    <t>Palisades</t>
  </si>
  <si>
    <t>98845-9606</t>
  </si>
  <si>
    <t>Ismael  Vivanco</t>
  </si>
  <si>
    <t>ishv@ncesd.org</t>
  </si>
  <si>
    <t>509.884.8071</t>
  </si>
  <si>
    <t>Eastmont School District</t>
  </si>
  <si>
    <t>Rock Island Elementary</t>
  </si>
  <si>
    <t>5645 Rock Island Road</t>
  </si>
  <si>
    <t>Rock Island</t>
  </si>
  <si>
    <t>98850-9528</t>
  </si>
  <si>
    <t>Penny  Brown</t>
  </si>
  <si>
    <t>brownp@eastmont206.org</t>
  </si>
  <si>
    <t>509.884.5023</t>
  </si>
  <si>
    <t>Eastmont Senior High</t>
  </si>
  <si>
    <t>955 3rd Street NE</t>
  </si>
  <si>
    <t>East Wenatchee</t>
  </si>
  <si>
    <t>98802-4999</t>
  </si>
  <si>
    <t>Lance   Noel</t>
  </si>
  <si>
    <t>noelll@eastmont206.org</t>
  </si>
  <si>
    <t>509.884.6665</t>
  </si>
  <si>
    <t>Grant Elementary School</t>
  </si>
  <si>
    <t>1430 SE 1st Street</t>
  </si>
  <si>
    <t>98802-5599</t>
  </si>
  <si>
    <t>Greg  Loomis</t>
  </si>
  <si>
    <t>loomisg@eastmont206.org</t>
  </si>
  <si>
    <t>509.884.0557</t>
  </si>
  <si>
    <t>Canyon View Group Home</t>
  </si>
  <si>
    <t>260 N. Georgia</t>
  </si>
  <si>
    <t>Lance  Noell</t>
  </si>
  <si>
    <t>Lee Elementary</t>
  </si>
  <si>
    <t>1455 N. Baker Ave.</t>
  </si>
  <si>
    <t>98802-4336</t>
  </si>
  <si>
    <t>Jamea  Connor</t>
  </si>
  <si>
    <t>connorj@eastmont206.org</t>
  </si>
  <si>
    <t>509.884.1497</t>
  </si>
  <si>
    <t>Kenroy Elementary</t>
  </si>
  <si>
    <t>601 N. Jonathan Ave.</t>
  </si>
  <si>
    <t>98802-6099</t>
  </si>
  <si>
    <t>Kristy  Daley</t>
  </si>
  <si>
    <t>daleyk@eastmont206.org</t>
  </si>
  <si>
    <t>509.884.1443</t>
  </si>
  <si>
    <t>Eastmont Junior High</t>
  </si>
  <si>
    <t>905 NE 8th Street</t>
  </si>
  <si>
    <t>98802-4498</t>
  </si>
  <si>
    <t>Amy  Dorey</t>
  </si>
  <si>
    <t>doreya@eastmont206.org</t>
  </si>
  <si>
    <t>509.884.2407</t>
  </si>
  <si>
    <t>Cascade Elementary</t>
  </si>
  <si>
    <t>2330 N. Baker Ave.</t>
  </si>
  <si>
    <t>98802-4019</t>
  </si>
  <si>
    <t>Kim  Browning</t>
  </si>
  <si>
    <t>brownink@eastmont206.org</t>
  </si>
  <si>
    <t>509.884.0523</t>
  </si>
  <si>
    <t>Sterling School</t>
  </si>
  <si>
    <t>600 N. James Ave.</t>
  </si>
  <si>
    <t>98802-4699</t>
  </si>
  <si>
    <t>Chris  Hall</t>
  </si>
  <si>
    <t>hallc@eastmont206.org</t>
  </si>
  <si>
    <t>509.884.7115</t>
  </si>
  <si>
    <t>Wenatchee Valley Technical Skills Center</t>
  </si>
  <si>
    <t>327 E PENNY ROAD STE D</t>
  </si>
  <si>
    <t>98801-8106</t>
  </si>
  <si>
    <t>Peter E Jelsing</t>
  </si>
  <si>
    <t>jelsing.p@wenatcheeschools.org</t>
  </si>
  <si>
    <t>509.662.8827</t>
  </si>
  <si>
    <t>Mansfield School District</t>
  </si>
  <si>
    <t>Mansfield Elem and High School</t>
  </si>
  <si>
    <t>P.O. BOX 188</t>
  </si>
  <si>
    <t>MANSFIELD</t>
  </si>
  <si>
    <t>98830-0000</t>
  </si>
  <si>
    <t>Shane  Bird</t>
  </si>
  <si>
    <t>sbird@mansfield.wednet.edu</t>
  </si>
  <si>
    <t>509.683.1012</t>
  </si>
  <si>
    <t>Waterville School District</t>
  </si>
  <si>
    <t>Waterville Elementary</t>
  </si>
  <si>
    <t>PO Box 490</t>
  </si>
  <si>
    <t>Waterville</t>
  </si>
  <si>
    <t>98858-0490</t>
  </si>
  <si>
    <t>Tayn  Kendrick</t>
  </si>
  <si>
    <t>tkendrick@waterville.wednet.edu</t>
  </si>
  <si>
    <t>509.745.8585</t>
  </si>
  <si>
    <t>Waterville High School</t>
  </si>
  <si>
    <t>Mrs Tabatha Mires</t>
  </si>
  <si>
    <t>tmires@waterville.wednet.edu</t>
  </si>
  <si>
    <t>509.745.8583</t>
  </si>
  <si>
    <t>Keller School District</t>
  </si>
  <si>
    <t>Keller Elementary School</t>
  </si>
  <si>
    <t>P.O. Box 367</t>
  </si>
  <si>
    <t>KELLER</t>
  </si>
  <si>
    <t>99140-0367</t>
  </si>
  <si>
    <t>Gary D Greene</t>
  </si>
  <si>
    <t>ggreene@keller.k12.wa.us</t>
  </si>
  <si>
    <t>509.634.4325</t>
  </si>
  <si>
    <t>Curlew School District</t>
  </si>
  <si>
    <t>Curlew Elem &amp; High School</t>
  </si>
  <si>
    <t>PO Box 370</t>
  </si>
  <si>
    <t>Curlew</t>
  </si>
  <si>
    <t>99118-0370</t>
  </si>
  <si>
    <t>Brett  Simpson</t>
  </si>
  <si>
    <t>bsimpson@curlew.wednet.edu</t>
  </si>
  <si>
    <t>(509) 779-4931</t>
  </si>
  <si>
    <t>Orient School District</t>
  </si>
  <si>
    <t>Orient Elementary School</t>
  </si>
  <si>
    <t>374 4th Avenue</t>
  </si>
  <si>
    <t>ORIENT</t>
  </si>
  <si>
    <t>99160-0000</t>
  </si>
  <si>
    <t>Sherry  Cowbrough</t>
  </si>
  <si>
    <t>sherry.cowbrough@orientsd.org</t>
  </si>
  <si>
    <t>509.684.6873</t>
  </si>
  <si>
    <t>Inchelium School District</t>
  </si>
  <si>
    <t>Inchelium High School</t>
  </si>
  <si>
    <t>1 Hornet Avenue</t>
  </si>
  <si>
    <t>Inchelium</t>
  </si>
  <si>
    <t>99138-0000</t>
  </si>
  <si>
    <t>Briam  Myers</t>
  </si>
  <si>
    <t>bmyers@inchelium.net</t>
  </si>
  <si>
    <t>509.722.6181</t>
  </si>
  <si>
    <t>Inchelium Middle School</t>
  </si>
  <si>
    <t>Brian  Myers</t>
  </si>
  <si>
    <t>Inchelium Elementary School</t>
  </si>
  <si>
    <t>2 Hornet Avenue</t>
  </si>
  <si>
    <t>Republic School District</t>
  </si>
  <si>
    <t>Republic Elementary School</t>
  </si>
  <si>
    <t>30306 E HIGHWAY 20</t>
  </si>
  <si>
    <t>REPUBLIC</t>
  </si>
  <si>
    <t>John  Glenewinkel</t>
  </si>
  <si>
    <t>jgwinkel@republic.wednet.edu</t>
  </si>
  <si>
    <t>509.775.3173</t>
  </si>
  <si>
    <t>Republic Senior High School</t>
  </si>
  <si>
    <t>30306 HIGHWAY 20 E</t>
  </si>
  <si>
    <t>99166-0000</t>
  </si>
  <si>
    <t>Chris  Burch</t>
  </si>
  <si>
    <t>cburch@republicsd.org</t>
  </si>
  <si>
    <t>509.775.3327</t>
  </si>
  <si>
    <t>2803 N ROAD 88</t>
  </si>
  <si>
    <t>PASCO</t>
  </si>
  <si>
    <t>99301-1691</t>
  </si>
  <si>
    <t>Dominique  Dennis</t>
  </si>
  <si>
    <t>ddennis@psd1.org</t>
  </si>
  <si>
    <t>509.547.4542</t>
  </si>
  <si>
    <t>Longfellow Elementary</t>
  </si>
  <si>
    <t>301 NORTH 10TH AVENUE</t>
  </si>
  <si>
    <t>99301-0000</t>
  </si>
  <si>
    <t>Claudia  Serrano</t>
  </si>
  <si>
    <t>cserrano@psd1.org</t>
  </si>
  <si>
    <t>509.547.2429</t>
  </si>
  <si>
    <t>Pasco Senior High School</t>
  </si>
  <si>
    <t>1108 N 10TH AVENUE</t>
  </si>
  <si>
    <t>Raul  Sital</t>
  </si>
  <si>
    <t>rsital@psd1.org</t>
  </si>
  <si>
    <t>509.547.5581</t>
  </si>
  <si>
    <t>Emerson Elementary</t>
  </si>
  <si>
    <t>1616 W OCTAVE ST</t>
  </si>
  <si>
    <t>Brooke  Schuldheisz</t>
  </si>
  <si>
    <t>bschuldheisz@psd1.org</t>
  </si>
  <si>
    <t>509.543.6792</t>
  </si>
  <si>
    <t>Mark Twain Elementary</t>
  </si>
  <si>
    <t>1801 N ROAD 40</t>
  </si>
  <si>
    <t>99301-2699</t>
  </si>
  <si>
    <t>Barbara  Pierce</t>
  </si>
  <si>
    <t>bpierce@psd1.org</t>
  </si>
  <si>
    <t>509.543.6794</t>
  </si>
  <si>
    <t>1120 N 22ND AVENUE</t>
  </si>
  <si>
    <t>Charlotte  Troxel</t>
  </si>
  <si>
    <t>ctroxel@psd1.org</t>
  </si>
  <si>
    <t>509.543.6798</t>
  </si>
  <si>
    <t>Edwin Markham Elementary</t>
  </si>
  <si>
    <t>4031 ELM ROAD</t>
  </si>
  <si>
    <t>Kim  Mahaffey</t>
  </si>
  <si>
    <t>kmahaffey@psd1.org</t>
  </si>
  <si>
    <t>509.543.6790</t>
  </si>
  <si>
    <t>Robert Frost Elementary</t>
  </si>
  <si>
    <t>1915 NORTH 22ND AVENUE</t>
  </si>
  <si>
    <t>Robin  Hay</t>
  </si>
  <si>
    <t>rhay@psd1.org</t>
  </si>
  <si>
    <t>509.543.6795</t>
  </si>
  <si>
    <t>New Horizons High School</t>
  </si>
  <si>
    <t>2020 W ARGENT RD</t>
  </si>
  <si>
    <t>Seth  Johnson</t>
  </si>
  <si>
    <t>SeJohnson@psd1.org</t>
  </si>
  <si>
    <t>509.543.6796</t>
  </si>
  <si>
    <t>Ruth Livingston Elementary</t>
  </si>
  <si>
    <t>2515 ROAD 84</t>
  </si>
  <si>
    <t>Scott  Raab</t>
  </si>
  <si>
    <t>sraab@psd1.org</t>
  </si>
  <si>
    <t>509.546.2688</t>
  </si>
  <si>
    <t>James McGee Elementary</t>
  </si>
  <si>
    <t>4601 N HORIZON DRIVE</t>
  </si>
  <si>
    <t>99301-9429</t>
  </si>
  <si>
    <t>Wendy  Lechelt-Polster</t>
  </si>
  <si>
    <t>wlecheltpolster@psd1.org</t>
  </si>
  <si>
    <t>509.547.6583</t>
  </si>
  <si>
    <t>Whittier Elementary</t>
  </si>
  <si>
    <t>616 N WEHE AVENUE</t>
  </si>
  <si>
    <t>Victor  Silva</t>
  </si>
  <si>
    <t>vsilva@psd1.org</t>
  </si>
  <si>
    <t>509.543.6750</t>
  </si>
  <si>
    <t>Rowena Chess Elementary</t>
  </si>
  <si>
    <t>715 N 24TH AVE</t>
  </si>
  <si>
    <t>Dora  Noble</t>
  </si>
  <si>
    <t>dnoble@psd1.org</t>
  </si>
  <si>
    <t>509.543.6789</t>
  </si>
  <si>
    <t>Ellen Ochoa Middle School</t>
  </si>
  <si>
    <t>1801 E SHEPPARD ST</t>
  </si>
  <si>
    <t>99301-3584</t>
  </si>
  <si>
    <t>Jacqueline  Ramirez</t>
  </si>
  <si>
    <t>jramirez@psd1.org</t>
  </si>
  <si>
    <t>509.543.6742</t>
  </si>
  <si>
    <t>Palouse Junction High School</t>
  </si>
  <si>
    <t>99326-0829</t>
  </si>
  <si>
    <t>George  Farrah</t>
  </si>
  <si>
    <t>farrah@nfsd.org</t>
  </si>
  <si>
    <t>509.234.1055</t>
  </si>
  <si>
    <t>Connell Preschool</t>
  </si>
  <si>
    <t>Carrie  Hatch</t>
  </si>
  <si>
    <t>chatch@nfsd.org</t>
  </si>
  <si>
    <t>509.234.9218</t>
  </si>
  <si>
    <t>Robert L Olds Junior High School</t>
  </si>
  <si>
    <t>Jeremy  Fox</t>
  </si>
  <si>
    <t>jfox@nfsd.org</t>
  </si>
  <si>
    <t>509.234.3931</t>
  </si>
  <si>
    <t>Connell Elem</t>
  </si>
  <si>
    <t>Amy  Garza</t>
  </si>
  <si>
    <t>agarza@nfsd.org</t>
  </si>
  <si>
    <t>509.234.4381</t>
  </si>
  <si>
    <t>Mesa Elem</t>
  </si>
  <si>
    <t>PO Box 327</t>
  </si>
  <si>
    <t>Mesa</t>
  </si>
  <si>
    <t>Cara  Morrill</t>
  </si>
  <si>
    <t>cmorrill@nfsd.org</t>
  </si>
  <si>
    <t>509.265.4229</t>
  </si>
  <si>
    <t>Connell High School</t>
  </si>
  <si>
    <t>William R Walker</t>
  </si>
  <si>
    <t>bwalker@nfsd.org</t>
  </si>
  <si>
    <t>509.234.2911</t>
  </si>
  <si>
    <t>Basin City Elem</t>
  </si>
  <si>
    <t>Lisa   Flatau</t>
  </si>
  <si>
    <t>lflatau@nfsd.org</t>
  </si>
  <si>
    <t>509.269.4224</t>
  </si>
  <si>
    <t>Star School District No. 054</t>
  </si>
  <si>
    <t>Star Elem School</t>
  </si>
  <si>
    <t>P. O. Box 1482</t>
  </si>
  <si>
    <t>99352-1482</t>
  </si>
  <si>
    <t>Rich  Puryear</t>
  </si>
  <si>
    <t>rpuryear@starsd.wednet.edu</t>
  </si>
  <si>
    <t>509.967.6030</t>
  </si>
  <si>
    <t>Kahlotus School District</t>
  </si>
  <si>
    <t>Kahlotus Elem &amp; High</t>
  </si>
  <si>
    <t>PO BOX 69</t>
  </si>
  <si>
    <t>KAHLOTUS</t>
  </si>
  <si>
    <t>99335-0069</t>
  </si>
  <si>
    <t>Mark  Bitzer</t>
  </si>
  <si>
    <t>markfbitzer@kahlotussd.org</t>
  </si>
  <si>
    <t>509.282.3338</t>
  </si>
  <si>
    <t>Pomeroy School District</t>
  </si>
  <si>
    <t>Pomeroy Jr Sr High School</t>
  </si>
  <si>
    <t>P.O. Box 950</t>
  </si>
  <si>
    <t>Pomeroy</t>
  </si>
  <si>
    <t>99347-0950</t>
  </si>
  <si>
    <t>dlamunyan@psd.wednet.edu</t>
  </si>
  <si>
    <t>509.843.1331</t>
  </si>
  <si>
    <t>Pomeroy Elementary School</t>
  </si>
  <si>
    <t>Kim  Spacek</t>
  </si>
  <si>
    <t>kspacek@psd.wednet.edu</t>
  </si>
  <si>
    <t>509.843.1651</t>
  </si>
  <si>
    <t>Wahluke School District</t>
  </si>
  <si>
    <t>Sentinel Tech Alt School</t>
  </si>
  <si>
    <t>P.O. Box 907</t>
  </si>
  <si>
    <t>Mattawa</t>
  </si>
  <si>
    <t>99349-0000</t>
  </si>
  <si>
    <t>William  Von Bracht</t>
  </si>
  <si>
    <t>wvonbracht@wahluke.net</t>
  </si>
  <si>
    <t>509.932.3133</t>
  </si>
  <si>
    <t>Mattawa Elementary</t>
  </si>
  <si>
    <t>Seal  Langdon</t>
  </si>
  <si>
    <t>selangdon@wahluke.net</t>
  </si>
  <si>
    <t>509.932.4433</t>
  </si>
  <si>
    <t>Morris Schott Elementary</t>
  </si>
  <si>
    <t>kedie@wahluke.net</t>
  </si>
  <si>
    <t>509.932.3877</t>
  </si>
  <si>
    <t>Wahluke High School</t>
  </si>
  <si>
    <t>509.932.4477</t>
  </si>
  <si>
    <t>Saddle Mountain Elementary</t>
  </si>
  <si>
    <t>Teri  Davison</t>
  </si>
  <si>
    <t>tdavison@wahluke.net</t>
  </si>
  <si>
    <t>509.932.5693</t>
  </si>
  <si>
    <t>Quincy School District</t>
  </si>
  <si>
    <t>Quincy Middle School</t>
  </si>
  <si>
    <t>417 C ST SE</t>
  </si>
  <si>
    <t>QUINCY</t>
  </si>
  <si>
    <t>98848-0000</t>
  </si>
  <si>
    <t>Scott   RAMSEY</t>
  </si>
  <si>
    <t>sramsey@qsd.wednet.edu</t>
  </si>
  <si>
    <t>509.787.4435</t>
  </si>
  <si>
    <t>Pioneer Elementary</t>
  </si>
  <si>
    <t>224 J STREET S.E.</t>
  </si>
  <si>
    <t>Alesha  Porter</t>
  </si>
  <si>
    <t>aporter@qsd.wednet.edu</t>
  </si>
  <si>
    <t>509.787.1595</t>
  </si>
  <si>
    <t>Mountain View Elementary</t>
  </si>
  <si>
    <t>119 D ST NW</t>
  </si>
  <si>
    <t>Tiffany  Viall</t>
  </si>
  <si>
    <t>tviall@qsd.wednet.edu</t>
  </si>
  <si>
    <t>509.787.4548</t>
  </si>
  <si>
    <t>Quincy High School</t>
  </si>
  <si>
    <t>16 6th AVE SE</t>
  </si>
  <si>
    <t>Marcus  Pimpleton</t>
  </si>
  <si>
    <t>mpimplet@qsd.wednet.edu</t>
  </si>
  <si>
    <t>509.787.3501</t>
  </si>
  <si>
    <t>George Elementary</t>
  </si>
  <si>
    <t>401 S. WASHINGTON WAY</t>
  </si>
  <si>
    <t>William C Schutzmann</t>
  </si>
  <si>
    <t>wschutzm@qsd.wednet.edu</t>
  </si>
  <si>
    <t>509.785.2244</t>
  </si>
  <si>
    <t>Monument Elementary</t>
  </si>
  <si>
    <t>1400 13th Avenue SW</t>
  </si>
  <si>
    <t>Lisa  Navarro-Avila</t>
  </si>
  <si>
    <t>lnavarro@qsd.wednet.edu</t>
  </si>
  <si>
    <t>509.787.9826</t>
  </si>
  <si>
    <t>Warden School District</t>
  </si>
  <si>
    <t>Warden Elementary</t>
  </si>
  <si>
    <t>101 W BECK WAY</t>
  </si>
  <si>
    <t>WARDEN</t>
  </si>
  <si>
    <t>98857-9401</t>
  </si>
  <si>
    <t>Kelly  Cutter</t>
  </si>
  <si>
    <t>kcutter@warden.wednet.edu</t>
  </si>
  <si>
    <t>509.349.2311</t>
  </si>
  <si>
    <t>Warden High School</t>
  </si>
  <si>
    <t>Courtney  McCoy</t>
  </si>
  <si>
    <t>cmccoy@warden.wednet.edu</t>
  </si>
  <si>
    <t>509.349.2581</t>
  </si>
  <si>
    <t>Warden Middle School</t>
  </si>
  <si>
    <t>Scott  West</t>
  </si>
  <si>
    <t>swest@warden.wednet.edu</t>
  </si>
  <si>
    <t>509.349.2902</t>
  </si>
  <si>
    <t>Coulee-Hartline School District</t>
  </si>
  <si>
    <t>Coulee City MS</t>
  </si>
  <si>
    <t>410 W. Locust St.</t>
  </si>
  <si>
    <t>COULEE CITY</t>
  </si>
  <si>
    <t>99115-0428</t>
  </si>
  <si>
    <t>Kelley  Schafer</t>
  </si>
  <si>
    <t>kschafer@achsd.org</t>
  </si>
  <si>
    <t>509.632.5231</t>
  </si>
  <si>
    <t>Coulee City Elementary</t>
  </si>
  <si>
    <t>410 W LOCUST</t>
  </si>
  <si>
    <t>99115-0000</t>
  </si>
  <si>
    <t>Almira Coulee Hartline High School</t>
  </si>
  <si>
    <t>413 N. 4th Street</t>
  </si>
  <si>
    <t>Coulee City</t>
  </si>
  <si>
    <t>Jim  Evans</t>
  </si>
  <si>
    <t>jevans@achsd.org</t>
  </si>
  <si>
    <t>Soap Lake School District</t>
  </si>
  <si>
    <t>RISE Academy</t>
  </si>
  <si>
    <t>410 Ginkgo St S</t>
  </si>
  <si>
    <t>SOAP LAKE</t>
  </si>
  <si>
    <t>Sunshine  Pray</t>
  </si>
  <si>
    <t>spray@slschools.org</t>
  </si>
  <si>
    <t>509.246.1201</t>
  </si>
  <si>
    <t>Soap Lake Elementary</t>
  </si>
  <si>
    <t>410 Ginkgo Street South</t>
  </si>
  <si>
    <t>Kandice  Hansen</t>
  </si>
  <si>
    <t>khansen@slschools.org</t>
  </si>
  <si>
    <t>509.246.1822</t>
  </si>
  <si>
    <t>Soap Lake Middle &amp; High School</t>
  </si>
  <si>
    <t>William  Oppliger</t>
  </si>
  <si>
    <t>woppliger@slschools.org</t>
  </si>
  <si>
    <t>Red Rock Elementary</t>
  </si>
  <si>
    <t>David  Andra</t>
  </si>
  <si>
    <t>dandra@royalsd.org</t>
  </si>
  <si>
    <t>509.346.2206</t>
  </si>
  <si>
    <t>Royal High School</t>
  </si>
  <si>
    <t>Rick  Follett</t>
  </si>
  <si>
    <t>rfollett@royalsd.org</t>
  </si>
  <si>
    <t>509.346.2256</t>
  </si>
  <si>
    <t>Royal Middle School</t>
  </si>
  <si>
    <t>David  Jaderlund</t>
  </si>
  <si>
    <t>djaderlund@royalsd.org</t>
  </si>
  <si>
    <t>509.346.2268</t>
  </si>
  <si>
    <t>517 WEST THIRD AVENUE</t>
  </si>
  <si>
    <t>MOSES LAKE</t>
  </si>
  <si>
    <t>98837-0000</t>
  </si>
  <si>
    <t>Guinevere  Joyce</t>
  </si>
  <si>
    <t>gjoyce@mlsd161.org</t>
  </si>
  <si>
    <t>509.766.2662</t>
  </si>
  <si>
    <t>Peninsula Elementary</t>
  </si>
  <si>
    <t>2406 W. TEXAS STREET</t>
  </si>
  <si>
    <t>Sydney  Richins</t>
  </si>
  <si>
    <t>srichins@mlsd.wednet.edu</t>
  </si>
  <si>
    <t>509.766.2658</t>
  </si>
  <si>
    <t>Knolls Vista Elementary</t>
  </si>
  <si>
    <t>454 W RIDGE ROAD</t>
  </si>
  <si>
    <t>Nikki  Mackey</t>
  </si>
  <si>
    <t>nmackey@mlsd.wednet.edu</t>
  </si>
  <si>
    <t>509.766.2652</t>
  </si>
  <si>
    <t>Lakeview Terrace Elementary</t>
  </si>
  <si>
    <t>780 S. CLOVER DRIVE</t>
  </si>
  <si>
    <t>Kristi  Bateman</t>
  </si>
  <si>
    <t>kbateman@mlsd.wednet.edu</t>
  </si>
  <si>
    <t>509.766.2653</t>
  </si>
  <si>
    <t>502 SOUTH C ST</t>
  </si>
  <si>
    <t>John   Farley</t>
  </si>
  <si>
    <t>jfarley@mlsd.wednet.edu</t>
  </si>
  <si>
    <t>509.766.2657</t>
  </si>
  <si>
    <t>Larson Heights Elementary</t>
  </si>
  <si>
    <t>700 LINDBERG LANE</t>
  </si>
  <si>
    <t>Karen  Howland Schotzko</t>
  </si>
  <si>
    <t>kschotzko@mlsd.wednet.edu</t>
  </si>
  <si>
    <t>509.766.2655</t>
  </si>
  <si>
    <t>Chief Moses Middle School</t>
  </si>
  <si>
    <t>1111 E NELSON ROAD</t>
  </si>
  <si>
    <t xml:space="preserve">Michael   Nordsten </t>
  </si>
  <si>
    <t>mnordsten@mlsd.wednet.edu</t>
  </si>
  <si>
    <t>509.766.2661</t>
  </si>
  <si>
    <t>Garden Heights Elementary</t>
  </si>
  <si>
    <t>707 E NELSON ROAD</t>
  </si>
  <si>
    <t>Michelle  Johnstone</t>
  </si>
  <si>
    <t>mjohnstone@mlsd161.org</t>
  </si>
  <si>
    <t>509.766.2651</t>
  </si>
  <si>
    <t>Longview Elementary</t>
  </si>
  <si>
    <t>9783 APPLE ROAD NE</t>
  </si>
  <si>
    <t>ROBBIE  MASON</t>
  </si>
  <si>
    <t>rmason@mlsd.wednet.edu</t>
  </si>
  <si>
    <t>509.766.2656</t>
  </si>
  <si>
    <t>Moses Lake High School</t>
  </si>
  <si>
    <t>803 E. SHARON AVE.</t>
  </si>
  <si>
    <t>Triscia  Hochstatter</t>
  </si>
  <si>
    <t>thochstatter@mlsd161.org</t>
  </si>
  <si>
    <t>509.766.2666</t>
  </si>
  <si>
    <t>North Elementary</t>
  </si>
  <si>
    <t>1200 WEST CRAIG STREET</t>
  </si>
  <si>
    <t>Kelly  Frederick</t>
  </si>
  <si>
    <t>kfrederick@mlsd.wednet.edu</t>
  </si>
  <si>
    <t>509.766.2654</t>
  </si>
  <si>
    <t>Parkway School</t>
  </si>
  <si>
    <t>1011 PARKWAY BLVD</t>
  </si>
  <si>
    <t>EPHRATA</t>
  </si>
  <si>
    <t>98823-0000</t>
  </si>
  <si>
    <t>DAWN  TURLEY</t>
  </si>
  <si>
    <t>dmillard@ephrataschools.org</t>
  </si>
  <si>
    <t>509.754.9729</t>
  </si>
  <si>
    <t>Columbia Ridge Elementary</t>
  </si>
  <si>
    <t>60 H SE</t>
  </si>
  <si>
    <t>KARLA  Wiliams</t>
  </si>
  <si>
    <t>kwilliams@ephrataschools.org</t>
  </si>
  <si>
    <t>509.754.2882</t>
  </si>
  <si>
    <t>Ephrata High School</t>
  </si>
  <si>
    <t>Aaron  Cummings</t>
  </si>
  <si>
    <t>acummings@ephrataschools.org</t>
  </si>
  <si>
    <t>Grant Elementary</t>
  </si>
  <si>
    <t>451 3RD NW</t>
  </si>
  <si>
    <t>Shannon  Dahl</t>
  </si>
  <si>
    <t>sdahl@ephrataschools.org</t>
  </si>
  <si>
    <t>509.754.4676</t>
  </si>
  <si>
    <t>Ephrata Middle School</t>
  </si>
  <si>
    <t>384 "A" SE</t>
  </si>
  <si>
    <t>Ken  Murray</t>
  </si>
  <si>
    <t>kmurray@ephrataschools.org</t>
  </si>
  <si>
    <t>509.754.4659</t>
  </si>
  <si>
    <t>Beezley Springs Elementary</t>
  </si>
  <si>
    <t>501 C ST NW</t>
  </si>
  <si>
    <t>TRAVIS  ELOFF</t>
  </si>
  <si>
    <t>teloff@ephrataschools.org</t>
  </si>
  <si>
    <t>509.754.3538</t>
  </si>
  <si>
    <t>Wilson Creek School District</t>
  </si>
  <si>
    <t>Wilson Creek Elementary</t>
  </si>
  <si>
    <t>PO Box 46</t>
  </si>
  <si>
    <t>Wilson Creek</t>
  </si>
  <si>
    <t>98860-0000</t>
  </si>
  <si>
    <t>Brad  Smedley</t>
  </si>
  <si>
    <t>bsmedley@wilsoncreek.org</t>
  </si>
  <si>
    <t>509.345.2541</t>
  </si>
  <si>
    <t>Wilson Creek High</t>
  </si>
  <si>
    <t>P.O. Box 46</t>
  </si>
  <si>
    <t>98860-0046</t>
  </si>
  <si>
    <t>Lake Roosevelt Jr/Sr High School</t>
  </si>
  <si>
    <t>505 CREST DR</t>
  </si>
  <si>
    <t>COULEE DAM</t>
  </si>
  <si>
    <t>99116-0000</t>
  </si>
  <si>
    <t>Kirk  Marshlain</t>
  </si>
  <si>
    <t>kmarshlain@gcdsd.org</t>
  </si>
  <si>
    <t>509.633.1442</t>
  </si>
  <si>
    <t xml:space="preserve">Lake Roosevelt Elementary </t>
  </si>
  <si>
    <t>503 Crest Dr</t>
  </si>
  <si>
    <t>LISA  LAKIN</t>
  </si>
  <si>
    <t>llakin@gcdsd.org</t>
  </si>
  <si>
    <t>509.633.0730</t>
  </si>
  <si>
    <t>Aberdeen School District</t>
  </si>
  <si>
    <t>Miller Junior High</t>
  </si>
  <si>
    <t>100 E Lindstrom</t>
  </si>
  <si>
    <t>Aberdeen</t>
  </si>
  <si>
    <t>98520-8699</t>
  </si>
  <si>
    <t>Lisa  Griebel</t>
  </si>
  <si>
    <t>lgriebel@asd5.org</t>
  </si>
  <si>
    <t>360.538.2100</t>
  </si>
  <si>
    <t>McDermoth Elementary</t>
  </si>
  <si>
    <t>409 North K St</t>
  </si>
  <si>
    <t>98520-3928</t>
  </si>
  <si>
    <t>Bryan   McKinney</t>
  </si>
  <si>
    <t>bmckinney@asd5.org</t>
  </si>
  <si>
    <t>360.538.2120</t>
  </si>
  <si>
    <t>Orin C Smith Elementary School</t>
  </si>
  <si>
    <t>1240 Bishop Rd</t>
  </si>
  <si>
    <t>Brett  Ellingson</t>
  </si>
  <si>
    <t>Lake Washington School District</t>
  </si>
  <si>
    <t>Clara Barton Elementary School</t>
  </si>
  <si>
    <t>12011 172nd Ave NE</t>
  </si>
  <si>
    <t>Redmond</t>
  </si>
  <si>
    <t>Karen  Barker</t>
  </si>
  <si>
    <t>kabarker@lwsd.org</t>
  </si>
  <si>
    <t>425.936.1200</t>
  </si>
  <si>
    <t>Ella Baker Elementary School</t>
  </si>
  <si>
    <t>9595 Eastridge Drive NE</t>
  </si>
  <si>
    <t>Kim  Bilanko</t>
  </si>
  <si>
    <t>kbilanko@lwsd.org</t>
  </si>
  <si>
    <t>425.936.2790</t>
  </si>
  <si>
    <t>North Mason School District</t>
  </si>
  <si>
    <t>Mary E. Theler Early Learning Center</t>
  </si>
  <si>
    <t>22871 NE SR 3</t>
  </si>
  <si>
    <t>Belfair</t>
  </si>
  <si>
    <t>Thom  Worlund</t>
  </si>
  <si>
    <t>tworlund@northmasonschools.org</t>
  </si>
  <si>
    <t>360-277-2112</t>
  </si>
  <si>
    <t>Grays Harbor Academy</t>
  </si>
  <si>
    <t>216 North G St.</t>
  </si>
  <si>
    <t>David  Glasier</t>
  </si>
  <si>
    <t>ghacademy@asd5.org</t>
  </si>
  <si>
    <t>360-538-2059</t>
  </si>
  <si>
    <t>Hood Canal School District</t>
  </si>
  <si>
    <t>Hood Canal Middle School</t>
  </si>
  <si>
    <t>111 N State Route 106</t>
  </si>
  <si>
    <t>Shelton</t>
  </si>
  <si>
    <t xml:space="preserve">Michael  Moore </t>
  </si>
  <si>
    <t>sbatstone@hoodcanalschool.org</t>
  </si>
  <si>
    <t>360-877-5463 x 217</t>
  </si>
  <si>
    <t>Kettle Falls School District</t>
  </si>
  <si>
    <t>Kettle Falls Early Learning Center</t>
  </si>
  <si>
    <t>PO Box 458</t>
  </si>
  <si>
    <t>Kettle Falls</t>
  </si>
  <si>
    <t>Michael  Olsen</t>
  </si>
  <si>
    <t>molsen@kfschools.org</t>
  </si>
  <si>
    <t>509.738.6625</t>
  </si>
  <si>
    <t>Impact Public Schools</t>
  </si>
  <si>
    <t>Impact | Puget Sound Elementary</t>
  </si>
  <si>
    <t>3438 S. 148th Street</t>
  </si>
  <si>
    <t>Emma  Bean</t>
  </si>
  <si>
    <t>ebean@impactps.org</t>
  </si>
  <si>
    <t>206.712.7640</t>
  </si>
  <si>
    <t>Sunset Ridge Intermediate School</t>
  </si>
  <si>
    <t>3215 South Hillhurst Road</t>
  </si>
  <si>
    <t>Ridgefield</t>
  </si>
  <si>
    <t>Todd  Graves</t>
  </si>
  <si>
    <t>todd.graves@ridgefieldsd.org</t>
  </si>
  <si>
    <t>360.619.1501</t>
  </si>
  <si>
    <t>Sartori Elementary School</t>
  </si>
  <si>
    <t>332 Park Ave N</t>
  </si>
  <si>
    <t>Angela  Sheffey Bogan</t>
  </si>
  <si>
    <t>angela.bogan@rentonschools.us</t>
  </si>
  <si>
    <t>425-204-4500</t>
  </si>
  <si>
    <t>Amon Creek Elementary</t>
  </si>
  <si>
    <t>18 Center Parkway</t>
  </si>
  <si>
    <t>Chad  Foltz</t>
  </si>
  <si>
    <t>chad.foltz@ksd.org</t>
  </si>
  <si>
    <t>509-222-5304</t>
  </si>
  <si>
    <t>Fuerza Elementary</t>
  </si>
  <si>
    <t>6011 W 10th Pl</t>
  </si>
  <si>
    <t>Jaime  Silva</t>
  </si>
  <si>
    <t>jaime.silva@ksd.org</t>
  </si>
  <si>
    <t>509-222-7704</t>
  </si>
  <si>
    <t>Auburn Opportunity Project</t>
  </si>
  <si>
    <t>401 West Main Street</t>
  </si>
  <si>
    <t>Auburn</t>
  </si>
  <si>
    <t>Chewelah School District</t>
  </si>
  <si>
    <t>Chewelah Open Doors Reengagement Program</t>
  </si>
  <si>
    <t>PO Box 47</t>
  </si>
  <si>
    <t>Chewelah</t>
  </si>
  <si>
    <t>Erin  Dell</t>
  </si>
  <si>
    <t>edell@chewelahk12.us</t>
  </si>
  <si>
    <t>509.685.6800</t>
  </si>
  <si>
    <t>Sumner School District</t>
  </si>
  <si>
    <t>Tehaleh Heights Elementary</t>
  </si>
  <si>
    <t>17520 Berkeley Parkway East</t>
  </si>
  <si>
    <t>Bonney Lake</t>
  </si>
  <si>
    <t>Sandy  Miller</t>
  </si>
  <si>
    <t>sandy_miller@sumnersd.org</t>
  </si>
  <si>
    <t>253.891.6544</t>
  </si>
  <si>
    <t>Burlington-Edison School District</t>
  </si>
  <si>
    <t>Open Doors</t>
  </si>
  <si>
    <t>301 N. Burlington Blvd</t>
  </si>
  <si>
    <t>Burlington</t>
  </si>
  <si>
    <t>Jeffrey  Baines</t>
  </si>
  <si>
    <t>dpadilla@be.wednet.edu</t>
  </si>
  <si>
    <t>360.757.3502</t>
  </si>
  <si>
    <t>Richland School District Early Learning Center</t>
  </si>
  <si>
    <t>1525 Hunt</t>
  </si>
  <si>
    <t>Katey  Bryan</t>
  </si>
  <si>
    <t>Katey.Bryan@rsd.edu</t>
  </si>
  <si>
    <t>509-967-6082</t>
  </si>
  <si>
    <t>Steilacoom PRIDE Academy</t>
  </si>
  <si>
    <t>54 Sentinel Drive</t>
  </si>
  <si>
    <t>Michael  Miller</t>
  </si>
  <si>
    <t>mimiller@steilacoom.k12.wa.us</t>
  </si>
  <si>
    <t>253-983-2300</t>
  </si>
  <si>
    <t>1335 S. Ash St.</t>
  </si>
  <si>
    <t>jennifergarza@othelloschools.org</t>
  </si>
  <si>
    <t>509.488.4544</t>
  </si>
  <si>
    <t>Insight School of WA Open Doors Program</t>
  </si>
  <si>
    <t>2601 S 35th St Ste 100</t>
  </si>
  <si>
    <t>Myron  Hammond</t>
  </si>
  <si>
    <t>mhammond@k12.com</t>
  </si>
  <si>
    <t>425.533.2700</t>
  </si>
  <si>
    <t>Ferry County Open Doors</t>
  </si>
  <si>
    <t>jgwinkel@curlew.wednet.edu</t>
  </si>
  <si>
    <t>509-779-4931</t>
  </si>
  <si>
    <t>Eatonville Online Academy</t>
  </si>
  <si>
    <t>PO Box 698</t>
  </si>
  <si>
    <t>Janna  Rush</t>
  </si>
  <si>
    <t>j.rush@eatonville.wednet.edu</t>
  </si>
  <si>
    <t>360-879-1400</t>
  </si>
  <si>
    <t>Camas School District Open Doors</t>
  </si>
  <si>
    <t>1919 NE Ione St</t>
  </si>
  <si>
    <t>Amy  Holmes</t>
  </si>
  <si>
    <t>amy.holmes@camas.wednet.edu</t>
  </si>
  <si>
    <t>360-833-5600</t>
  </si>
  <si>
    <t>5125 NW Nan Henriksen Way</t>
  </si>
  <si>
    <t>Aaron J Smith</t>
  </si>
  <si>
    <t>aaronj.smith@camas.wednet.edu</t>
  </si>
  <si>
    <t>360-833-5780</t>
  </si>
  <si>
    <t>Odyssey Middle School</t>
  </si>
  <si>
    <t>5780 Pacific Rim Blvd</t>
  </si>
  <si>
    <t xml:space="preserve">Cascadia Technical Academy ALE  </t>
  </si>
  <si>
    <t>Tukwila Online Learning</t>
  </si>
  <si>
    <t>4160 S 144th Street</t>
  </si>
  <si>
    <t>THEODORE  HOWARD</t>
  </si>
  <si>
    <t>howardt@tukwila.wednet.edu</t>
  </si>
  <si>
    <t>206.901.8032</t>
  </si>
  <si>
    <t>Prosser Opportunity Academy</t>
  </si>
  <si>
    <t>1203 PROSSER AVE.</t>
  </si>
  <si>
    <t>PROSSER</t>
  </si>
  <si>
    <t>Kevin  D Lusk</t>
  </si>
  <si>
    <t>509-786-1224</t>
  </si>
  <si>
    <t>Cusick School District</t>
  </si>
  <si>
    <t>Home Pride</t>
  </si>
  <si>
    <t>305 Monumental Way</t>
  </si>
  <si>
    <t>Cusick</t>
  </si>
  <si>
    <t>Stephen  Bollinger</t>
  </si>
  <si>
    <t>sbollinger@cusick.wednet.edu</t>
  </si>
  <si>
    <t>509-445-1125</t>
  </si>
  <si>
    <t>Kalispel Language Immersion School</t>
  </si>
  <si>
    <t>West Valley Open Doors</t>
  </si>
  <si>
    <t>Ashley  Lieberknecht</t>
  </si>
  <si>
    <t>509-823-2600</t>
  </si>
  <si>
    <t>Riverbend Elementary School</t>
  </si>
  <si>
    <t>17720 E Mission Avenue</t>
  </si>
  <si>
    <t>Jeff  Dufresne</t>
  </si>
  <si>
    <t>jdufresne@cvsd.org</t>
  </si>
  <si>
    <t>509.558-3402</t>
  </si>
  <si>
    <t>Stem Academy at SVT</t>
  </si>
  <si>
    <t>115 S. University Road</t>
  </si>
  <si>
    <t>Camille  Nielsen</t>
  </si>
  <si>
    <t>canielsen@cvsd.org</t>
  </si>
  <si>
    <t>509.558.6507</t>
  </si>
  <si>
    <t>Wapato School District</t>
  </si>
  <si>
    <t>Simcoe Elementary School</t>
  </si>
  <si>
    <t>1307 S CAMAS AVENUE</t>
  </si>
  <si>
    <t>Wapato</t>
  </si>
  <si>
    <t>Maria  Batarao</t>
  </si>
  <si>
    <t>mariab@wapatosd.org</t>
  </si>
  <si>
    <t>509.877.4181</t>
  </si>
  <si>
    <t>Camas Elementary</t>
  </si>
  <si>
    <t>1010 South Camas Ave</t>
  </si>
  <si>
    <t>Irina  Patan</t>
  </si>
  <si>
    <t>Irinap@wapatosd.org</t>
  </si>
  <si>
    <t>509.877.3134</t>
  </si>
  <si>
    <t>Kalama High School</t>
  </si>
  <si>
    <t>guy.strot@kalama.k12.wa.us</t>
  </si>
  <si>
    <t>North Kitsap School District</t>
  </si>
  <si>
    <t>Choice Academy</t>
  </si>
  <si>
    <t>25800 Siyaya Ave NE</t>
  </si>
  <si>
    <t>Kingston</t>
  </si>
  <si>
    <t>Penny  Therrion</t>
  </si>
  <si>
    <t>ptherrion@nkschools.org</t>
  </si>
  <si>
    <t>360.396.3570</t>
  </si>
  <si>
    <t>Kelso Goal Oriented Learning Design</t>
  </si>
  <si>
    <t>Rob L Birdsell</t>
  </si>
  <si>
    <t>carlc@goodwillwa.org</t>
  </si>
  <si>
    <t>360-501-1800</t>
  </si>
  <si>
    <t>Shelton School District</t>
  </si>
  <si>
    <t>Shelton Open Doors</t>
  </si>
  <si>
    <t>SOUND LEARNING</t>
  </si>
  <si>
    <t>133 W RAILROAD AVE</t>
  </si>
  <si>
    <t>SHELTON</t>
  </si>
  <si>
    <t>STACEY  ANDERSON</t>
  </si>
  <si>
    <t>SIckes@Soundlearning.co</t>
  </si>
  <si>
    <t>360-426-7664</t>
  </si>
  <si>
    <t>Chief Leschi Tribal Compact</t>
  </si>
  <si>
    <t>Chief Leschi Schools</t>
  </si>
  <si>
    <t>5625 52nd St E</t>
  </si>
  <si>
    <t>Kathyrn   Yates</t>
  </si>
  <si>
    <t>Kathryn.yates@leschischools.org</t>
  </si>
  <si>
    <t>253.445.6000</t>
  </si>
  <si>
    <t>Yakama Nation Tribal Compact</t>
  </si>
  <si>
    <t>Yakama Nation School</t>
  </si>
  <si>
    <t>601 Linden St</t>
  </si>
  <si>
    <t>Toppenish</t>
  </si>
  <si>
    <t>Glacier Middle School</t>
  </si>
  <si>
    <t>2450 South 142nd Street</t>
  </si>
  <si>
    <t>Vicki  Fisher</t>
  </si>
  <si>
    <t>vicki.fisher@highlineschools.org</t>
  </si>
  <si>
    <t>206.631.5300</t>
  </si>
  <si>
    <t>Selkirk Middle School</t>
  </si>
  <si>
    <t>1409 N Harvest Parkway</t>
  </si>
  <si>
    <t>Ty  Larsen</t>
  </si>
  <si>
    <t>tlarsen@cvsd.org</t>
  </si>
  <si>
    <t>509.558.6202</t>
  </si>
  <si>
    <t>Sage Hills ECEAP</t>
  </si>
  <si>
    <t>35 K ST SE</t>
  </si>
  <si>
    <t>Travis  Eloff</t>
  </si>
  <si>
    <t>509-754-7547</t>
  </si>
  <si>
    <t>Nooksack Valley School District</t>
  </si>
  <si>
    <t>Nooksack Reengagement</t>
  </si>
  <si>
    <t>PO Box 4307</t>
  </si>
  <si>
    <t>NOOKSACK</t>
  </si>
  <si>
    <t>Matt  Galley</t>
  </si>
  <si>
    <t>matt.galley@nv.k12.wa.us</t>
  </si>
  <si>
    <t>360.988.2641</t>
  </si>
  <si>
    <t>Orcas Island School District</t>
  </si>
  <si>
    <t>Orcas Island Montessori Public</t>
  </si>
  <si>
    <t>557 School Road</t>
  </si>
  <si>
    <t>Eastsound</t>
  </si>
  <si>
    <t>98245-9457</t>
  </si>
  <si>
    <t>Eric Christian Webb</t>
  </si>
  <si>
    <t>oimp@orcas.k12.wa.us</t>
  </si>
  <si>
    <t>360-376-1501</t>
  </si>
  <si>
    <t>Three Rivers Elementary</t>
  </si>
  <si>
    <t>3901 Road 84</t>
  </si>
  <si>
    <t xml:space="preserve">Dessie F Evans Elementary </t>
  </si>
  <si>
    <t>7911 144th St E</t>
  </si>
  <si>
    <t>Kevin  Hampton</t>
  </si>
  <si>
    <t>PigerJM@puyallup.k12.wa.us</t>
  </si>
  <si>
    <t>253-841-1301</t>
  </si>
  <si>
    <t>Ridgefield Early Learning Center</t>
  </si>
  <si>
    <t>510 Pioneer Street</t>
  </si>
  <si>
    <t xml:space="preserve">Dr. Michael  Baskette </t>
  </si>
  <si>
    <t>michael.baskette@ridgefieldsd.org</t>
  </si>
  <si>
    <t>360.619.1333</t>
  </si>
  <si>
    <t>San Juan Island School District</t>
  </si>
  <si>
    <t>Griffin Bay School Open Doors</t>
  </si>
  <si>
    <t>Friday Harbor</t>
  </si>
  <si>
    <t>Kari  McVeigh</t>
  </si>
  <si>
    <t>conniedomenech@sjisd.wednet.edu</t>
  </si>
  <si>
    <t>360.370.7905</t>
  </si>
  <si>
    <t>Selah Academy Auxiliary</t>
  </si>
  <si>
    <t>509 698-8063</t>
  </si>
  <si>
    <t>Selah Academy BPL</t>
  </si>
  <si>
    <t>South Kitsap School District</t>
  </si>
  <si>
    <t>Pacific Northwest Connections Academy</t>
  </si>
  <si>
    <t>111 Tumwater Blvd SE Ste B203</t>
  </si>
  <si>
    <t>Mike  Lunde</t>
  </si>
  <si>
    <t>support@connectionseducation.com</t>
  </si>
  <si>
    <t>800.382.6010</t>
  </si>
  <si>
    <t>Tahoma Open Doors</t>
  </si>
  <si>
    <t>TDuty@TahomaSD.US</t>
  </si>
  <si>
    <t>425-413-6201</t>
  </si>
  <si>
    <t>White River Early Learning Center</t>
  </si>
  <si>
    <t>27515 120th Street East</t>
  </si>
  <si>
    <t>Jeffrey  Byrnes</t>
  </si>
  <si>
    <t>ttucker@whiteriver.wednet.edu</t>
  </si>
  <si>
    <t>360-829-6046</t>
  </si>
  <si>
    <t>Magnolia Elementary</t>
  </si>
  <si>
    <t>2418 24th Ave W</t>
  </si>
  <si>
    <t>Katie   Cryan</t>
  </si>
  <si>
    <t>ktcryan@seattleschools.org</t>
  </si>
  <si>
    <t>206.743.3805</t>
  </si>
  <si>
    <t>4400 Interlake Ave N</t>
  </si>
  <si>
    <t>98103-7519</t>
  </si>
  <si>
    <t>Ruth   Medsker</t>
  </si>
  <si>
    <t>lincoln@seattleschools.org</t>
  </si>
  <si>
    <t>206-252-3590</t>
  </si>
  <si>
    <t>ECEAP</t>
  </si>
  <si>
    <t>1150 W Chestnut St</t>
  </si>
  <si>
    <t>Samantha Kate Bowen</t>
  </si>
  <si>
    <t>sbowen@wwps.org</t>
  </si>
  <si>
    <t>509.526.1781</t>
  </si>
  <si>
    <t>Willard Early Learning Center</t>
  </si>
  <si>
    <t>3201 S D Street</t>
  </si>
  <si>
    <t>Michelle R Rahl-Lewis</t>
  </si>
  <si>
    <t>mlewis1@tacoma.k12.wa.us</t>
  </si>
  <si>
    <t>253-571-2615</t>
  </si>
  <si>
    <t>Valley Academy of Learning K-8</t>
  </si>
  <si>
    <t>1911 N Wenatchee Avenue</t>
  </si>
  <si>
    <t>Greg  Lovercamp</t>
  </si>
  <si>
    <t>lovercamp.g@wenatcheeschools.org</t>
  </si>
  <si>
    <t>509.662.6417</t>
  </si>
  <si>
    <t>Tambark Creek Elementary School</t>
  </si>
  <si>
    <t>4419 180th St. SE</t>
  </si>
  <si>
    <t>98012-6749</t>
  </si>
  <si>
    <t>Celia  O'Connor-Weaver</t>
  </si>
  <si>
    <t>coconnor@everettsd.org</t>
  </si>
  <si>
    <t>425.302.9200</t>
  </si>
  <si>
    <t>The Heights Learning Center</t>
  </si>
  <si>
    <t>4600 NE Garfield St</t>
  </si>
  <si>
    <t>Diane  Loghry</t>
  </si>
  <si>
    <t>diane.loghry@camas.wednet.edu</t>
  </si>
  <si>
    <t>360-335-3000</t>
  </si>
  <si>
    <t>Pullman School District</t>
  </si>
  <si>
    <t>Kamiak Elementary</t>
  </si>
  <si>
    <t>1400 NW Terre View Drive</t>
  </si>
  <si>
    <t>Pullman</t>
  </si>
  <si>
    <t>Evan  Hecker</t>
  </si>
  <si>
    <t>ehecker@psd267.org</t>
  </si>
  <si>
    <t>509-592-6096</t>
  </si>
  <si>
    <t>College Place Open Doors Program</t>
  </si>
  <si>
    <t>1755 S College Avenue</t>
  </si>
  <si>
    <t>Robert  Aguilar</t>
  </si>
  <si>
    <t>509-525-4827</t>
  </si>
  <si>
    <t>Highland School District</t>
  </si>
  <si>
    <t>Highland ESD 105 Open Doors</t>
  </si>
  <si>
    <t>33 S. 2nd Ave</t>
  </si>
  <si>
    <t>Manuel  Rangel</t>
  </si>
  <si>
    <t>mike.closner@esd105.org</t>
  </si>
  <si>
    <t>509-834-6819</t>
  </si>
  <si>
    <t>Issaquah Preschool</t>
  </si>
  <si>
    <t>565 NW Holly St.</t>
  </si>
  <si>
    <t>Nathan  Winegar</t>
  </si>
  <si>
    <t>winegarn@issaquah.wednet.edu</t>
  </si>
  <si>
    <t>425-837-5073</t>
  </si>
  <si>
    <t>ESD 105 Open Doors</t>
  </si>
  <si>
    <t>33 S 2nd Ave</t>
  </si>
  <si>
    <t>Mike J Closner</t>
  </si>
  <si>
    <t>Ferndale Virtual Academy</t>
  </si>
  <si>
    <t>5830 Golden Eagle Drive</t>
  </si>
  <si>
    <t>PO Box 428</t>
  </si>
  <si>
    <t>lisa.taylor@ferndalesd.org</t>
  </si>
  <si>
    <t>360-383-9210</t>
  </si>
  <si>
    <t>NACHES VALLEY ESD 105 OPEN DOORS</t>
  </si>
  <si>
    <t>33 S SECOND AVE</t>
  </si>
  <si>
    <t>YAKIMA</t>
  </si>
  <si>
    <t>509.834.6819</t>
  </si>
  <si>
    <t>Stevenson-Carson School District</t>
  </si>
  <si>
    <t>Open Doors for SHS</t>
  </si>
  <si>
    <t>PO Box 850</t>
  </si>
  <si>
    <t>Stevenson</t>
  </si>
  <si>
    <t>Fife School District</t>
  </si>
  <si>
    <t>Fife Open Doors</t>
  </si>
  <si>
    <t>5802 20th Street East</t>
  </si>
  <si>
    <t>Brandon H Bakke</t>
  </si>
  <si>
    <t>bbakke@fifeschools.com</t>
  </si>
  <si>
    <t>253.517.1000</t>
  </si>
  <si>
    <t>Northshore Family Partnership</t>
  </si>
  <si>
    <t>18101 Avondale Road NE</t>
  </si>
  <si>
    <t>Woodinville</t>
  </si>
  <si>
    <t>Oakville School District</t>
  </si>
  <si>
    <t>Oakville Homelink</t>
  </si>
  <si>
    <t>Po Box H</t>
  </si>
  <si>
    <t>Oakville</t>
  </si>
  <si>
    <t>Scott  Hyder</t>
  </si>
  <si>
    <t>tbunting@oakvilleschools.org</t>
  </si>
  <si>
    <t>360.273.0171</t>
  </si>
  <si>
    <t>Ancient Lakes Elementary</t>
  </si>
  <si>
    <t>417 C Street SE</t>
  </si>
  <si>
    <t>Quincy</t>
  </si>
  <si>
    <t>Colleen  Frerks</t>
  </si>
  <si>
    <t>cfrerks@qsd.wednet.edu</t>
  </si>
  <si>
    <t>509-787-4571</t>
  </si>
  <si>
    <t>Tonasket School District</t>
  </si>
  <si>
    <t>Tonasket Choice High School</t>
  </si>
  <si>
    <t>35 HS Hwy 20</t>
  </si>
  <si>
    <t>Tonasket</t>
  </si>
  <si>
    <t>Brian  Ellis</t>
  </si>
  <si>
    <t>bellis@tonasket.wednet.edu</t>
  </si>
  <si>
    <t>509-486-2161</t>
  </si>
  <si>
    <t>Tonasket Outreach School</t>
  </si>
  <si>
    <t>Steve  McCullough</t>
  </si>
  <si>
    <t>smccullough@tonasket.wednet.edu</t>
  </si>
  <si>
    <t>509-486-2126</t>
  </si>
  <si>
    <t>Anacortes School District</t>
  </si>
  <si>
    <t>1517 22nd Street</t>
  </si>
  <si>
    <t>Kecia  Fox</t>
  </si>
  <si>
    <t>anacortessd@asd103.org</t>
  </si>
  <si>
    <t>360-503-1304</t>
  </si>
  <si>
    <t>Harriet Rowley Elementary</t>
  </si>
  <si>
    <t>400 53rd St</t>
  </si>
  <si>
    <t>Patricia  Shanander</t>
  </si>
  <si>
    <t>pshanander@mvsd320.org</t>
  </si>
  <si>
    <t>360-428-6199</t>
  </si>
  <si>
    <t>Renton Technical College</t>
  </si>
  <si>
    <t>Renton Technical College DFTC</t>
  </si>
  <si>
    <t>3000 NE 4TH ST</t>
  </si>
  <si>
    <t>Renton Technical College DFTC Direct Enrollment</t>
  </si>
  <si>
    <t>3000 4th St NE</t>
  </si>
  <si>
    <t xml:space="preserve">North City </t>
  </si>
  <si>
    <t>816 NE 190TH ST</t>
  </si>
  <si>
    <t>SHORELINE</t>
  </si>
  <si>
    <t>Rosa  Cabrera-Thompson</t>
  </si>
  <si>
    <t>rosa.cabrera.thompson@shorelineschools.org</t>
  </si>
  <si>
    <t>206-393-4238</t>
  </si>
  <si>
    <t>Edwin Pratt Learning Center</t>
  </si>
  <si>
    <t>1900 N 170th St</t>
  </si>
  <si>
    <t>Hilary   Clark</t>
  </si>
  <si>
    <t>hilary.clark@shorelineschools.org</t>
  </si>
  <si>
    <t>206-393-4359</t>
  </si>
  <si>
    <t>Oakville Preschool</t>
  </si>
  <si>
    <t>103 School St</t>
  </si>
  <si>
    <t>360-273-0171</t>
  </si>
  <si>
    <t>Wapato ESD 105 Open Doors</t>
  </si>
  <si>
    <t>33 S 2ND AVE</t>
  </si>
  <si>
    <t>Soar to Success</t>
  </si>
  <si>
    <t>2600 N 20th Ave</t>
  </si>
  <si>
    <t>Timberline Middle School</t>
  </si>
  <si>
    <t>9900 Redmond Ridge Drive NE</t>
  </si>
  <si>
    <t>600 Bozarth Ave</t>
  </si>
  <si>
    <t>Ingrid  Colvard</t>
  </si>
  <si>
    <t>colvardi@woodlandschools.org</t>
  </si>
  <si>
    <t>360.841.2905</t>
  </si>
  <si>
    <t>North Fork Elementary School</t>
  </si>
  <si>
    <t>2250 Lewis River Road</t>
  </si>
  <si>
    <t>Denise  Pear</t>
  </si>
  <si>
    <t>pearld@woodlandschools.org</t>
  </si>
  <si>
    <t>360.841.2755</t>
  </si>
  <si>
    <t>Moses Lake Big Picture</t>
  </si>
  <si>
    <t>803 E. Sharon Ave</t>
  </si>
  <si>
    <t>Moses Lake</t>
  </si>
  <si>
    <t>Ashe Preparatory Academy</t>
  </si>
  <si>
    <t>19300 108th Ave SE</t>
  </si>
  <si>
    <t>Monique Evonne Harrison</t>
  </si>
  <si>
    <t>mharrison@asheprep.org</t>
  </si>
  <si>
    <t>206.931.0964</t>
  </si>
  <si>
    <t>Davenport School District</t>
  </si>
  <si>
    <t>Lincoln County Tech</t>
  </si>
  <si>
    <t>801 7th Street</t>
  </si>
  <si>
    <t>Davenport</t>
  </si>
  <si>
    <t>Chad  Prewitt</t>
  </si>
  <si>
    <t>cprewitt@davenportsd.org</t>
  </si>
  <si>
    <t>509.725.1481</t>
  </si>
  <si>
    <t>Colville School District</t>
  </si>
  <si>
    <t>Colville Fish Hatchery</t>
  </si>
  <si>
    <t xml:space="preserve">390 N Hofstetter </t>
  </si>
  <si>
    <t>Colville</t>
  </si>
  <si>
    <t>Kevin   Knight</t>
  </si>
  <si>
    <t>tami.mills@colsd.org</t>
  </si>
  <si>
    <t>509-684-7800</t>
  </si>
  <si>
    <t>Ruby Bridges Elementary</t>
  </si>
  <si>
    <t>20510 49th Drive SE</t>
  </si>
  <si>
    <t>Cathi  Davis</t>
  </si>
  <si>
    <t>cdavis@nsd.org</t>
  </si>
  <si>
    <t>425-408-6000</t>
  </si>
  <si>
    <t>Innovation Lab High School</t>
  </si>
  <si>
    <t>2020 224th Street SE</t>
  </si>
  <si>
    <t>Peter  Schurke</t>
  </si>
  <si>
    <t>pschurke@nsd.org</t>
  </si>
  <si>
    <t>1516 North B St</t>
  </si>
  <si>
    <t>98520-2099</t>
  </si>
  <si>
    <t>Jamie  Dunn</t>
  </si>
  <si>
    <t>jdunn@asd5.org</t>
  </si>
  <si>
    <t>360.538.2140</t>
  </si>
  <si>
    <t>A J West Elementary</t>
  </si>
  <si>
    <t>1801 Bay Ave.</t>
  </si>
  <si>
    <t>98520-5510</t>
  </si>
  <si>
    <t>John  Meers</t>
  </si>
  <si>
    <t>jmeers@asd5.org</t>
  </si>
  <si>
    <t>360.538.2131</t>
  </si>
  <si>
    <t>Stevens Elementary School</t>
  </si>
  <si>
    <t>301 S. Farragut</t>
  </si>
  <si>
    <t>98520-8499</t>
  </si>
  <si>
    <t>Arnie  Lewis</t>
  </si>
  <si>
    <t>alewis@asd5.org</t>
  </si>
  <si>
    <t>360.538.2151</t>
  </si>
  <si>
    <t>Hopkins Elementary</t>
  </si>
  <si>
    <t>1313 Pacific</t>
  </si>
  <si>
    <t>Sherri  Northington</t>
  </si>
  <si>
    <t>snorthington@asd5.org</t>
  </si>
  <si>
    <t>360.538.2190</t>
  </si>
  <si>
    <t>Central Park Elementary</t>
  </si>
  <si>
    <t>601 School Road</t>
  </si>
  <si>
    <t>98520-7999</t>
  </si>
  <si>
    <t>John  Crabb</t>
  </si>
  <si>
    <t>jcrabb@asd5.org</t>
  </si>
  <si>
    <t>360.538.2170</t>
  </si>
  <si>
    <t>J M Weatherwax High School</t>
  </si>
  <si>
    <t>410 North G Street</t>
  </si>
  <si>
    <t>360.538.2045</t>
  </si>
  <si>
    <t>Harbor High School</t>
  </si>
  <si>
    <t>300 N. Williams</t>
  </si>
  <si>
    <t>Derek  Cook</t>
  </si>
  <si>
    <t>dcook@asd5.org</t>
  </si>
  <si>
    <t>360.538.2189</t>
  </si>
  <si>
    <t>Grays Harbor Juvenile Detention</t>
  </si>
  <si>
    <t>103 Junction City Rd.</t>
  </si>
  <si>
    <t>98520-5622</t>
  </si>
  <si>
    <t>Hoquiam School District</t>
  </si>
  <si>
    <t>101 W Emerson</t>
  </si>
  <si>
    <t>Hoquiam</t>
  </si>
  <si>
    <t>98550-0000</t>
  </si>
  <si>
    <t>Brandon  Winkelman</t>
  </si>
  <si>
    <t>bwinkelman@hoquiam.net</t>
  </si>
  <si>
    <t>360.538.8240</t>
  </si>
  <si>
    <t>Hoquiam Middle School</t>
  </si>
  <si>
    <t>200 Spencer</t>
  </si>
  <si>
    <t>dcook@hoquiam.net</t>
  </si>
  <si>
    <t>360.538.8220</t>
  </si>
  <si>
    <t>Central Elementary School</t>
  </si>
  <si>
    <t>310 Simpson Avenue</t>
  </si>
  <si>
    <t>Laurie  Gordon</t>
  </si>
  <si>
    <t>lgordon@hoquiam.net</t>
  </si>
  <si>
    <t>360.538.8230</t>
  </si>
  <si>
    <t>Lincoln Elementary</t>
  </si>
  <si>
    <t>700 Wood</t>
  </si>
  <si>
    <t>Kent  Nixon</t>
  </si>
  <si>
    <t>knixon@hoquiam.net</t>
  </si>
  <si>
    <t>360.538.8250</t>
  </si>
  <si>
    <t>Hoquiam High School</t>
  </si>
  <si>
    <t>501 W. Emerson</t>
  </si>
  <si>
    <t>Brock  Maxfield</t>
  </si>
  <si>
    <t>bmaxfield@hoquiam.net</t>
  </si>
  <si>
    <t>360.538.8210</t>
  </si>
  <si>
    <t>North Beach School District</t>
  </si>
  <si>
    <t>North Beach Senior High School</t>
  </si>
  <si>
    <t>P.O. Box 969</t>
  </si>
  <si>
    <t>Ocean Shores</t>
  </si>
  <si>
    <t>98569-0000</t>
  </si>
  <si>
    <t>Cyndy  Valdez</t>
  </si>
  <si>
    <t>cvaldez@northbeachschools.org</t>
  </si>
  <si>
    <t>360.289.3888</t>
  </si>
  <si>
    <t>Pacific Beach Elementary School</t>
  </si>
  <si>
    <t>P.O. Box H</t>
  </si>
  <si>
    <t>Pacific Beach</t>
  </si>
  <si>
    <t>98571-0000</t>
  </si>
  <si>
    <t>Lynette  Reime</t>
  </si>
  <si>
    <t>lreime@northbeachschools.org</t>
  </si>
  <si>
    <t>360.276.4512</t>
  </si>
  <si>
    <t>Ocean Shores Elementary</t>
  </si>
  <si>
    <t>300 Mt. Olympus Way</t>
  </si>
  <si>
    <t>Rhonda  Ham</t>
  </si>
  <si>
    <t>rham@northbeachschools.org</t>
  </si>
  <si>
    <t>360.289.2147</t>
  </si>
  <si>
    <t>North Beach Junior High School</t>
  </si>
  <si>
    <t>PO Box 969</t>
  </si>
  <si>
    <t>McCleary School District</t>
  </si>
  <si>
    <t>Mccleary Elem</t>
  </si>
  <si>
    <t>611 S. Main St.</t>
  </si>
  <si>
    <t>McCleary</t>
  </si>
  <si>
    <t>98557-9524</t>
  </si>
  <si>
    <t>Shannon  Ramsey</t>
  </si>
  <si>
    <t>sramsey@mccleary.wednet.edu</t>
  </si>
  <si>
    <t>360.495.3204</t>
  </si>
  <si>
    <t>Montesano School District</t>
  </si>
  <si>
    <t>Montesano Jr-Sr High</t>
  </si>
  <si>
    <t>303 North Church</t>
  </si>
  <si>
    <t>Montesano</t>
  </si>
  <si>
    <t>98563-2504</t>
  </si>
  <si>
    <t>Alec  Pugh</t>
  </si>
  <si>
    <t>apugh@monteschools.org</t>
  </si>
  <si>
    <t>360.249.4041</t>
  </si>
  <si>
    <t>Simpson Avenue Elementary</t>
  </si>
  <si>
    <t>519 West Simpson Avenue</t>
  </si>
  <si>
    <t>98563-1151</t>
  </si>
  <si>
    <t>Stephanie  Klinger</t>
  </si>
  <si>
    <t>sklinger@monteschools.org</t>
  </si>
  <si>
    <t>360.249.4331</t>
  </si>
  <si>
    <t>Beacon Avenue Elementary School</t>
  </si>
  <si>
    <t>1717 East Beacon Avenue</t>
  </si>
  <si>
    <t>98563-9755</t>
  </si>
  <si>
    <t>Craig  Loucks</t>
  </si>
  <si>
    <t>cloucks@monte.wednet.edu</t>
  </si>
  <si>
    <t>360.249.4528</t>
  </si>
  <si>
    <t>East Grays Harbor High School</t>
  </si>
  <si>
    <t>1235 Monte-Elma Rd</t>
  </si>
  <si>
    <t>98541-0000</t>
  </si>
  <si>
    <t>Elma High School</t>
  </si>
  <si>
    <t>1235 Elma-Monte Rd</t>
  </si>
  <si>
    <t>Rich  Rasanen</t>
  </si>
  <si>
    <t>rrasanen@eagles.edu</t>
  </si>
  <si>
    <t>360.482.3121</t>
  </si>
  <si>
    <t>Elma Elementary School</t>
  </si>
  <si>
    <t>Mark  Keating</t>
  </si>
  <si>
    <t>mkeating@eagles.edu</t>
  </si>
  <si>
    <t>360.482.2632</t>
  </si>
  <si>
    <t>Elma Middle School</t>
  </si>
  <si>
    <t>1235 Monte-Elma Rd.</t>
  </si>
  <si>
    <t>Sunshine  Perry</t>
  </si>
  <si>
    <t>sperry@eagles.edu</t>
  </si>
  <si>
    <t>360.482.2237</t>
  </si>
  <si>
    <t>Taholah School District</t>
  </si>
  <si>
    <t>Taholah High School</t>
  </si>
  <si>
    <t>PO Box 249</t>
  </si>
  <si>
    <t>Taholah</t>
  </si>
  <si>
    <t>98587-0249</t>
  </si>
  <si>
    <t>Patricia  Larriva</t>
  </si>
  <si>
    <t>plarriva@taholah.org</t>
  </si>
  <si>
    <t>360.276.4780</t>
  </si>
  <si>
    <t>Lake Quinault School District</t>
  </si>
  <si>
    <t>Lake Quinault School</t>
  </si>
  <si>
    <t>P O Box 38</t>
  </si>
  <si>
    <t>Amanda Park</t>
  </si>
  <si>
    <t>98526-0000</t>
  </si>
  <si>
    <t>Keith  Samplawski</t>
  </si>
  <si>
    <t>ksamplawski@lakequinaultschools.org</t>
  </si>
  <si>
    <t>360.288.2414</t>
  </si>
  <si>
    <t>Cosmopolis School District</t>
  </si>
  <si>
    <t>Cosmopolis Elementary School</t>
  </si>
  <si>
    <t>P.O. Box 479</t>
  </si>
  <si>
    <t>Cosmopolis</t>
  </si>
  <si>
    <t>98537-0479</t>
  </si>
  <si>
    <t>Cherie M. Patterson</t>
  </si>
  <si>
    <t>cpatterson@cosmopolisschool.com</t>
  </si>
  <si>
    <t>360.532.7181</t>
  </si>
  <si>
    <t>Satsop School District</t>
  </si>
  <si>
    <t>Satsop Elementary</t>
  </si>
  <si>
    <t>Box 96</t>
  </si>
  <si>
    <t>853 Monte-Elma Road</t>
  </si>
  <si>
    <t>Satsop</t>
  </si>
  <si>
    <t>98583-0000</t>
  </si>
  <si>
    <t>Marsha  Hendrick</t>
  </si>
  <si>
    <t>mhendrick.satsop@gmail.com</t>
  </si>
  <si>
    <t>360.482.5330</t>
  </si>
  <si>
    <t>Wishkah Valley School District</t>
  </si>
  <si>
    <t>Wishkah Valley Elementary/High School</t>
  </si>
  <si>
    <t>4640 Wishkah Rd.</t>
  </si>
  <si>
    <t>98520-9626</t>
  </si>
  <si>
    <t>Donald  Hay</t>
  </si>
  <si>
    <t>dhay@wishkah.org</t>
  </si>
  <si>
    <t>360.532.3128</t>
  </si>
  <si>
    <t>Ocosta School District</t>
  </si>
  <si>
    <t>Ocosta Junior - Senior High</t>
  </si>
  <si>
    <t>2580 S Montesano St</t>
  </si>
  <si>
    <t>Westport</t>
  </si>
  <si>
    <t>98595-9746</t>
  </si>
  <si>
    <t>Christopher  Pollard</t>
  </si>
  <si>
    <t>cpollard@ocosta.org</t>
  </si>
  <si>
    <t>360.268.9125 ext. 3001</t>
  </si>
  <si>
    <t>Ocosta Elementary School</t>
  </si>
  <si>
    <t>Cindy  Risher</t>
  </si>
  <si>
    <t>crisher@ocosta.org</t>
  </si>
  <si>
    <t>360.268.9125 ext. 2001</t>
  </si>
  <si>
    <t>Oakville High School</t>
  </si>
  <si>
    <t>PO BOX H</t>
  </si>
  <si>
    <t>OAKVILLE</t>
  </si>
  <si>
    <t>98568-0090</t>
  </si>
  <si>
    <t>Michael  Auton</t>
  </si>
  <si>
    <t>mauton@oakvilleschools.org</t>
  </si>
  <si>
    <t>360.273.5947</t>
  </si>
  <si>
    <t>Oakville Elementary</t>
  </si>
  <si>
    <t>Rich  Staley</t>
  </si>
  <si>
    <t>rstaley@oakvilleschools.org</t>
  </si>
  <si>
    <t>360.273.5946</t>
  </si>
  <si>
    <t>Homeconnection</t>
  </si>
  <si>
    <t>350 S. Oak Harbor St.</t>
  </si>
  <si>
    <t>98277-0000</t>
  </si>
  <si>
    <t>Shane  Evans</t>
  </si>
  <si>
    <t>sevans@ohsd.net</t>
  </si>
  <si>
    <t>360.279.5057</t>
  </si>
  <si>
    <t>Oak Harbor Elementary</t>
  </si>
  <si>
    <t>151 SE Midway Blvd.</t>
  </si>
  <si>
    <t>Dorothy  Day</t>
  </si>
  <si>
    <t>dday@ohsd.net</t>
  </si>
  <si>
    <t>(360)279-5102</t>
  </si>
  <si>
    <t>Oak Harbor High School</t>
  </si>
  <si>
    <t>950 NW 2nd Ave.</t>
  </si>
  <si>
    <t>Dwight  Lundstrom</t>
  </si>
  <si>
    <t>dlundstrom@ohsd.net</t>
  </si>
  <si>
    <t>(360)279.5701</t>
  </si>
  <si>
    <t>Oak Harbor Intermediate School</t>
  </si>
  <si>
    <t>150 SW Sixth Ave.</t>
  </si>
  <si>
    <t>Raenette  Wood</t>
  </si>
  <si>
    <t>rwood@ohsd.net</t>
  </si>
  <si>
    <t>360.279.5305</t>
  </si>
  <si>
    <t>Crescent Harbor Elem</t>
  </si>
  <si>
    <t>330 E. Crescent Harbor Rd.</t>
  </si>
  <si>
    <t>Kate  Valenzuela</t>
  </si>
  <si>
    <t>kvalenzuela@ohsd.net</t>
  </si>
  <si>
    <t>360.279.5652</t>
  </si>
  <si>
    <t>Broadview Elementary</t>
  </si>
  <si>
    <t>473 SW Fairhaven Dr.</t>
  </si>
  <si>
    <t>Jennifer  Hunt</t>
  </si>
  <si>
    <t>jmouw@ohsd.net</t>
  </si>
  <si>
    <t>360.279.5254</t>
  </si>
  <si>
    <t>Olympic View Elem</t>
  </si>
  <si>
    <t>380 NE Regatta Dr.</t>
  </si>
  <si>
    <t>Laura  Aesoph</t>
  </si>
  <si>
    <t>laesoph@ohsd.net</t>
  </si>
  <si>
    <t>360.279.5153</t>
  </si>
  <si>
    <t>Janice  Gaare</t>
  </si>
  <si>
    <t>jgaare@ohsd.net</t>
  </si>
  <si>
    <t>360.279.5071</t>
  </si>
  <si>
    <t>North Whidbey Middle School</t>
  </si>
  <si>
    <t>67 NE Izett St.</t>
  </si>
  <si>
    <t>Bill  Weinsheimer</t>
  </si>
  <si>
    <t>wweinsheimer@ohsd.net</t>
  </si>
  <si>
    <t>360.279.5510</t>
  </si>
  <si>
    <t>Hillcrest Elementary</t>
  </si>
  <si>
    <t>1500 NW 2nd Ave.</t>
  </si>
  <si>
    <t>Arnie  Otterbeck</t>
  </si>
  <si>
    <t>aotterbeck@ohsd.net</t>
  </si>
  <si>
    <t>360.279.5200</t>
  </si>
  <si>
    <t>Coupeville High School</t>
  </si>
  <si>
    <t>501 South Main Street</t>
  </si>
  <si>
    <t>98239-3516</t>
  </si>
  <si>
    <t>Duane  Baumann</t>
  </si>
  <si>
    <t>dbaumann@coupeville.k12.wa.us</t>
  </si>
  <si>
    <t>360.678.2410</t>
  </si>
  <si>
    <t>Coupeville Elementary School</t>
  </si>
  <si>
    <t>6 South Main Street</t>
  </si>
  <si>
    <t>David  Ebersole</t>
  </si>
  <si>
    <t>debersole@coupeville.k12.wa.us</t>
  </si>
  <si>
    <t>360.678.2471</t>
  </si>
  <si>
    <t>Coupeville Middle School</t>
  </si>
  <si>
    <t>GEOFF  KAPPES</t>
  </si>
  <si>
    <t>gkappes@coupeville.k12.wa.us</t>
  </si>
  <si>
    <t>360.678.2411</t>
  </si>
  <si>
    <t>South Whidbey School District</t>
  </si>
  <si>
    <t>South Whidbey Academy</t>
  </si>
  <si>
    <t>5675 Maxwelton Road</t>
  </si>
  <si>
    <t>Langley</t>
  </si>
  <si>
    <t>John   Patton</t>
  </si>
  <si>
    <t>jpatton@sw.wednet.edu</t>
  </si>
  <si>
    <t>360.221.4300</t>
  </si>
  <si>
    <t>South Whidbey Special Services</t>
  </si>
  <si>
    <t>5520 Maxwelton Road</t>
  </si>
  <si>
    <t>98260-0346</t>
  </si>
  <si>
    <t>Dr. Jeff  Fankhauser</t>
  </si>
  <si>
    <t>jfankhauser@sw.wednet.edu</t>
  </si>
  <si>
    <t>360.221.6100</t>
  </si>
  <si>
    <t>South Whidbey Middle</t>
  </si>
  <si>
    <t>98260-0370</t>
  </si>
  <si>
    <t>James  Swanson</t>
  </si>
  <si>
    <t>jswanson@sw.wednet.edu</t>
  </si>
  <si>
    <t>360.221.6808 ext. 4625</t>
  </si>
  <si>
    <t>South Whidbey High School</t>
  </si>
  <si>
    <t>5675 Maxwelton</t>
  </si>
  <si>
    <t>98260-0390</t>
  </si>
  <si>
    <t>John  Patton</t>
  </si>
  <si>
    <t>South Whidbey Elementary</t>
  </si>
  <si>
    <t>5380 Maxwelton Rd</t>
  </si>
  <si>
    <t>98260-0308</t>
  </si>
  <si>
    <t>Mary  Thompson</t>
  </si>
  <si>
    <t>mthompson@sw.wednet.edu</t>
  </si>
  <si>
    <t>360.221.4600</t>
  </si>
  <si>
    <t>Queets-Clearwater School District</t>
  </si>
  <si>
    <t>Queets-Clearwater Elementary</t>
  </si>
  <si>
    <t>146000 HWY 101</t>
  </si>
  <si>
    <t>FORKS</t>
  </si>
  <si>
    <t>Michael  Ferguson</t>
  </si>
  <si>
    <t>mferguson@qcsd.wednet.edu</t>
  </si>
  <si>
    <t>360.962.2395</t>
  </si>
  <si>
    <t>Brinnon School District</t>
  </si>
  <si>
    <t>Brinnon Elementary</t>
  </si>
  <si>
    <t>46 SCHOOLHOUSE RD</t>
  </si>
  <si>
    <t>BRINNON</t>
  </si>
  <si>
    <t>Patricia  Beathard</t>
  </si>
  <si>
    <t>pbeathard@bsd46.org</t>
  </si>
  <si>
    <t>360.796.4646</t>
  </si>
  <si>
    <t>Quilcene School District</t>
  </si>
  <si>
    <t>Quilcene High And Elementary</t>
  </si>
  <si>
    <t>PO Box 40</t>
  </si>
  <si>
    <t>Quilcene</t>
  </si>
  <si>
    <t>98376-0040</t>
  </si>
  <si>
    <t>Sean  Moss</t>
  </si>
  <si>
    <t>smoss@qsd48.org</t>
  </si>
  <si>
    <t>360.765.2906</t>
  </si>
  <si>
    <t>PI Program</t>
  </si>
  <si>
    <t>98325-0278</t>
  </si>
  <si>
    <t>Jason  Lynch</t>
  </si>
  <si>
    <t>jason_lynch@csd49.org</t>
  </si>
  <si>
    <t>360.302.5858</t>
  </si>
  <si>
    <t>Chimacum Elementary School</t>
  </si>
  <si>
    <t>Chimacum Junior/Senior High School</t>
  </si>
  <si>
    <t>Chimacum Creek Primary School</t>
  </si>
  <si>
    <t>Kyle  Ehlis</t>
  </si>
  <si>
    <t>kyle_ehlis@csd49.org</t>
  </si>
  <si>
    <t>360.302.5823</t>
  </si>
  <si>
    <t>Port Townsend School District</t>
  </si>
  <si>
    <t>OCEAN</t>
  </si>
  <si>
    <t>3939 San Juan Ave.</t>
  </si>
  <si>
    <t>Port Townsend</t>
  </si>
  <si>
    <t>98368-7622</t>
  </si>
  <si>
    <t>Theresa  Campbell</t>
  </si>
  <si>
    <t>tcampbell@ptschools.org</t>
  </si>
  <si>
    <t>360.379.4540</t>
  </si>
  <si>
    <t>Port Townsend High School</t>
  </si>
  <si>
    <t>1500 Van Ness St</t>
  </si>
  <si>
    <t>98368-6346</t>
  </si>
  <si>
    <t>Carrie L. Ehrhardt</t>
  </si>
  <si>
    <t>cehrhardt@ptschools.org</t>
  </si>
  <si>
    <t>360.379.4520</t>
  </si>
  <si>
    <t>Salish Coast Elementary</t>
  </si>
  <si>
    <t>1637 Grant St</t>
  </si>
  <si>
    <t>Lisa  Condran</t>
  </si>
  <si>
    <t>lcondran@ptschools.org</t>
  </si>
  <si>
    <t>360.379.4535</t>
  </si>
  <si>
    <t>Blue Heron Middle School</t>
  </si>
  <si>
    <t>3939 San Juan Ave</t>
  </si>
  <si>
    <t>98368-3323</t>
  </si>
  <si>
    <t>Middle College High School</t>
  </si>
  <si>
    <t>401 NE Northgate Way</t>
  </si>
  <si>
    <t>#203</t>
  </si>
  <si>
    <t>SEATTLE</t>
  </si>
  <si>
    <t>Elizabeth  McFarland</t>
  </si>
  <si>
    <t>emmcfarland@seattleschools.org</t>
  </si>
  <si>
    <t>206.252.9905</t>
  </si>
  <si>
    <t>Tops K-8 School</t>
  </si>
  <si>
    <t>2500 FRANKLIN AV E</t>
  </si>
  <si>
    <t>98102-3264</t>
  </si>
  <si>
    <t>Amy  Schwentor</t>
  </si>
  <si>
    <t>alschwentor@seattleschools.org</t>
  </si>
  <si>
    <t>206.252.3510</t>
  </si>
  <si>
    <t>Seattle World School</t>
  </si>
  <si>
    <t>1700 East Union St.</t>
  </si>
  <si>
    <t>Bruno  Cross</t>
  </si>
  <si>
    <t>brcross@seattleschools.org</t>
  </si>
  <si>
    <t>206.252.2205</t>
  </si>
  <si>
    <t>Pathfinder K-8 School</t>
  </si>
  <si>
    <t>1901 SW Genesee St</t>
  </si>
  <si>
    <t>98106-0000</t>
  </si>
  <si>
    <t>David  Dockendorf</t>
  </si>
  <si>
    <t>ddockendorf@seattleschools.org</t>
  </si>
  <si>
    <t>206.252.9710</t>
  </si>
  <si>
    <t>Interagency Programs</t>
  </si>
  <si>
    <t>PO BOX 34165</t>
  </si>
  <si>
    <t>MS 33-155</t>
  </si>
  <si>
    <t>98124-1165</t>
  </si>
  <si>
    <t>Cascade Parent Partnership Program</t>
  </si>
  <si>
    <t>2919 1st Avenue West</t>
  </si>
  <si>
    <t>Owen  Gonder</t>
  </si>
  <si>
    <t>oigonder@seattleschools.org</t>
  </si>
  <si>
    <t>206.252.4720</t>
  </si>
  <si>
    <t>Salmon Bay K-8 School</t>
  </si>
  <si>
    <t>1810 NW 65 ST</t>
  </si>
  <si>
    <t>98117-5531</t>
  </si>
  <si>
    <t>Neil  Gerrans</t>
  </si>
  <si>
    <t>ntgerrans@seattleschools.org</t>
  </si>
  <si>
    <t>206.252.1720</t>
  </si>
  <si>
    <t>The Center School</t>
  </si>
  <si>
    <t>305 HARRISON ST</t>
  </si>
  <si>
    <t>98109-4623</t>
  </si>
  <si>
    <t>Barbara  Casey</t>
  </si>
  <si>
    <t>blcasey@seattleschools.org</t>
  </si>
  <si>
    <t>206.252.9855</t>
  </si>
  <si>
    <t>Green Lake Elementary School</t>
  </si>
  <si>
    <t>2400 N 65 ST</t>
  </si>
  <si>
    <t>98103-5412</t>
  </si>
  <si>
    <t>Shelley  Habenicht</t>
  </si>
  <si>
    <t>srhabenicht@seattleschools.org</t>
  </si>
  <si>
    <t>206.252.5325</t>
  </si>
  <si>
    <t>John Hay Elementary School</t>
  </si>
  <si>
    <t>201 GARFIELD ST</t>
  </si>
  <si>
    <t>98109-3177</t>
  </si>
  <si>
    <t>Nicole  Silver</t>
  </si>
  <si>
    <t>ncsilver@seattleschools.org</t>
  </si>
  <si>
    <t>206.252.2100</t>
  </si>
  <si>
    <t>Madrona K-5 School</t>
  </si>
  <si>
    <t>1121 33 AV</t>
  </si>
  <si>
    <t>98122-5129</t>
  </si>
  <si>
    <t>Mary  McDaniel</t>
  </si>
  <si>
    <t>mamcdaniel@seattleschools.org</t>
  </si>
  <si>
    <t>206.252.3100</t>
  </si>
  <si>
    <t>Beacon Hill International School</t>
  </si>
  <si>
    <t>2025 14 AV S</t>
  </si>
  <si>
    <t>98144-4205</t>
  </si>
  <si>
    <t>Katie  Virga</t>
  </si>
  <si>
    <t>kavirga@seattleschools.org</t>
  </si>
  <si>
    <t>206.252.2700</t>
  </si>
  <si>
    <t>1242 18 AV E</t>
  </si>
  <si>
    <t>98112-3321</t>
  </si>
  <si>
    <t>RJ  Sammons</t>
  </si>
  <si>
    <t>rjsammons@seattleschools.org</t>
  </si>
  <si>
    <t>206.252.3400</t>
  </si>
  <si>
    <t>John Stanford International School</t>
  </si>
  <si>
    <t>4057 5 AV NE</t>
  </si>
  <si>
    <t>98105-6556</t>
  </si>
  <si>
    <t>Sarah  Jones</t>
  </si>
  <si>
    <t>sajones1@seattleschools.org</t>
  </si>
  <si>
    <t>206.252.6080</t>
  </si>
  <si>
    <t>Martin Luther King Jr. Elementary School</t>
  </si>
  <si>
    <t>6725 45 AVE S</t>
  </si>
  <si>
    <t>Trish  Nesbitt</t>
  </si>
  <si>
    <t>plnesbitt@seattleschools.org</t>
  </si>
  <si>
    <t>206.252.6770</t>
  </si>
  <si>
    <t>Frantz Coe Elementary School</t>
  </si>
  <si>
    <t>2424 7 AV W</t>
  </si>
  <si>
    <t>98119-2513</t>
  </si>
  <si>
    <t>Virginia   Turner</t>
  </si>
  <si>
    <t>vkturner@seattleschools.org</t>
  </si>
  <si>
    <t>206.252.2000</t>
  </si>
  <si>
    <t>Whittier Elementary School</t>
  </si>
  <si>
    <t>1320 NW 75 ST</t>
  </si>
  <si>
    <t>98117-5318</t>
  </si>
  <si>
    <t>Stephanie  Clark</t>
  </si>
  <si>
    <t>stclark@seattleschools.org</t>
  </si>
  <si>
    <t>206.252.1650</t>
  </si>
  <si>
    <t>Emerson Elementary School</t>
  </si>
  <si>
    <t>9709 60 AV S</t>
  </si>
  <si>
    <t>98118-5818</t>
  </si>
  <si>
    <t>Erin C Rasmussen</t>
  </si>
  <si>
    <t>ecrasmussen@seattleschools.org</t>
  </si>
  <si>
    <t>206.252.7100</t>
  </si>
  <si>
    <t>Rising Star Elementary School</t>
  </si>
  <si>
    <t>8311 BEACON AV S</t>
  </si>
  <si>
    <t>98108-3915</t>
  </si>
  <si>
    <t>Huyen  Lam</t>
  </si>
  <si>
    <t>htlam@seattleschools.org</t>
  </si>
  <si>
    <t>206.252.7505</t>
  </si>
  <si>
    <t>Leschi Elementary School</t>
  </si>
  <si>
    <t>135 32 AV</t>
  </si>
  <si>
    <t>98122-6325</t>
  </si>
  <si>
    <t>Stephen  Liu</t>
  </si>
  <si>
    <t>swliu@seattleschools.org</t>
  </si>
  <si>
    <t>206.252.2950</t>
  </si>
  <si>
    <t>Greenwood Elementary School</t>
  </si>
  <si>
    <t>144 NW 80 ST</t>
  </si>
  <si>
    <t>98117-3052</t>
  </si>
  <si>
    <t>Zac  Stowell</t>
  </si>
  <si>
    <t>zwstowell@seattleschools.org</t>
  </si>
  <si>
    <t>206.252.1400</t>
  </si>
  <si>
    <t>Adams Elementary School</t>
  </si>
  <si>
    <t>6110 28 AV NW</t>
  </si>
  <si>
    <t>98107-5314</t>
  </si>
  <si>
    <t>Douglas  Sohn</t>
  </si>
  <si>
    <t>dosohn@seattleschools.org</t>
  </si>
  <si>
    <t>206.252.1305</t>
  </si>
  <si>
    <t>Gatewood Elementary School</t>
  </si>
  <si>
    <t>4320 SW MYRTLE ST</t>
  </si>
  <si>
    <t>98136-1752</t>
  </si>
  <si>
    <t>Kyna  Hogg</t>
  </si>
  <si>
    <t>kkhogg@seattleschools.org</t>
  </si>
  <si>
    <t>206.252.9400</t>
  </si>
  <si>
    <t>Thurgood Marshall Elementary</t>
  </si>
  <si>
    <t>2401 S IRVING ST</t>
  </si>
  <si>
    <t>98144-3727</t>
  </si>
  <si>
    <t>Katie  May</t>
  </si>
  <si>
    <t>kjmay1@seattleschools.org</t>
  </si>
  <si>
    <t>206.252.2800</t>
  </si>
  <si>
    <t>West Woodland Elementary School</t>
  </si>
  <si>
    <t>5601 4 AV NW</t>
  </si>
  <si>
    <t>98107-2718</t>
  </si>
  <si>
    <t>Farah  Thaxton</t>
  </si>
  <si>
    <t>fgthaxton@seattleschools.org</t>
  </si>
  <si>
    <t>206.252.1600</t>
  </si>
  <si>
    <t>John Muir Elementary School</t>
  </si>
  <si>
    <t>3301 S HORTON ST</t>
  </si>
  <si>
    <t>98144-6917</t>
  </si>
  <si>
    <t>Brenda  Ball Cuthbertson</t>
  </si>
  <si>
    <t>bmballcuthbe@seattleschools.org</t>
  </si>
  <si>
    <t>206.252.7400</t>
  </si>
  <si>
    <t>Alki Elementary School</t>
  </si>
  <si>
    <t>3010 59 AV SW</t>
  </si>
  <si>
    <t>98116-2820</t>
  </si>
  <si>
    <t>Mason  Skeffington</t>
  </si>
  <si>
    <t>meskeffington@seattleschools.org</t>
  </si>
  <si>
    <t>206.252.9050</t>
  </si>
  <si>
    <t>Franklin High School</t>
  </si>
  <si>
    <t>3013 S MT BAKER BV</t>
  </si>
  <si>
    <t>98144-6139</t>
  </si>
  <si>
    <t>Andrew  O'Connell</t>
  </si>
  <si>
    <t>amoconnell@seattleschools.org</t>
  </si>
  <si>
    <t>206.252.6155</t>
  </si>
  <si>
    <t>Lawton Elementary School</t>
  </si>
  <si>
    <t>4000 27 AV W</t>
  </si>
  <si>
    <t>98199-1502</t>
  </si>
  <si>
    <t>Allison  Deno</t>
  </si>
  <si>
    <t>andeno@seattleschools.org</t>
  </si>
  <si>
    <t>206.252.2135</t>
  </si>
  <si>
    <t>Concord International School</t>
  </si>
  <si>
    <t>723 S CONCORD ST</t>
  </si>
  <si>
    <t>98108-4641</t>
  </si>
  <si>
    <t>Miguel  Sansalone</t>
  </si>
  <si>
    <t>misansalone@seattleschools.org</t>
  </si>
  <si>
    <t>206.252.8105</t>
  </si>
  <si>
    <t>McGilvra Elementary School</t>
  </si>
  <si>
    <t>1617 38 AV E</t>
  </si>
  <si>
    <t>98112-2845</t>
  </si>
  <si>
    <t>Maria  Breuder</t>
  </si>
  <si>
    <t>mebreuder@seattleschools.org</t>
  </si>
  <si>
    <t>206.252.3160</t>
  </si>
  <si>
    <t>Broadview-Thomson K-8 School</t>
  </si>
  <si>
    <t>13052 GREENWOOD AV N</t>
  </si>
  <si>
    <t>98133-7309</t>
  </si>
  <si>
    <t>Tipton  Blish</t>
  </si>
  <si>
    <t>tiblish@seattleschools.org</t>
  </si>
  <si>
    <t>206.252.4080</t>
  </si>
  <si>
    <t>Ballard High School</t>
  </si>
  <si>
    <t>1418 NW 65 ST</t>
  </si>
  <si>
    <t>98117-5237</t>
  </si>
  <si>
    <t>Keven  Wynkoop</t>
  </si>
  <si>
    <t>kswynkoop@seattleschools.org</t>
  </si>
  <si>
    <t>206.252.1000</t>
  </si>
  <si>
    <t>West Seattle High School</t>
  </si>
  <si>
    <t>3000 CALIFORNIA AV SW</t>
  </si>
  <si>
    <t>98116-3302</t>
  </si>
  <si>
    <t>Brian  Vance</t>
  </si>
  <si>
    <t>brvance@seattleschools.org</t>
  </si>
  <si>
    <t>206.252.8805</t>
  </si>
  <si>
    <t>Olympic View Elementary School</t>
  </si>
  <si>
    <t>504 NE 95 ST</t>
  </si>
  <si>
    <t>98115-2128</t>
  </si>
  <si>
    <t>Andrew  Bean</t>
  </si>
  <si>
    <t>ajbean@seattleschools.org</t>
  </si>
  <si>
    <t>206.252.5500</t>
  </si>
  <si>
    <t>Highland Park Elementary School</t>
  </si>
  <si>
    <t>1012 SW TRENTON ST</t>
  </si>
  <si>
    <t>98106-2421</t>
  </si>
  <si>
    <t>Adam  Dysart</t>
  </si>
  <si>
    <t>addysart@seattleschools.org</t>
  </si>
  <si>
    <t>206.252.8245</t>
  </si>
  <si>
    <t>Roosevelt High School</t>
  </si>
  <si>
    <t xml:space="preserve">1410 NE 66 ST </t>
  </si>
  <si>
    <t>98115-6744</t>
  </si>
  <si>
    <t>Kristina  Rodgers</t>
  </si>
  <si>
    <t>karodgers@seattleschools.org</t>
  </si>
  <si>
    <t>206.252.4815</t>
  </si>
  <si>
    <t>Garfield High School</t>
  </si>
  <si>
    <t>400 23 Ave</t>
  </si>
  <si>
    <t>98122-4928</t>
  </si>
  <si>
    <t>Ted  Howard II</t>
  </si>
  <si>
    <t>thoward@seattleschools.org</t>
  </si>
  <si>
    <t>206.252.2270</t>
  </si>
  <si>
    <t>Bailey Gatzert Elementary School</t>
  </si>
  <si>
    <t>1301 E YESLER WY</t>
  </si>
  <si>
    <t>98122-5430</t>
  </si>
  <si>
    <t>Ronnie  Belle</t>
  </si>
  <si>
    <t>mjbelle@seattleschools.org</t>
  </si>
  <si>
    <t>206.252.2815</t>
  </si>
  <si>
    <t>Dunlap Elementary School</t>
  </si>
  <si>
    <t>4525 S CLOVERDALE ST</t>
  </si>
  <si>
    <t>98118-4905</t>
  </si>
  <si>
    <t>Tonie  Talbert</t>
  </si>
  <si>
    <t>tmtalbert@seattleschools.org</t>
  </si>
  <si>
    <t>206.252.7000</t>
  </si>
  <si>
    <t>Montlake Elementary School</t>
  </si>
  <si>
    <t>2409 22 AV E</t>
  </si>
  <si>
    <t>98112-2646</t>
  </si>
  <si>
    <t>Julie  Pearson</t>
  </si>
  <si>
    <t>jepearson@seattleschools.org</t>
  </si>
  <si>
    <t>206.252.3305</t>
  </si>
  <si>
    <t>Maple Elementary School</t>
  </si>
  <si>
    <t>4925 CORSON AV S</t>
  </si>
  <si>
    <t>98108-1834</t>
  </si>
  <si>
    <t>Christy  Bowman-White</t>
  </si>
  <si>
    <t>cabowmanwhit@seattleschools.org</t>
  </si>
  <si>
    <t>206.252.8315</t>
  </si>
  <si>
    <t>Hamilton International Middle School</t>
  </si>
  <si>
    <t>1610 N 41 ST</t>
  </si>
  <si>
    <t>98103-8212</t>
  </si>
  <si>
    <t>Dorian  Manza</t>
  </si>
  <si>
    <t>dcmanza@seattleschools.org</t>
  </si>
  <si>
    <t>206.252.5810</t>
  </si>
  <si>
    <t>Bryant Elementary School</t>
  </si>
  <si>
    <t>3311 NE 60 ST</t>
  </si>
  <si>
    <t>98115-7318</t>
  </si>
  <si>
    <t>Charmaine  Marshall</t>
  </si>
  <si>
    <t>ccmarshall@seattleschools.org</t>
  </si>
  <si>
    <t>206.252.5200</t>
  </si>
  <si>
    <t>Cleveland High School STEM</t>
  </si>
  <si>
    <t>5511 15 AVE S</t>
  </si>
  <si>
    <t>98108-2823</t>
  </si>
  <si>
    <t>George  Breland</t>
  </si>
  <si>
    <t>glbreland@seattleschools.org</t>
  </si>
  <si>
    <t>206.252.7800</t>
  </si>
  <si>
    <t>Madison Middle School</t>
  </si>
  <si>
    <t>3429 45 Ave SW</t>
  </si>
  <si>
    <t>98116-3330</t>
  </si>
  <si>
    <t>Robert  Gary</t>
  </si>
  <si>
    <t>rgary@seattleschools.org</t>
  </si>
  <si>
    <t>206.252.9200</t>
  </si>
  <si>
    <t>Laurelhurst Elementary School</t>
  </si>
  <si>
    <t>4530 46 AV NE</t>
  </si>
  <si>
    <t>98105-3812</t>
  </si>
  <si>
    <t>Tim  Snyder</t>
  </si>
  <si>
    <t>tjsnyder@seattleschools.org</t>
  </si>
  <si>
    <t>206.252.5405</t>
  </si>
  <si>
    <t>Daniel Bagley Elementary School</t>
  </si>
  <si>
    <t>7821 STONE AV N</t>
  </si>
  <si>
    <t>98103-4835</t>
  </si>
  <si>
    <t>Carla  Holmes</t>
  </si>
  <si>
    <t>ceholmes1@seattleschools.org</t>
  </si>
  <si>
    <t>206.252.5110</t>
  </si>
  <si>
    <t>Loyal Heights Elementary School</t>
  </si>
  <si>
    <t>520 NE RAVENNA BLVD</t>
  </si>
  <si>
    <t>98115-6460</t>
  </si>
  <si>
    <t>Geri Y Guerrero</t>
  </si>
  <si>
    <t>gguerrero@seattleschools.org</t>
  </si>
  <si>
    <t>206.252.7220</t>
  </si>
  <si>
    <t>West Seattle Elementary School</t>
  </si>
  <si>
    <t>6760 34 AV SW</t>
  </si>
  <si>
    <t>98126-4208</t>
  </si>
  <si>
    <t>Pamela  McCowan-Conyers</t>
  </si>
  <si>
    <t>pkmccowancon@seattleschools.org</t>
  </si>
  <si>
    <t>206.252.9450</t>
  </si>
  <si>
    <t>View Ridge Elementary School</t>
  </si>
  <si>
    <t>7047 50 AV NE</t>
  </si>
  <si>
    <t>98115-6127</t>
  </si>
  <si>
    <t>Ed  Roos</t>
  </si>
  <si>
    <t>ejroos@seattleschools.org</t>
  </si>
  <si>
    <t>206.252.5605</t>
  </si>
  <si>
    <t>Eckstein Middle School</t>
  </si>
  <si>
    <t>3003 NE 75 ST</t>
  </si>
  <si>
    <t>98115-4709</t>
  </si>
  <si>
    <t>Kristin  Rose</t>
  </si>
  <si>
    <t>kprose@seattleschools.org</t>
  </si>
  <si>
    <t>206.252.5015</t>
  </si>
  <si>
    <t>Arbor Heights Elementary School</t>
  </si>
  <si>
    <t>3701 SW 104th Street</t>
  </si>
  <si>
    <t>Christy  Collins</t>
  </si>
  <si>
    <t>cacollins@seattleschools.org</t>
  </si>
  <si>
    <t>206.252.9250</t>
  </si>
  <si>
    <t>Lafayette Elementary School</t>
  </si>
  <si>
    <t>2645 CALIFORNIA AV SW</t>
  </si>
  <si>
    <t>98116-2404</t>
  </si>
  <si>
    <t>Cynthia  Chaput</t>
  </si>
  <si>
    <t>cpchaput@seattleschools.org</t>
  </si>
  <si>
    <t>206.252.9500</t>
  </si>
  <si>
    <t>Catharine Blaine K-8 School</t>
  </si>
  <si>
    <t>2550 34 AV W</t>
  </si>
  <si>
    <t>98199-3240</t>
  </si>
  <si>
    <t>Ryan  LaDage</t>
  </si>
  <si>
    <t>rtladage@seattleschools.org</t>
  </si>
  <si>
    <t>206.252.1925</t>
  </si>
  <si>
    <t>David T. Denny International Middle School</t>
  </si>
  <si>
    <t>2601 SW Kenyon St</t>
  </si>
  <si>
    <t>Jeff  Clark</t>
  </si>
  <si>
    <t>jclark@seattleschools.org</t>
  </si>
  <si>
    <t>(206) 252-9000</t>
  </si>
  <si>
    <t>John Rogers Elementary School</t>
  </si>
  <si>
    <t>4030 NE 109 ST</t>
  </si>
  <si>
    <t>98125-2549</t>
  </si>
  <si>
    <t>Brent  Ostbye</t>
  </si>
  <si>
    <t>boostbye@seattleschools.org</t>
  </si>
  <si>
    <t>206.252.4320</t>
  </si>
  <si>
    <t>Olympic Hills Elementary School</t>
  </si>
  <si>
    <t>13018 20 AV NE</t>
  </si>
  <si>
    <t>98125-4122</t>
  </si>
  <si>
    <t>Elizabeth C DeBell</t>
  </si>
  <si>
    <t>ecdebell@seattleschools.org</t>
  </si>
  <si>
    <t>206.252.8000</t>
  </si>
  <si>
    <t>Viewlands Elementary School</t>
  </si>
  <si>
    <t>10525 3 AV NW</t>
  </si>
  <si>
    <t>98177-4809</t>
  </si>
  <si>
    <t>Amy  Klainer</t>
  </si>
  <si>
    <t>ajklainer@seattleschools.org</t>
  </si>
  <si>
    <t>206.252.4405</t>
  </si>
  <si>
    <t>Wedgwood Elementary School</t>
  </si>
  <si>
    <t>2720 NE 85 ST</t>
  </si>
  <si>
    <t>98115-3446</t>
  </si>
  <si>
    <t>Christy  Smith</t>
  </si>
  <si>
    <t>clsmith2@seattleschools.org</t>
  </si>
  <si>
    <t>206.252.5670</t>
  </si>
  <si>
    <t>Northgate Elementary School</t>
  </si>
  <si>
    <t>11725 1 AV NE</t>
  </si>
  <si>
    <t>98125-4713</t>
  </si>
  <si>
    <t>Dedy G Fauntleroy</t>
  </si>
  <si>
    <t>dgfauntleroy@seattleschools.org</t>
  </si>
  <si>
    <t>206.252.1505</t>
  </si>
  <si>
    <t>9501 20 AV NE</t>
  </si>
  <si>
    <t>98115-2330</t>
  </si>
  <si>
    <t>Rachel   Friesen</t>
  </si>
  <si>
    <t>rlfriesen@seattleschools.org</t>
  </si>
  <si>
    <t>206.252.5550</t>
  </si>
  <si>
    <t>Mercer International Middle School</t>
  </si>
  <si>
    <t>1600 S COLUMBIAN WY</t>
  </si>
  <si>
    <t>98108-1565</t>
  </si>
  <si>
    <t>Cindy  Watters</t>
  </si>
  <si>
    <t>cjwatters@seattleschools.org</t>
  </si>
  <si>
    <t>206.252.8005</t>
  </si>
  <si>
    <t>Chief Sealth International High School</t>
  </si>
  <si>
    <t>2600 SW Thistle</t>
  </si>
  <si>
    <t>98126-3748</t>
  </si>
  <si>
    <t>Aida  Fraser-Hammer</t>
  </si>
  <si>
    <t>aifraserhamm@seattleschools.org</t>
  </si>
  <si>
    <t>206.252.8550</t>
  </si>
  <si>
    <t>Roxhill Elementary School</t>
  </si>
  <si>
    <t>7740 34th Ave SW</t>
  </si>
  <si>
    <t>98126-3963</t>
  </si>
  <si>
    <t>Tarra  Patrick</t>
  </si>
  <si>
    <t>tspatrick@seattleschools.org</t>
  </si>
  <si>
    <t>206.252.9570</t>
  </si>
  <si>
    <t>North Beach Elementary School</t>
  </si>
  <si>
    <t>9018 24 AV NW</t>
  </si>
  <si>
    <t>98117-2801</t>
  </si>
  <si>
    <t>Kristine  McLane</t>
  </si>
  <si>
    <t>kemclane@seattleschools.org</t>
  </si>
  <si>
    <t>206.252.1510</t>
  </si>
  <si>
    <t>Ingraham High School</t>
  </si>
  <si>
    <t>1819 N 135 ST</t>
  </si>
  <si>
    <t>98133-7709</t>
  </si>
  <si>
    <t>Martin  Floe</t>
  </si>
  <si>
    <t>mfloe@seattleschools.org</t>
  </si>
  <si>
    <t>(206) 252-3880</t>
  </si>
  <si>
    <t>Whitman Middle School</t>
  </si>
  <si>
    <t>9201 15 AV NW</t>
  </si>
  <si>
    <t>98117-2336</t>
  </si>
  <si>
    <t>Christina  Posten</t>
  </si>
  <si>
    <t>crposten@seattleschools.org</t>
  </si>
  <si>
    <t>206.252.1200</t>
  </si>
  <si>
    <t>Rainier Beach High School</t>
  </si>
  <si>
    <t>8815 SEWARD PARK AV S</t>
  </si>
  <si>
    <t>98118-4743</t>
  </si>
  <si>
    <t>Keith  Smith</t>
  </si>
  <si>
    <t>klsmith@seattleschools.org</t>
  </si>
  <si>
    <t>206.252.6350</t>
  </si>
  <si>
    <t>Graham Hill Elementary School</t>
  </si>
  <si>
    <t>5149 S GRAHAM ST</t>
  </si>
  <si>
    <t>98118-2938</t>
  </si>
  <si>
    <t>Reena  Deese</t>
  </si>
  <si>
    <t>rskido@seattleschools.org</t>
  </si>
  <si>
    <t>206.252.7140</t>
  </si>
  <si>
    <t>11650 BEACON AV S</t>
  </si>
  <si>
    <t>98178-2881</t>
  </si>
  <si>
    <t>Anitra  Pinchback-Jones</t>
  </si>
  <si>
    <t>alpinchback@seattleschools.org</t>
  </si>
  <si>
    <t>206.252.6700</t>
  </si>
  <si>
    <t>Genesee Hill Elementary</t>
  </si>
  <si>
    <t>5013 SW Dakota Street</t>
  </si>
  <si>
    <t>Gerrit  Kischner</t>
  </si>
  <si>
    <t>gakischner@seattleschools.org</t>
  </si>
  <si>
    <t>206.252.9700</t>
  </si>
  <si>
    <t>Kimball Elementary School</t>
  </si>
  <si>
    <t>3200 23 AV S</t>
  </si>
  <si>
    <t>98144-6432</t>
  </si>
  <si>
    <t>Melissa  Gray</t>
  </si>
  <si>
    <t>mggray@seattleschools.org</t>
  </si>
  <si>
    <t>206.252.7280</t>
  </si>
  <si>
    <t>Nathan Hale High School</t>
  </si>
  <si>
    <t>10750 30 AV NE</t>
  </si>
  <si>
    <t>98125-7937</t>
  </si>
  <si>
    <t>Jill   Hudson</t>
  </si>
  <si>
    <t>jshudson@seattleschools.org</t>
  </si>
  <si>
    <t>206.252.3680</t>
  </si>
  <si>
    <t>McClure Middle School</t>
  </si>
  <si>
    <t>1915 1 AV W</t>
  </si>
  <si>
    <t>98119-2601</t>
  </si>
  <si>
    <t>Shannon  Conner</t>
  </si>
  <si>
    <t>smconner@seattleschools.org</t>
  </si>
  <si>
    <t>206.252.1900</t>
  </si>
  <si>
    <t>Fairmount Park Elementary School</t>
  </si>
  <si>
    <t>3800 SW FINDLAY ST</t>
  </si>
  <si>
    <t>98126-2845</t>
  </si>
  <si>
    <t>Julie  Breidenbach</t>
  </si>
  <si>
    <t>jabreidenbach@seattleschools.org</t>
  </si>
  <si>
    <t>Wing Luke Elementary School</t>
  </si>
  <si>
    <t>3701 S KENYON ST</t>
  </si>
  <si>
    <t>98118-4252</t>
  </si>
  <si>
    <t>Carol  Mendoza</t>
  </si>
  <si>
    <t>cdmendoza@seattleschools.org</t>
  </si>
  <si>
    <t>206.252.7630</t>
  </si>
  <si>
    <t>Sanislo Elementary School</t>
  </si>
  <si>
    <t>1812 SW MYRTLE ST</t>
  </si>
  <si>
    <t>98106-1644</t>
  </si>
  <si>
    <t>Erika  Ayer</t>
  </si>
  <si>
    <t>ejayer@seattleschools.org</t>
  </si>
  <si>
    <t>206.252.8380</t>
  </si>
  <si>
    <t>Lowell Elementary School</t>
  </si>
  <si>
    <t>1058 E MERCER ST</t>
  </si>
  <si>
    <t>98102-5032</t>
  </si>
  <si>
    <t>Sarah  Talbot</t>
  </si>
  <si>
    <t>smtalbot@seattleschools.org</t>
  </si>
  <si>
    <t>B F Day Elementary School</t>
  </si>
  <si>
    <t>3921 LINDEN AV N</t>
  </si>
  <si>
    <t>98103-7803</t>
  </si>
  <si>
    <t>Stan  Jaskot</t>
  </si>
  <si>
    <t>scjaskot@seattleschools.org</t>
  </si>
  <si>
    <t>206.252.6010</t>
  </si>
  <si>
    <t>Aki Kurose Middle School</t>
  </si>
  <si>
    <t>3928 S GRAHAM ST</t>
  </si>
  <si>
    <t>98118-3172</t>
  </si>
  <si>
    <t>Caine  Lowery</t>
  </si>
  <si>
    <t>calowery@seattleschools.org</t>
  </si>
  <si>
    <t>206.252.7705</t>
  </si>
  <si>
    <t>South Lake High School</t>
  </si>
  <si>
    <t>8601 Rainier Ave S</t>
  </si>
  <si>
    <t>98118-4631</t>
  </si>
  <si>
    <t>Laura  Davis-Brown</t>
  </si>
  <si>
    <t>lldavisbrown@seattleschools.org</t>
  </si>
  <si>
    <t>206.252.6600</t>
  </si>
  <si>
    <t>Dearborn Park International School</t>
  </si>
  <si>
    <t>2820 S ORCAS ST</t>
  </si>
  <si>
    <t>98108-3066</t>
  </si>
  <si>
    <t>Jessica  Conte</t>
  </si>
  <si>
    <t>jkconte@seattleschools.org</t>
  </si>
  <si>
    <t>206.252.6935</t>
  </si>
  <si>
    <t>Nova High School</t>
  </si>
  <si>
    <t>301 21st Avenue East</t>
  </si>
  <si>
    <t>98122-5364</t>
  </si>
  <si>
    <t>Eyva  Winet</t>
  </si>
  <si>
    <t>edwinet@seattleschools.org</t>
  </si>
  <si>
    <t>206.252.3500</t>
  </si>
  <si>
    <t>Licton Springs K-8</t>
  </si>
  <si>
    <t>1330 N 90th Street</t>
  </si>
  <si>
    <t>Emily  Butler-Ginolfi</t>
  </si>
  <si>
    <t>eabutlergino@seattlschools.org</t>
  </si>
  <si>
    <t>206.413.2400</t>
  </si>
  <si>
    <t>Thornton Creek Elementary School</t>
  </si>
  <si>
    <t>7712 40th Ave NE</t>
  </si>
  <si>
    <t>Douglas  Ouellette</t>
  </si>
  <si>
    <t>dcouellette@seattleschools.org</t>
  </si>
  <si>
    <t>206.252.5305</t>
  </si>
  <si>
    <t>Washington Middle School</t>
  </si>
  <si>
    <t>2101 S JACKSON ST</t>
  </si>
  <si>
    <t>98144-2226</t>
  </si>
  <si>
    <t>Katrina  Hunt</t>
  </si>
  <si>
    <t>kmhunt@seattleschools.org</t>
  </si>
  <si>
    <t>206.252.2605</t>
  </si>
  <si>
    <t>Orca K-8 School</t>
  </si>
  <si>
    <t>5215 46 AVE S</t>
  </si>
  <si>
    <t>98118-2313</t>
  </si>
  <si>
    <t>Tami  Beach</t>
  </si>
  <si>
    <t>trbeach@seattleschools.org</t>
  </si>
  <si>
    <t>206.252.6900</t>
  </si>
  <si>
    <t>South Shore PK-8 School</t>
  </si>
  <si>
    <t>4800 S Henderson St</t>
  </si>
  <si>
    <t>98118-1734</t>
  </si>
  <si>
    <t>Justin  Hendrickson</t>
  </si>
  <si>
    <t>jbhendrickso@seattleschools.org</t>
  </si>
  <si>
    <t>206.252.7597</t>
  </si>
  <si>
    <t>Hawthorne Elementary School - Seattle</t>
  </si>
  <si>
    <t>4100 39 AV S</t>
  </si>
  <si>
    <t>98118-1320</t>
  </si>
  <si>
    <t>Sandra  Scott</t>
  </si>
  <si>
    <t>sjscott@seattleschools.org</t>
  </si>
  <si>
    <t>206.252.7210</t>
  </si>
  <si>
    <t>Residential Consortium</t>
  </si>
  <si>
    <t>2142 10 AV W</t>
  </si>
  <si>
    <t>98119-2845</t>
  </si>
  <si>
    <t>Martha  Lawson</t>
  </si>
  <si>
    <t>mlawson@seattleschools.org</t>
  </si>
  <si>
    <t>206.252.0883</t>
  </si>
  <si>
    <t>Internet Academy</t>
  </si>
  <si>
    <t>253.945.2230</t>
  </si>
  <si>
    <t>Federal Way Public Academy</t>
  </si>
  <si>
    <t>34620 9TH AV S</t>
  </si>
  <si>
    <t>98003-6731</t>
  </si>
  <si>
    <t>Kurt  Lauer</t>
  </si>
  <si>
    <t>kulauer@fwps.org</t>
  </si>
  <si>
    <t>253.945.3270</t>
  </si>
  <si>
    <t>Federal Way High School</t>
  </si>
  <si>
    <t>30611 16TH AV S</t>
  </si>
  <si>
    <t>98003-4126</t>
  </si>
  <si>
    <t>Matt  Oberst</t>
  </si>
  <si>
    <t>moberst@fwps.org</t>
  </si>
  <si>
    <t>253.945.5400</t>
  </si>
  <si>
    <t>Lakeland Elementary School</t>
  </si>
  <si>
    <t>35827 32ND AV S</t>
  </si>
  <si>
    <t>98001-9327</t>
  </si>
  <si>
    <t>Ra'Jeanna  Conerly</t>
  </si>
  <si>
    <t>rconerly@fwps.org</t>
  </si>
  <si>
    <t>253.945.3000</t>
  </si>
  <si>
    <t>Mirror Lake Elementary School</t>
  </si>
  <si>
    <t>625 S 314TH ST</t>
  </si>
  <si>
    <t>98003-5214</t>
  </si>
  <si>
    <t>Natalee  Daniels</t>
  </si>
  <si>
    <t>ndaniels@fwps.org</t>
  </si>
  <si>
    <t>253.945.3300</t>
  </si>
  <si>
    <t>Star Lake Elementary School</t>
  </si>
  <si>
    <t>4014 S 270TH</t>
  </si>
  <si>
    <t>KENT</t>
  </si>
  <si>
    <t>98031-7139</t>
  </si>
  <si>
    <t>Kris  Rennie</t>
  </si>
  <si>
    <t>krennie@fwps.org</t>
  </si>
  <si>
    <t>253.945.4000</t>
  </si>
  <si>
    <t>Woodmont K-8 School</t>
  </si>
  <si>
    <t>26454 16TH AV S</t>
  </si>
  <si>
    <t>DES MOINES</t>
  </si>
  <si>
    <t>98198-9325</t>
  </si>
  <si>
    <t>jnevin@fwps.org</t>
  </si>
  <si>
    <t>253.945.4500</t>
  </si>
  <si>
    <t>Panther Lake Elementary School</t>
  </si>
  <si>
    <t>34424 1ST AV S</t>
  </si>
  <si>
    <t>98003-6501</t>
  </si>
  <si>
    <t>T.J.  Bell-Davis</t>
  </si>
  <si>
    <t>tbelldavis@fwps.org</t>
  </si>
  <si>
    <t>253.945.3600</t>
  </si>
  <si>
    <t>Lakota Middle School</t>
  </si>
  <si>
    <t>1415 SW 314TH ST</t>
  </si>
  <si>
    <t>98023-4521</t>
  </si>
  <si>
    <t>Angela  Williamson</t>
  </si>
  <si>
    <t>anwillia@fwps.org</t>
  </si>
  <si>
    <t>253.945.4800</t>
  </si>
  <si>
    <t>Totem Middle School</t>
  </si>
  <si>
    <t>26630 40TH AVE S</t>
  </si>
  <si>
    <t>98031-7017</t>
  </si>
  <si>
    <t>Shana  Watkins</t>
  </si>
  <si>
    <t>swatkins@fwps.org</t>
  </si>
  <si>
    <t>253.945.5100</t>
  </si>
  <si>
    <t>2626 SW 327TH ST</t>
  </si>
  <si>
    <t>98023-2535</t>
  </si>
  <si>
    <t>Chris  McCrummen</t>
  </si>
  <si>
    <t>cmccrumm@fwps.org</t>
  </si>
  <si>
    <t>253.945.3500</t>
  </si>
  <si>
    <t>Adelaide Elementary School</t>
  </si>
  <si>
    <t>1635 SW 304th ST</t>
  </si>
  <si>
    <t>98023-3431</t>
  </si>
  <si>
    <t>Andrea  Tee</t>
  </si>
  <si>
    <t>atee@fwps.org</t>
  </si>
  <si>
    <t>253.945.2300</t>
  </si>
  <si>
    <t>Camelot Elementary School</t>
  </si>
  <si>
    <t>4041 S 298TH</t>
  </si>
  <si>
    <t>98001-1581</t>
  </si>
  <si>
    <t>Andre  Koch</t>
  </si>
  <si>
    <t>akoch@fwps.org</t>
  </si>
  <si>
    <t>253.945.2500</t>
  </si>
  <si>
    <t>Sunnycrest Elementary School</t>
  </si>
  <si>
    <t>24629 42ND AV S</t>
  </si>
  <si>
    <t>98032-4197</t>
  </si>
  <si>
    <t>Kelly  Maloney</t>
  </si>
  <si>
    <t>kmaloney@fwps.org</t>
  </si>
  <si>
    <t>253.945.4100</t>
  </si>
  <si>
    <t>Lake Grove Elementary School</t>
  </si>
  <si>
    <t>303 SW 308TH ST</t>
  </si>
  <si>
    <t>98023-3957</t>
  </si>
  <si>
    <t>Yolanda  Heidelberg</t>
  </si>
  <si>
    <t>yheidelb@fwps.org</t>
  </si>
  <si>
    <t>253.945.2900</t>
  </si>
  <si>
    <t>Valhalla Elementary School</t>
  </si>
  <si>
    <t>27847 42ND AV S</t>
  </si>
  <si>
    <t>98001-1120</t>
  </si>
  <si>
    <t>Erika  Rudnicki</t>
  </si>
  <si>
    <t>erudnick@fwps.org</t>
  </si>
  <si>
    <t>253.945.4300</t>
  </si>
  <si>
    <t>Wildwood Elementary School</t>
  </si>
  <si>
    <t>2405 S 300TH ST</t>
  </si>
  <si>
    <t>98003-4225</t>
  </si>
  <si>
    <t>Sarah  Jackson</t>
  </si>
  <si>
    <t>sjackson@fwps.org</t>
  </si>
  <si>
    <t>253.945.4400</t>
  </si>
  <si>
    <t>Thomas Jefferson High School</t>
  </si>
  <si>
    <t>4248 S 288TH ST</t>
  </si>
  <si>
    <t>98001-2820</t>
  </si>
  <si>
    <t>Adrienne  Chacon</t>
  </si>
  <si>
    <t>achacon@fwps.org</t>
  </si>
  <si>
    <t>253.945.5600</t>
  </si>
  <si>
    <t>Nautilus K-8 School</t>
  </si>
  <si>
    <t>1000 S 289TH ST</t>
  </si>
  <si>
    <t>98003-8256</t>
  </si>
  <si>
    <t>Stacy  Lucas</t>
  </si>
  <si>
    <t>slucas@fwps.org</t>
  </si>
  <si>
    <t>253.945.3400</t>
  </si>
  <si>
    <t>Sacajawea Middle School</t>
  </si>
  <si>
    <t>1101 S DASH POINT RD</t>
  </si>
  <si>
    <t>98003-3735</t>
  </si>
  <si>
    <t>ddennis@fwps.org</t>
  </si>
  <si>
    <t>253.945.4900</t>
  </si>
  <si>
    <t>Mark Twain Elementary School</t>
  </si>
  <si>
    <t>2450 S STAR LAKE RD</t>
  </si>
  <si>
    <t>98003-6977</t>
  </si>
  <si>
    <t>Tess  Johnson</t>
  </si>
  <si>
    <t>tejohnso@fwps.org</t>
  </si>
  <si>
    <t>253.945.3100</t>
  </si>
  <si>
    <t>Twin Lakes Elementary School</t>
  </si>
  <si>
    <t>4400 SW 320TH ST</t>
  </si>
  <si>
    <t>98023-2426</t>
  </si>
  <si>
    <t>Anne  Plenkovich</t>
  </si>
  <si>
    <t>aplenkov@fwps.org</t>
  </si>
  <si>
    <t>253.945.4200</t>
  </si>
  <si>
    <t>Brigadoon Elementary School</t>
  </si>
  <si>
    <t>3601 SW 336th ST</t>
  </si>
  <si>
    <t>98023-2929</t>
  </si>
  <si>
    <t>Vicki  Lopez</t>
  </si>
  <si>
    <t>vlopez@fwps.org</t>
  </si>
  <si>
    <t>253.945.2400</t>
  </si>
  <si>
    <t>Kilo Middle School</t>
  </si>
  <si>
    <t>4400 S 308TH ST</t>
  </si>
  <si>
    <t>98001-2640</t>
  </si>
  <si>
    <t>Margaret  Peterson</t>
  </si>
  <si>
    <t>mapeters@fwps.org</t>
  </si>
  <si>
    <t>253.945.4700</t>
  </si>
  <si>
    <t>Lake Dolloff Elementary School</t>
  </si>
  <si>
    <t>4200 S 308TH ST</t>
  </si>
  <si>
    <t>98001-2641</t>
  </si>
  <si>
    <t>Julie  McBride</t>
  </si>
  <si>
    <t>jmcbride@fwps.org</t>
  </si>
  <si>
    <t>253.945.2800</t>
  </si>
  <si>
    <t>Decatur High School</t>
  </si>
  <si>
    <t>2800 SW 320TH ST</t>
  </si>
  <si>
    <t>98023-2207</t>
  </si>
  <si>
    <t>Jamie  Tough</t>
  </si>
  <si>
    <t>jtough@fwps.org</t>
  </si>
  <si>
    <t>253.945.5200</t>
  </si>
  <si>
    <t>Illahee Middle School</t>
  </si>
  <si>
    <t>36001 1st AVE S</t>
  </si>
  <si>
    <t>98003-8606</t>
  </si>
  <si>
    <t>Brianna  Ward</t>
  </si>
  <si>
    <t>bward@fwps.org</t>
  </si>
  <si>
    <t>253.945.4600</t>
  </si>
  <si>
    <t>Silver Lake Elementary School - Federal Way</t>
  </si>
  <si>
    <t>1310 SW 325TH ST</t>
  </si>
  <si>
    <t>98023-4930</t>
  </si>
  <si>
    <t>Kellie  Christiansen</t>
  </si>
  <si>
    <t>kchristi@fwps.org</t>
  </si>
  <si>
    <t>253.945.3900</t>
  </si>
  <si>
    <t>Sherwood Forest Elementary School</t>
  </si>
  <si>
    <t>34600 12TH AV SW</t>
  </si>
  <si>
    <t>98023-7060</t>
  </si>
  <si>
    <t>Sarah  Gill</t>
  </si>
  <si>
    <t>sgill@fwps.org</t>
  </si>
  <si>
    <t>253.945.3800</t>
  </si>
  <si>
    <t>Parkwood Elementary</t>
  </si>
  <si>
    <t>1815 N. 155th Street</t>
  </si>
  <si>
    <t>98133-5904</t>
  </si>
  <si>
    <t>Ann  Torres</t>
  </si>
  <si>
    <t>ann.torres@shorelineschools.org</t>
  </si>
  <si>
    <t>206.393.4152</t>
  </si>
  <si>
    <t>Melvin G Syre Elementary</t>
  </si>
  <si>
    <t>19545 12th Avenue N.W.</t>
  </si>
  <si>
    <t>98177-2699</t>
  </si>
  <si>
    <t>Michelle  Carroll</t>
  </si>
  <si>
    <t>michelle.carroll@shorelineschools.org</t>
  </si>
  <si>
    <t>206.393.4167</t>
  </si>
  <si>
    <t>Albert Einstein Middle School</t>
  </si>
  <si>
    <t>19343 3rd Avenue N.W.</t>
  </si>
  <si>
    <t>98177-3012</t>
  </si>
  <si>
    <t>Nyla  Fritz</t>
  </si>
  <si>
    <t>nyla.fritz@shorelineschools.org</t>
  </si>
  <si>
    <t>206.393.4740</t>
  </si>
  <si>
    <t>Shorewood High School</t>
  </si>
  <si>
    <t>17300 Fremont Avenue N.</t>
  </si>
  <si>
    <t>98133-5299</t>
  </si>
  <si>
    <t>Bill  Dunbar</t>
  </si>
  <si>
    <t>bill.dunbar@shorelineschools.org</t>
  </si>
  <si>
    <t>206.393.4374</t>
  </si>
  <si>
    <t>Meridian Park Elementary School</t>
  </si>
  <si>
    <t>17077 Meridian Avenue N.</t>
  </si>
  <si>
    <t>98133-5598</t>
  </si>
  <si>
    <t>David  Tadlock</t>
  </si>
  <si>
    <t>david.tadlock@shorelineschools.org</t>
  </si>
  <si>
    <t>206.393.4123</t>
  </si>
  <si>
    <t>Contractual Schools</t>
  </si>
  <si>
    <t>P.O. Box 97039</t>
  </si>
  <si>
    <t>98073-9739</t>
  </si>
  <si>
    <t>Shannon  Hitch</t>
  </si>
  <si>
    <t>shhitch@lwsd.org</t>
  </si>
  <si>
    <t>425.936.1301</t>
  </si>
  <si>
    <t xml:space="preserve"> Alternative School, Contract School</t>
  </si>
  <si>
    <t>Discovery School</t>
  </si>
  <si>
    <t>12801 84th NE</t>
  </si>
  <si>
    <t>98034-2600</t>
  </si>
  <si>
    <t>Lori  Pierce</t>
  </si>
  <si>
    <t>lpierce@lwsd.org</t>
  </si>
  <si>
    <t>425.936.2704</t>
  </si>
  <si>
    <t>Explorer Community School</t>
  </si>
  <si>
    <t>7040 208th NE</t>
  </si>
  <si>
    <t>98052-4716</t>
  </si>
  <si>
    <t>Barbara  Pridgeon</t>
  </si>
  <si>
    <t>bapridgeon@lwsd.org</t>
  </si>
  <si>
    <t>425.936.2533</t>
  </si>
  <si>
    <t>Emerson K-12</t>
  </si>
  <si>
    <t>10903 NE 53rd Street</t>
  </si>
  <si>
    <t>98033-7508</t>
  </si>
  <si>
    <t>Nell  Ballard-Jones</t>
  </si>
  <si>
    <t>nballard-jones@lwsd.org</t>
  </si>
  <si>
    <t>425.936.2311</t>
  </si>
  <si>
    <t>International Community School</t>
  </si>
  <si>
    <t>11133 NE 65th ST</t>
  </si>
  <si>
    <t>98033-7116</t>
  </si>
  <si>
    <t>Margaret  Kinney Krepel</t>
  </si>
  <si>
    <t>mkinneykrepel@lwsd.org</t>
  </si>
  <si>
    <t>425.936.2380</t>
  </si>
  <si>
    <t>Environmental &amp; Adventure School</t>
  </si>
  <si>
    <t>8040 NE 132nd</t>
  </si>
  <si>
    <t>98034-2522</t>
  </si>
  <si>
    <t>Futures School</t>
  </si>
  <si>
    <t>10601 NE 132nd</t>
  </si>
  <si>
    <t>98034-2872</t>
  </si>
  <si>
    <t>Kelly  Clapp</t>
  </si>
  <si>
    <t>kclapp@lwsd.org</t>
  </si>
  <si>
    <t>425.936.1600</t>
  </si>
  <si>
    <t>Redmond Elementary</t>
  </si>
  <si>
    <t>16800 NE 80th</t>
  </si>
  <si>
    <t>98052-3942</t>
  </si>
  <si>
    <t>Kirsten  Gometz</t>
  </si>
  <si>
    <t>kgometz@lwsd.org</t>
  </si>
  <si>
    <t>425.936.2660</t>
  </si>
  <si>
    <t>Kirkland Middle School</t>
  </si>
  <si>
    <t>430 18th AVE</t>
  </si>
  <si>
    <t>98033-4935</t>
  </si>
  <si>
    <t>Nichol  Cassaro</t>
  </si>
  <si>
    <t>ncassaro@lwsd.org</t>
  </si>
  <si>
    <t>425.936.2420</t>
  </si>
  <si>
    <t>Lake Washington High</t>
  </si>
  <si>
    <t>12033 NE 80TH ST</t>
  </si>
  <si>
    <t>98033-8117</t>
  </si>
  <si>
    <t>Christina  Thomas</t>
  </si>
  <si>
    <t>cthomas@lwsd.org</t>
  </si>
  <si>
    <t>425.936.1700</t>
  </si>
  <si>
    <t>Juanita Elementary</t>
  </si>
  <si>
    <t>9635 NE 132nd</t>
  </si>
  <si>
    <t>98034-5910</t>
  </si>
  <si>
    <t>Dana  Stairs</t>
  </si>
  <si>
    <t>dstairs@lwsd.org</t>
  </si>
  <si>
    <t>425.936.2570</t>
  </si>
  <si>
    <t>Rose Hill Elementary</t>
  </si>
  <si>
    <t>8044 128th AVE NE</t>
  </si>
  <si>
    <t>98033-8023</t>
  </si>
  <si>
    <t>Jennifer  Hodges</t>
  </si>
  <si>
    <t>jhodges@lwsd.org</t>
  </si>
  <si>
    <t>425.936.2680</t>
  </si>
  <si>
    <t>Lakeview Elementary</t>
  </si>
  <si>
    <t>10400 NE 68TH</t>
  </si>
  <si>
    <t>98033-7041</t>
  </si>
  <si>
    <t>Heather  Frazier</t>
  </si>
  <si>
    <t>hfrazier@lwsd.org</t>
  </si>
  <si>
    <t>425.936.2600</t>
  </si>
  <si>
    <t>Redmond Middle School</t>
  </si>
  <si>
    <t>10055 166th AVE NE</t>
  </si>
  <si>
    <t>98052-3010</t>
  </si>
  <si>
    <t>Dana  Greenberg</t>
  </si>
  <si>
    <t>dgreenberg@lwsd.org</t>
  </si>
  <si>
    <t>425.936.2440</t>
  </si>
  <si>
    <t>Twain Elementary</t>
  </si>
  <si>
    <t>9525 130th Ave NE</t>
  </si>
  <si>
    <t>98033-5266</t>
  </si>
  <si>
    <t>Craig  Mott</t>
  </si>
  <si>
    <t>cmott@lwsd.org</t>
  </si>
  <si>
    <t>425.936.2730</t>
  </si>
  <si>
    <t>Thoreau Elementary</t>
  </si>
  <si>
    <t>8224 NE 138th</t>
  </si>
  <si>
    <t>98034-5105</t>
  </si>
  <si>
    <t>Keriann  Levinson</t>
  </si>
  <si>
    <t>klevinson@lwsd.org</t>
  </si>
  <si>
    <t>425.936.2720</t>
  </si>
  <si>
    <t>Redmond High</t>
  </si>
  <si>
    <t>17272 NE 104th</t>
  </si>
  <si>
    <t>98052-2813</t>
  </si>
  <si>
    <t>Jill  Vanderveer</t>
  </si>
  <si>
    <t>jvanderveer@lwsd.org</t>
  </si>
  <si>
    <t>425.936.1800</t>
  </si>
  <si>
    <t>Mann Elementary</t>
  </si>
  <si>
    <t>17001 NE 104th</t>
  </si>
  <si>
    <t>98052-3101</t>
  </si>
  <si>
    <t>Megan  Spaulding</t>
  </si>
  <si>
    <t>mspaulding@lwsd.org</t>
  </si>
  <si>
    <t>425.936.2610</t>
  </si>
  <si>
    <t>Audubon Elementary</t>
  </si>
  <si>
    <t>3045 180th NE</t>
  </si>
  <si>
    <t>98052-5810</t>
  </si>
  <si>
    <t>Kimo  Spray</t>
  </si>
  <si>
    <t>jspray@lwsd.org</t>
  </si>
  <si>
    <t>425.936.2500</t>
  </si>
  <si>
    <t>Ready Start Preschool</t>
  </si>
  <si>
    <t>15130 NE 95th ST</t>
  </si>
  <si>
    <t>98052-2516</t>
  </si>
  <si>
    <t>Susan  Dineen</t>
  </si>
  <si>
    <t>sdineen@lwsd.org</t>
  </si>
  <si>
    <t>425.702.3461</t>
  </si>
  <si>
    <t>Finn Hill Middle School</t>
  </si>
  <si>
    <t>8040 NE 132nd ST</t>
  </si>
  <si>
    <t>12434 NE 60th</t>
  </si>
  <si>
    <t>98033-8722</t>
  </si>
  <si>
    <t>Keith  Buechler</t>
  </si>
  <si>
    <t>kbuechler@lwsd.org</t>
  </si>
  <si>
    <t>425.936.2550</t>
  </si>
  <si>
    <t>Bell Elementary</t>
  </si>
  <si>
    <t>11212 NE 112TH</t>
  </si>
  <si>
    <t>98033-4520</t>
  </si>
  <si>
    <t>Frost Elementary</t>
  </si>
  <si>
    <t>11801 NE 140th</t>
  </si>
  <si>
    <t>98034-2113</t>
  </si>
  <si>
    <t>Toby  Brenner</t>
  </si>
  <si>
    <t>tbrenner@lwsd.org</t>
  </si>
  <si>
    <t>425.936.2560</t>
  </si>
  <si>
    <t>Rush Elementary</t>
  </si>
  <si>
    <t>6101 152nd Ave NE</t>
  </si>
  <si>
    <t>98052-4766</t>
  </si>
  <si>
    <t>Lucy  Davies</t>
  </si>
  <si>
    <t>ldavies@lwsd.org</t>
  </si>
  <si>
    <t>425.936.2690</t>
  </si>
  <si>
    <t>Keller Elementary</t>
  </si>
  <si>
    <t>13820 - 108th NE</t>
  </si>
  <si>
    <t>98034-2016</t>
  </si>
  <si>
    <t>Sandra  Dennehy</t>
  </si>
  <si>
    <t>sdennehy@lwsd.org</t>
  </si>
  <si>
    <t>425.936.2580</t>
  </si>
  <si>
    <t>Rose Hill Middle School</t>
  </si>
  <si>
    <t>13505 NE 75th</t>
  </si>
  <si>
    <t>98052-4032</t>
  </si>
  <si>
    <t>Joseph  Gorder</t>
  </si>
  <si>
    <t>jgorder@lwsd.org</t>
  </si>
  <si>
    <t>425.936.2460</t>
  </si>
  <si>
    <t>Sandburg Elementary</t>
  </si>
  <si>
    <t>12801 - 84th Ave NE</t>
  </si>
  <si>
    <t>Erin  Bowser</t>
  </si>
  <si>
    <t>ebowser@lwsd.org</t>
  </si>
  <si>
    <t>425.936.2700</t>
  </si>
  <si>
    <t>Muir Elementary</t>
  </si>
  <si>
    <t>14012 132nd AVE NE</t>
  </si>
  <si>
    <t>98034-1511</t>
  </si>
  <si>
    <t>Ashley Marie Boughton</t>
  </si>
  <si>
    <t>aboughton@lwsd.org</t>
  </si>
  <si>
    <t>425.936.2640</t>
  </si>
  <si>
    <t>Juanita High</t>
  </si>
  <si>
    <t>10601 NE 132ND</t>
  </si>
  <si>
    <t>Emerson High School</t>
  </si>
  <si>
    <t>10903 NE 53rd ST</t>
  </si>
  <si>
    <t>425.936.2300</t>
  </si>
  <si>
    <t>Community School</t>
  </si>
  <si>
    <t>11133 NE 65th</t>
  </si>
  <si>
    <t>425.936.2395</t>
  </si>
  <si>
    <t>Kamiakin Middle School</t>
  </si>
  <si>
    <t>14111 132ND AVE NE</t>
  </si>
  <si>
    <t>98034-1510</t>
  </si>
  <si>
    <t>Tim  Patterson</t>
  </si>
  <si>
    <t>tpatterson@lwsd.org</t>
  </si>
  <si>
    <t>425.936.2400</t>
  </si>
  <si>
    <t>Kirk Elementary</t>
  </si>
  <si>
    <t>1312 6th Street</t>
  </si>
  <si>
    <t>98033-5638</t>
  </si>
  <si>
    <t>Monica  Garcia</t>
  </si>
  <si>
    <t>mogarcia@lwsd.org</t>
  </si>
  <si>
    <t>425.936.2590</t>
  </si>
  <si>
    <t>Dickinson Elementary</t>
  </si>
  <si>
    <t>7040 - 208th NE</t>
  </si>
  <si>
    <t>98053-4716</t>
  </si>
  <si>
    <t>425.936.2530</t>
  </si>
  <si>
    <t>Mead Elementary</t>
  </si>
  <si>
    <t>1725 216th AVE NE</t>
  </si>
  <si>
    <t>Sammamish</t>
  </si>
  <si>
    <t>98074-4222</t>
  </si>
  <si>
    <t>Sandy  Klein</t>
  </si>
  <si>
    <t>sklein@lwsd.org</t>
  </si>
  <si>
    <t>425.936.2630</t>
  </si>
  <si>
    <t>Rockwell Elementary</t>
  </si>
  <si>
    <t>11125 - 162nd AVE NE</t>
  </si>
  <si>
    <t>98052-2676</t>
  </si>
  <si>
    <t>Michael  Clark</t>
  </si>
  <si>
    <t>miclark@lwsd.org</t>
  </si>
  <si>
    <t>425.936.2670</t>
  </si>
  <si>
    <t>Evergreen Middle School</t>
  </si>
  <si>
    <t>6900 208th AVE NE</t>
  </si>
  <si>
    <t>98053-4715</t>
  </si>
  <si>
    <t>Kristian  Dahl</t>
  </si>
  <si>
    <t>kdahl@lwsd.org</t>
  </si>
  <si>
    <t>425.936.2320</t>
  </si>
  <si>
    <t>Northstar Middle School</t>
  </si>
  <si>
    <t>10903 NE 53rd St</t>
  </si>
  <si>
    <t>425.936.1760</t>
  </si>
  <si>
    <t>Alcott Elementary</t>
  </si>
  <si>
    <t>4213 - 228th AVE NE</t>
  </si>
  <si>
    <t>98053-8333</t>
  </si>
  <si>
    <t>Jon  Hedin</t>
  </si>
  <si>
    <t>jhedin@lwsd.org</t>
  </si>
  <si>
    <t>425.936.2490</t>
  </si>
  <si>
    <t>Smith Elementary</t>
  </si>
  <si>
    <t>23305 NE 14th St</t>
  </si>
  <si>
    <t>98074-4441</t>
  </si>
  <si>
    <t>Jamie  Warner</t>
  </si>
  <si>
    <t>jwarner@lwsd.org</t>
  </si>
  <si>
    <t>425.936.2710</t>
  </si>
  <si>
    <t>Wilder Elementary</t>
  </si>
  <si>
    <t>22130 NE 133rd</t>
  </si>
  <si>
    <t>98077-7270</t>
  </si>
  <si>
    <t>Steve  Roetcisoender</t>
  </si>
  <si>
    <t>sroetcisoender@lwsd.org</t>
  </si>
  <si>
    <t>425.936.2740</t>
  </si>
  <si>
    <t>Mcauliffe Elementary</t>
  </si>
  <si>
    <t>23823 NE 22nd</t>
  </si>
  <si>
    <t>98074-3517</t>
  </si>
  <si>
    <t>Brady  Howden</t>
  </si>
  <si>
    <t>bhowden@lwsd.org</t>
  </si>
  <si>
    <t>425.936.2620</t>
  </si>
  <si>
    <t>Inglewood Middle School</t>
  </si>
  <si>
    <t>24120 NE 8th ST</t>
  </si>
  <si>
    <t>98074-3607</t>
  </si>
  <si>
    <t>Daniel L Irvine</t>
  </si>
  <si>
    <t>dirvine@lwsd.org</t>
  </si>
  <si>
    <t>425.936.2360</t>
  </si>
  <si>
    <t>Einstein Elementary</t>
  </si>
  <si>
    <t>18025 NE 116th</t>
  </si>
  <si>
    <t>98052-2816</t>
  </si>
  <si>
    <t>Robin  Imai</t>
  </si>
  <si>
    <t>rimai@lwsd.org</t>
  </si>
  <si>
    <t>425.936.2540</t>
  </si>
  <si>
    <t>Eastlake High School</t>
  </si>
  <si>
    <t>400 228th NE</t>
  </si>
  <si>
    <t>98074-7209</t>
  </si>
  <si>
    <t>Chris  Bede</t>
  </si>
  <si>
    <t>cbede@lwsd.org</t>
  </si>
  <si>
    <t>425.936.1500</t>
  </si>
  <si>
    <t>Blackwell Elementary</t>
  </si>
  <si>
    <t>3225 - 205th PL NE</t>
  </si>
  <si>
    <t>98074-4374</t>
  </si>
  <si>
    <t>Jim  Eaton</t>
  </si>
  <si>
    <t>jeaton@lwsd.org</t>
  </si>
  <si>
    <t>425.936.2520</t>
  </si>
  <si>
    <t>Regional Justice Center</t>
  </si>
  <si>
    <t>12033 SE 256th ST Suite A300</t>
  </si>
  <si>
    <t>98030-6503</t>
  </si>
  <si>
    <t>Wade  Barringer</t>
  </si>
  <si>
    <t>Wade.Barringer@kent.k12.wa.us</t>
  </si>
  <si>
    <t>253.373.7675</t>
  </si>
  <si>
    <t>Meridian Elementary School</t>
  </si>
  <si>
    <t>25621 140th Ave SE</t>
  </si>
  <si>
    <t>98042-3601</t>
  </si>
  <si>
    <t>Stephanie  Barringer</t>
  </si>
  <si>
    <t>Stephanie.Barringer@kent.k12.wa.us</t>
  </si>
  <si>
    <t>253.373.7664</t>
  </si>
  <si>
    <t>Kent-Meridian High School</t>
  </si>
  <si>
    <t>10020 SE 256th ST</t>
  </si>
  <si>
    <t>98030-6408</t>
  </si>
  <si>
    <t>David  Radford</t>
  </si>
  <si>
    <t>David.Radford@kent.k12.wa.us</t>
  </si>
  <si>
    <t>253.373.7405</t>
  </si>
  <si>
    <t>East Hill Elementary School</t>
  </si>
  <si>
    <t>9825 S 240th ST</t>
  </si>
  <si>
    <t>98031-4842</t>
  </si>
  <si>
    <t>Paul Edward Tytler</t>
  </si>
  <si>
    <t>Paul.Tytler@kent.k12.wa.us</t>
  </si>
  <si>
    <t>253.373.7455</t>
  </si>
  <si>
    <t>Kent Mountain View Academy</t>
  </si>
  <si>
    <t>11000 SE 264TH ST</t>
  </si>
  <si>
    <t>98030-7717</t>
  </si>
  <si>
    <t>Stephanie  Knipp</t>
  </si>
  <si>
    <t>Stephanie.Knipp@kent.k12.wa.us</t>
  </si>
  <si>
    <t>253.373.7488</t>
  </si>
  <si>
    <t>Meridian Middle School</t>
  </si>
  <si>
    <t>23480 120th Ave SE</t>
  </si>
  <si>
    <t>98031-3612</t>
  </si>
  <si>
    <t>Darice  Johnson</t>
  </si>
  <si>
    <t>Darice.Johnson@kent.k12.wa.us</t>
  </si>
  <si>
    <t>253.373.7383</t>
  </si>
  <si>
    <t>Covington Elementary School</t>
  </si>
  <si>
    <t>25811 156TH Ave SE</t>
  </si>
  <si>
    <t>98042-4202</t>
  </si>
  <si>
    <t>Sarita  Williams</t>
  </si>
  <si>
    <t>Sarita.Williams@kent.k12.wa.us</t>
  </si>
  <si>
    <t>253.373.7652</t>
  </si>
  <si>
    <t>Scenic Hill Elementary School</t>
  </si>
  <si>
    <t>26025 Woodland Way S</t>
  </si>
  <si>
    <t>98030-6363</t>
  </si>
  <si>
    <t>Harjeet  Sandhu Fuller</t>
  </si>
  <si>
    <t>Harjeet.Sandhu-Fuller@kent.k12.wa.us</t>
  </si>
  <si>
    <t>253.373.7479</t>
  </si>
  <si>
    <t>Park Orchard Elementary School</t>
  </si>
  <si>
    <t>11010 SE 232nd ST</t>
  </si>
  <si>
    <t>98031-3457</t>
  </si>
  <si>
    <t>Patrick M O'Connor</t>
  </si>
  <si>
    <t>Patrick.O'Connor@kent.k12.wa.us</t>
  </si>
  <si>
    <t>253.373.7473</t>
  </si>
  <si>
    <t>Lake Youngs Elementary School</t>
  </si>
  <si>
    <t>19660 142nd Ave SE</t>
  </si>
  <si>
    <t>98042-3006</t>
  </si>
  <si>
    <t>Brian  Hutchison</t>
  </si>
  <si>
    <t>Brian.Hutchison@kent.k12.wa.us</t>
  </si>
  <si>
    <t>253.373.7646</t>
  </si>
  <si>
    <t>Pine Tree Elementary School</t>
  </si>
  <si>
    <t>27825 118th Ave SE</t>
  </si>
  <si>
    <t>98030-8778</t>
  </si>
  <si>
    <t>Dana  Stiner</t>
  </si>
  <si>
    <t>Dana.Stiner@kent.k12.wa.us</t>
  </si>
  <si>
    <t>253.373.7687</t>
  </si>
  <si>
    <t>Kentridge High School</t>
  </si>
  <si>
    <t>12430 SE 208th ST</t>
  </si>
  <si>
    <t>98031-2231</t>
  </si>
  <si>
    <t>Mike  Albrecht</t>
  </si>
  <si>
    <t>mike.albrecht@kent.k12.wa.us</t>
  </si>
  <si>
    <t>(253) 373-7345</t>
  </si>
  <si>
    <t>Cedar Valley Elementary School</t>
  </si>
  <si>
    <t>26500 Timberlane Way SE</t>
  </si>
  <si>
    <t>98042-8404</t>
  </si>
  <si>
    <t>Patricia  Stallard</t>
  </si>
  <si>
    <t>Patricia.Stallard@kent.k12.wa.us</t>
  </si>
  <si>
    <t>253.373.7649</t>
  </si>
  <si>
    <t>Springbrook Elementary School</t>
  </si>
  <si>
    <t>20035 100th Ave SE</t>
  </si>
  <si>
    <t>98031-4309</t>
  </si>
  <si>
    <t>Arneidra N Austin</t>
  </si>
  <si>
    <t>arneidra.austin@kent.k12.wa.us</t>
  </si>
  <si>
    <t>253.373.7485</t>
  </si>
  <si>
    <t>Fairwood Elementary School</t>
  </si>
  <si>
    <t>16600 148th Ave SE</t>
  </si>
  <si>
    <t>98058-8267</t>
  </si>
  <si>
    <t>Patricia  Hoyle</t>
  </si>
  <si>
    <t>patricia.hoyle@kent.k12.wa.us</t>
  </si>
  <si>
    <t>(253) 373-7491</t>
  </si>
  <si>
    <t>Soos Creek Elementary School</t>
  </si>
  <si>
    <t>12651 SE 218th Place</t>
  </si>
  <si>
    <t>98031-9629</t>
  </si>
  <si>
    <t>Brian  Gauthier</t>
  </si>
  <si>
    <t>Brian.Gauthier@kent.k12.wa.us</t>
  </si>
  <si>
    <t>253.373.7690</t>
  </si>
  <si>
    <t>Grass Lake Elementary School</t>
  </si>
  <si>
    <t>28700 191st Place SE</t>
  </si>
  <si>
    <t>98042-5409</t>
  </si>
  <si>
    <t>Steve B Thatcher</t>
  </si>
  <si>
    <t>steven.thatcher@kent.k12.wa.us</t>
  </si>
  <si>
    <t>253.373.7661</t>
  </si>
  <si>
    <t>Meeker Middle School</t>
  </si>
  <si>
    <t>12600 SE 192nd St</t>
  </si>
  <si>
    <t>98058-7610</t>
  </si>
  <si>
    <t>Shannon  Glover</t>
  </si>
  <si>
    <t>Shannon.Nash@kent.k12.wa.us</t>
  </si>
  <si>
    <t>253.373.7284</t>
  </si>
  <si>
    <t>Crestwood Elementary School</t>
  </si>
  <si>
    <t>25225 180th Ave SE</t>
  </si>
  <si>
    <t>98042-4815</t>
  </si>
  <si>
    <t>Ryan  Preis</t>
  </si>
  <si>
    <t>Ryan.Preis@kent.k12.wa.us</t>
  </si>
  <si>
    <t>253.373.7634</t>
  </si>
  <si>
    <t>Mattson Middle School</t>
  </si>
  <si>
    <t>16400 SE 251st ST</t>
  </si>
  <si>
    <t>98042-5217</t>
  </si>
  <si>
    <t>James  Schiechl</t>
  </si>
  <si>
    <t>Jim.Schiechl@kent.k12.wa.us</t>
  </si>
  <si>
    <t>253.373.7670</t>
  </si>
  <si>
    <t>Kentwood High School</t>
  </si>
  <si>
    <t>25800 164th Ave SE</t>
  </si>
  <si>
    <t>98042-8248</t>
  </si>
  <si>
    <t>Samantha  Ketover</t>
  </si>
  <si>
    <t>Samantha.Ketover@kent.k12.wa.us</t>
  </si>
  <si>
    <t>253.373.7680</t>
  </si>
  <si>
    <t>Ridgewood Elementary School</t>
  </si>
  <si>
    <t>18030 162nd PL SE</t>
  </si>
  <si>
    <t>98058-9180</t>
  </si>
  <si>
    <t>Cynthia  Green</t>
  </si>
  <si>
    <t>Cynthia.Green@kent.k12.wa.us</t>
  </si>
  <si>
    <t>253.373.7482</t>
  </si>
  <si>
    <t>Martin Sortun Elementary School</t>
  </si>
  <si>
    <t>12711 SE 248th St</t>
  </si>
  <si>
    <t>98030-5002</t>
  </si>
  <si>
    <t>Gregory  Kroll</t>
  </si>
  <si>
    <t>gregory.kroll@kent.k12.wa.us</t>
  </si>
  <si>
    <t>(253) 373-7314</t>
  </si>
  <si>
    <t>Jenkins Creek Elementary School</t>
  </si>
  <si>
    <t>26915 186th Ave SE</t>
  </si>
  <si>
    <t>98042-8495</t>
  </si>
  <si>
    <t>Michael  Jackson</t>
  </si>
  <si>
    <t>Michael.Jackson@kent.k12.wa.us</t>
  </si>
  <si>
    <t>253.373.7331</t>
  </si>
  <si>
    <t>Horizon Elementary School</t>
  </si>
  <si>
    <t>27641 144th Ave SE</t>
  </si>
  <si>
    <t>98042-9054</t>
  </si>
  <si>
    <t>Miles  Erdly</t>
  </si>
  <si>
    <t>Miles.Erdly@kent.k12.wa.us</t>
  </si>
  <si>
    <t>253.373.7313</t>
  </si>
  <si>
    <t>Carriage Crest Elementary School</t>
  </si>
  <si>
    <t>18235 140th Ave SE</t>
  </si>
  <si>
    <t>98058-6816</t>
  </si>
  <si>
    <t>Shawn  Cook</t>
  </si>
  <si>
    <t>Shawn.Cook@kent.k12.wa.us</t>
  </si>
  <si>
    <t>253.373.7597</t>
  </si>
  <si>
    <t>Neely O Brien Elementary School</t>
  </si>
  <si>
    <t>6300 S 236th ST</t>
  </si>
  <si>
    <t>98032-2690</t>
  </si>
  <si>
    <t>Mike  Moore</t>
  </si>
  <si>
    <t>michael.moore2@kent.k12.wa.us</t>
  </si>
  <si>
    <t>253.373.7434</t>
  </si>
  <si>
    <t>George T. Daniel Elementary School</t>
  </si>
  <si>
    <t>11310 SE 248th ST</t>
  </si>
  <si>
    <t>98030-4922</t>
  </si>
  <si>
    <t>Jennifer Lynn Hoglund</t>
  </si>
  <si>
    <t>Jennifer.Hoglund@kent.k12.wa.us</t>
  </si>
  <si>
    <t>253.373.7615</t>
  </si>
  <si>
    <t>Sunrise Elementary School</t>
  </si>
  <si>
    <t>22300 132nd Ave SE</t>
  </si>
  <si>
    <t>98042-3162</t>
  </si>
  <si>
    <t>Katharine  Geiss</t>
  </si>
  <si>
    <t>Katharine.Geiss@kent.k12.wa.us</t>
  </si>
  <si>
    <t>253.373.7630</t>
  </si>
  <si>
    <t>Cedar Heights Middle School</t>
  </si>
  <si>
    <t>19640 SE 272nd Street</t>
  </si>
  <si>
    <t>98042-8553</t>
  </si>
  <si>
    <t>Erika Wyn Hanson</t>
  </si>
  <si>
    <t>Erika.Hanson@kent.k12.wa.us</t>
  </si>
  <si>
    <t>253.373.7620</t>
  </si>
  <si>
    <t>Meadow Ridge Elementary School</t>
  </si>
  <si>
    <t>27710 108th Ave SE</t>
  </si>
  <si>
    <t>98030-8767</t>
  </si>
  <si>
    <t>Douglas Frank Neufeld</t>
  </si>
  <si>
    <t>Douglas.Neufeld@kent.k12.wa.us</t>
  </si>
  <si>
    <t>253.373.7870</t>
  </si>
  <si>
    <t>Sawyer Woods Elementary School</t>
  </si>
  <si>
    <t>31135 228th Ave SE</t>
  </si>
  <si>
    <t>98010-1708</t>
  </si>
  <si>
    <t>Tim  Helgeson</t>
  </si>
  <si>
    <t>tim.helgeson@kent.k12.wa.us</t>
  </si>
  <si>
    <t>(253) 373-7750</t>
  </si>
  <si>
    <t>Northwood Middle School</t>
  </si>
  <si>
    <t>17007 SE 184th ST</t>
  </si>
  <si>
    <t>98058-9512</t>
  </si>
  <si>
    <t>Sherilyn  Ulland</t>
  </si>
  <si>
    <t>Sherilyn.Ulland@kent.k12.wa.us</t>
  </si>
  <si>
    <t>253.373.7780</t>
  </si>
  <si>
    <t>Glenridge Elementary</t>
  </si>
  <si>
    <t>19405 120th Ave SE</t>
  </si>
  <si>
    <t>98031-0571</t>
  </si>
  <si>
    <t>Scott  Abernathy</t>
  </si>
  <si>
    <t>scott.abernathy@kent.k12.wa.us</t>
  </si>
  <si>
    <t>(253) 373-7494</t>
  </si>
  <si>
    <t>Kentlake High School</t>
  </si>
  <si>
    <t>21401 SE Falcon Way</t>
  </si>
  <si>
    <t>98042-5939</t>
  </si>
  <si>
    <t>Heidi  Maurer</t>
  </si>
  <si>
    <t>Heidi.Maurer@kent.k12.wa.us</t>
  </si>
  <si>
    <t>253.373.4900</t>
  </si>
  <si>
    <t>Kent Elementary School</t>
  </si>
  <si>
    <t>24700 64th Ave S</t>
  </si>
  <si>
    <t>98032-6169</t>
  </si>
  <si>
    <t>Rosa  Villarreal</t>
  </si>
  <si>
    <t>Rosa.Villarreal@kent.k12.wa.us</t>
  </si>
  <si>
    <t>253.373.7497</t>
  </si>
  <si>
    <t>Emerald Park Elementary School</t>
  </si>
  <si>
    <t>11800 SE 216th St</t>
  </si>
  <si>
    <t>98031-3900</t>
  </si>
  <si>
    <t>Valerie  Orrock</t>
  </si>
  <si>
    <t>Valerie.Orrock@kent.k12.wa.us</t>
  </si>
  <si>
    <t>253.373.3850</t>
  </si>
  <si>
    <t>Northshore Networks</t>
  </si>
  <si>
    <t>425.408.6600</t>
  </si>
  <si>
    <t>Northshore Special Services</t>
  </si>
  <si>
    <t>Julie  Trembath-Neuberger</t>
  </si>
  <si>
    <t>jtrembathneuberger@nsd.org</t>
  </si>
  <si>
    <t>425.408.7737</t>
  </si>
  <si>
    <t>C O Sorenson</t>
  </si>
  <si>
    <t>19705 88 AV NE</t>
  </si>
  <si>
    <t>98011-2121</t>
  </si>
  <si>
    <t>Doreen  Milburn</t>
  </si>
  <si>
    <t>dmilburn@nsd.org</t>
  </si>
  <si>
    <t>425.408.5570</t>
  </si>
  <si>
    <t>Kenmore Elementary</t>
  </si>
  <si>
    <t>19121 71 AV NE</t>
  </si>
  <si>
    <t>Kenmore</t>
  </si>
  <si>
    <t>98028-2618</t>
  </si>
  <si>
    <t>Melissa  Riley</t>
  </si>
  <si>
    <t>mriley3@nsd.org</t>
  </si>
  <si>
    <t>425.408.4800</t>
  </si>
  <si>
    <t>Crystal Springs Elementary</t>
  </si>
  <si>
    <t>21615 9 AV SE</t>
  </si>
  <si>
    <t>98021-7609</t>
  </si>
  <si>
    <t>Anne  Nielsen</t>
  </si>
  <si>
    <t>anielsen@nsd.org</t>
  </si>
  <si>
    <t>425.408.4300</t>
  </si>
  <si>
    <t>Bothell High School</t>
  </si>
  <si>
    <t>9130 NE 180 ST</t>
  </si>
  <si>
    <t>98011-3360</t>
  </si>
  <si>
    <t>Juan  Price</t>
  </si>
  <si>
    <t>jprice@nsd.org</t>
  </si>
  <si>
    <t>425.408.7000</t>
  </si>
  <si>
    <t>Arrowhead Elementary</t>
  </si>
  <si>
    <t>6725 NE Arrowhead DR</t>
  </si>
  <si>
    <t>98028-4343</t>
  </si>
  <si>
    <t>Kristin  Bailey-Fogarty</t>
  </si>
  <si>
    <t>kbailey@nsd.org</t>
  </si>
  <si>
    <t>425.408.4000</t>
  </si>
  <si>
    <t>Cottage Lake Elementary</t>
  </si>
  <si>
    <t>15940 Avondale RD NE</t>
  </si>
  <si>
    <t>98077-9167</t>
  </si>
  <si>
    <t>Jennifer  Welch</t>
  </si>
  <si>
    <t>jwelch@nsd.org</t>
  </si>
  <si>
    <t>425.408.4200</t>
  </si>
  <si>
    <t>Westhill Elementary</t>
  </si>
  <si>
    <t>19515 88 AV NE</t>
  </si>
  <si>
    <t>98011-2137</t>
  </si>
  <si>
    <t>Dana  Whitehurst</t>
  </si>
  <si>
    <t>dwhitehurst@nsd.org</t>
  </si>
  <si>
    <t>425.408.5500</t>
  </si>
  <si>
    <t>Maywood Hills Elementary</t>
  </si>
  <si>
    <t>19510 104 AV NE</t>
  </si>
  <si>
    <t>98011-2401</t>
  </si>
  <si>
    <t>Sonja  Hoeft</t>
  </si>
  <si>
    <t>shoeft@nsd.org</t>
  </si>
  <si>
    <t>425.408.5000</t>
  </si>
  <si>
    <t>Kenmore Middle School</t>
  </si>
  <si>
    <t>20323 66 AV NE</t>
  </si>
  <si>
    <t>98028-2052</t>
  </si>
  <si>
    <t>Bryan  Stutz</t>
  </si>
  <si>
    <t>bstutz@nsd.org</t>
  </si>
  <si>
    <t>425.408.6400</t>
  </si>
  <si>
    <t>Lockwood Elementary</t>
  </si>
  <si>
    <t>24118 Lockwood RD</t>
  </si>
  <si>
    <t>98021-9419</t>
  </si>
  <si>
    <t>Bill  Bagnall</t>
  </si>
  <si>
    <t>bbagnall@nsd.org</t>
  </si>
  <si>
    <t>425.408.5800</t>
  </si>
  <si>
    <t>Woodinville Community Center</t>
  </si>
  <si>
    <t>c/o Northshore School District</t>
  </si>
  <si>
    <t>Ed  Koehl</t>
  </si>
  <si>
    <t>ekoehl2@nsd.org</t>
  </si>
  <si>
    <t>425.408.7735</t>
  </si>
  <si>
    <t>Moorlands Elementary</t>
  </si>
  <si>
    <t>15115 84 AV NE</t>
  </si>
  <si>
    <t>98028-4709</t>
  </si>
  <si>
    <t>Talena  Graff</t>
  </si>
  <si>
    <t>tgraff@nsd.org</t>
  </si>
  <si>
    <t>425.408.5100</t>
  </si>
  <si>
    <t>Inglemoor HS</t>
  </si>
  <si>
    <t>15500 Simonds RD NE</t>
  </si>
  <si>
    <t>98028-4430</t>
  </si>
  <si>
    <t>Adam  Desautels</t>
  </si>
  <si>
    <t>adesautels@nsd.org</t>
  </si>
  <si>
    <t>425.408.7200</t>
  </si>
  <si>
    <t>Canyon Park Middle School</t>
  </si>
  <si>
    <t>23723 23 AV SE</t>
  </si>
  <si>
    <t>98021-9644</t>
  </si>
  <si>
    <t>Sebastian  Ziz</t>
  </si>
  <si>
    <t>sziz@nsd.org</t>
  </si>
  <si>
    <t>425.408.6300</t>
  </si>
  <si>
    <t>Shelton View Elementary</t>
  </si>
  <si>
    <t>23400 5 AV W</t>
  </si>
  <si>
    <t>98021-8529</t>
  </si>
  <si>
    <t>Bethel  Santos</t>
  </si>
  <si>
    <t>bsantos@nsd.org</t>
  </si>
  <si>
    <t>425.408.5200</t>
  </si>
  <si>
    <t>Woodin Elementary</t>
  </si>
  <si>
    <t>12950 NE 195 ST</t>
  </si>
  <si>
    <t>98011-2537</t>
  </si>
  <si>
    <t>Dawn  Bowers</t>
  </si>
  <si>
    <t>dbowers@nsd.org</t>
  </si>
  <si>
    <t>425.408.5400</t>
  </si>
  <si>
    <t>Leota Middle School</t>
  </si>
  <si>
    <t>19301 168 AV NE</t>
  </si>
  <si>
    <t>98072-8426</t>
  </si>
  <si>
    <t>Audee  Gregor</t>
  </si>
  <si>
    <t>agregor@nsd.org</t>
  </si>
  <si>
    <t>425.408.6500</t>
  </si>
  <si>
    <t>Secondary Academy for Success</t>
  </si>
  <si>
    <t>22107 23rd Dr SE</t>
  </si>
  <si>
    <t>98021-4409</t>
  </si>
  <si>
    <t>Canyon Creek Elementary</t>
  </si>
  <si>
    <t>21400 35 AV SE</t>
  </si>
  <si>
    <t>98021-7832</t>
  </si>
  <si>
    <t>Bruce  Denton</t>
  </si>
  <si>
    <t>bdenton@nsd.org</t>
  </si>
  <si>
    <t>425.408.5700</t>
  </si>
  <si>
    <t>Northshore Middle School</t>
  </si>
  <si>
    <t>12101 NE 160 ST</t>
  </si>
  <si>
    <t>98011-4141</t>
  </si>
  <si>
    <t>Tiffany  Rodriguez</t>
  </si>
  <si>
    <t>trodriguez@nsd.org</t>
  </si>
  <si>
    <t>425.408.6700</t>
  </si>
  <si>
    <t>Wellington Elementary</t>
  </si>
  <si>
    <t>16501 NE 195 ST</t>
  </si>
  <si>
    <t>98072-8414</t>
  </si>
  <si>
    <t>Brian  Matthias</t>
  </si>
  <si>
    <t>bmatthias@nsd.org</t>
  </si>
  <si>
    <t>425.408.5900</t>
  </si>
  <si>
    <t>Hollywood Hill Elementary</t>
  </si>
  <si>
    <t>17110 148 AV NE</t>
  </si>
  <si>
    <t>98072-9053</t>
  </si>
  <si>
    <t>Denise  Waters</t>
  </si>
  <si>
    <t>dwaters@nsd.org</t>
  </si>
  <si>
    <t>425.208.4700</t>
  </si>
  <si>
    <t>14075 172 AV NE</t>
  </si>
  <si>
    <t>98052-2197</t>
  </si>
  <si>
    <t>Steven  Hopkins</t>
  </si>
  <si>
    <t>shopkins@nsd.org</t>
  </si>
  <si>
    <t>425.408.5300</t>
  </si>
  <si>
    <t>Woodinville HS</t>
  </si>
  <si>
    <t>19819 136 NE</t>
  </si>
  <si>
    <t>98072-8797</t>
  </si>
  <si>
    <t>Kurt  Criscione</t>
  </si>
  <si>
    <t>kcriscione@nsd.org</t>
  </si>
  <si>
    <t>425.408.7400</t>
  </si>
  <si>
    <t>Bear Creek Elementary</t>
  </si>
  <si>
    <t>18101 Avondale RD NE</t>
  </si>
  <si>
    <t>98077-9183</t>
  </si>
  <si>
    <t>Stephanie  Penrod</t>
  </si>
  <si>
    <t>spenrod@nsd.org</t>
  </si>
  <si>
    <t>425.408.4100</t>
  </si>
  <si>
    <t>Fernwood Elementary</t>
  </si>
  <si>
    <t>3933 Jewell RD</t>
  </si>
  <si>
    <t>98012-7331</t>
  </si>
  <si>
    <t>Kate  Bradshaw</t>
  </si>
  <si>
    <t>kbradshaw@nsd.org</t>
  </si>
  <si>
    <t>425.408.4500</t>
  </si>
  <si>
    <t>Frank Love Elementary</t>
  </si>
  <si>
    <t>303 224 ST SW</t>
  </si>
  <si>
    <t>98021-8335</t>
  </si>
  <si>
    <t>Katie  French</t>
  </si>
  <si>
    <t>kfrench@nsd.org</t>
  </si>
  <si>
    <t>425.408.4600</t>
  </si>
  <si>
    <t>Skyview Middle School</t>
  </si>
  <si>
    <t>21404 35 AV SE</t>
  </si>
  <si>
    <t>Dawn  Mark</t>
  </si>
  <si>
    <t>dmark@nsd.org</t>
  </si>
  <si>
    <t>425.408.6800</t>
  </si>
  <si>
    <t>Woodmoor Elementary</t>
  </si>
  <si>
    <t>12225 NE 160</t>
  </si>
  <si>
    <t>98011-4167</t>
  </si>
  <si>
    <t>Ebony  Harvey</t>
  </si>
  <si>
    <t>eharvey@nsd.org</t>
  </si>
  <si>
    <t>425.408.5600</t>
  </si>
  <si>
    <t>East Ridge Elementary</t>
  </si>
  <si>
    <t>22150 NE 156 PL</t>
  </si>
  <si>
    <t>98077-7489</t>
  </si>
  <si>
    <t>Sarah  White</t>
  </si>
  <si>
    <t>swhite@nsd.org</t>
  </si>
  <si>
    <t>425.408.4400</t>
  </si>
  <si>
    <t>Kokanee Elementary</t>
  </si>
  <si>
    <t>23710 57 AV SE</t>
  </si>
  <si>
    <t>98072-8625</t>
  </si>
  <si>
    <t>425.408.4900</t>
  </si>
  <si>
    <t>Timbercrest Middle School</t>
  </si>
  <si>
    <t>19115 215 WY NE</t>
  </si>
  <si>
    <t>98077-7191</t>
  </si>
  <si>
    <t>Kristi  Hannigan</t>
  </si>
  <si>
    <t>khannigan@nsd.org</t>
  </si>
  <si>
    <t>425.408.6900</t>
  </si>
  <si>
    <t>Renaissance Alternative High School</t>
  </si>
  <si>
    <t>3400 1st Street</t>
  </si>
  <si>
    <t>98312-3785</t>
  </si>
  <si>
    <t>Kristen.Morga@bremertonschools.org</t>
  </si>
  <si>
    <t>360.473.1082</t>
  </si>
  <si>
    <t>Bremerton Home Link Program</t>
  </si>
  <si>
    <t>134 Marion Avenue N</t>
  </si>
  <si>
    <t>98312-3825</t>
  </si>
  <si>
    <t>Teneka   Morley-Short</t>
  </si>
  <si>
    <t>Teneka.Morley@bremertonschools.org</t>
  </si>
  <si>
    <t>360.473.4200</t>
  </si>
  <si>
    <t>West Hills S.T.E.M. Academy</t>
  </si>
  <si>
    <t>520 S National Ave</t>
  </si>
  <si>
    <t>98312-3696</t>
  </si>
  <si>
    <t>Lisa  Heaman</t>
  </si>
  <si>
    <t>lisa.heaman@bremertonschools.org</t>
  </si>
  <si>
    <t>360.473.4600</t>
  </si>
  <si>
    <t>View Ridge Elementary Arts Academy</t>
  </si>
  <si>
    <t>3250 Spruce Avenue</t>
  </si>
  <si>
    <t>98310-3554</t>
  </si>
  <si>
    <t>Korene  Calderwood</t>
  </si>
  <si>
    <t>Korene.Calderwood@bremertonschools.org</t>
  </si>
  <si>
    <t>360.473.4500</t>
  </si>
  <si>
    <t>Crownhill Elementary School</t>
  </si>
  <si>
    <t>1500 Rocky Point Rd</t>
  </si>
  <si>
    <t>98312-2613</t>
  </si>
  <si>
    <t>Bremerton High School</t>
  </si>
  <si>
    <t>1500 13th Street</t>
  </si>
  <si>
    <t>98337-1370</t>
  </si>
  <si>
    <t>Monica  Zuber</t>
  </si>
  <si>
    <t>monica.zuber@bremertonschools.org</t>
  </si>
  <si>
    <t>360.473.0800</t>
  </si>
  <si>
    <t>Naval Avenue Elementary School</t>
  </si>
  <si>
    <t>900 Olympic Avenue</t>
  </si>
  <si>
    <t>John  Welsh</t>
  </si>
  <si>
    <t>john.welsh@bremertonschools.org</t>
  </si>
  <si>
    <t>360.473.4400</t>
  </si>
  <si>
    <t>Armin Jahr Elementary</t>
  </si>
  <si>
    <t>800 Dibb Street</t>
  </si>
  <si>
    <t>98310-2777</t>
  </si>
  <si>
    <t>Allyson Cynthia Cundiff</t>
  </si>
  <si>
    <t>allyson.cundiff@bremertonschools.org</t>
  </si>
  <si>
    <t>360.473.4100</t>
  </si>
  <si>
    <t>Morgan Center School</t>
  </si>
  <si>
    <t>John  Grant</t>
  </si>
  <si>
    <t>John.Grant@bremertonschools.org</t>
  </si>
  <si>
    <t>360.473.1008</t>
  </si>
  <si>
    <t>West Sound Technical Skills Center</t>
  </si>
  <si>
    <t>101 National Avenue</t>
  </si>
  <si>
    <t>98312-3597</t>
  </si>
  <si>
    <t>Shani  Watkins</t>
  </si>
  <si>
    <t>Shani.Watkins@bremertonschools.org</t>
  </si>
  <si>
    <t>360.473.0902</t>
  </si>
  <si>
    <t>Kitsap Lake Elementary</t>
  </si>
  <si>
    <t>1111 Carr Blvd.</t>
  </si>
  <si>
    <t>98312-2212</t>
  </si>
  <si>
    <t>Karen  Rommen</t>
  </si>
  <si>
    <t>karen.rommen@bremertonschools.org</t>
  </si>
  <si>
    <t>360.473.4300</t>
  </si>
  <si>
    <t>Mountain View Middle School</t>
  </si>
  <si>
    <t>2400 Perry Avenue</t>
  </si>
  <si>
    <t>98310-5139</t>
  </si>
  <si>
    <t>Nickolas Alexander Birklid</t>
  </si>
  <si>
    <t>nickolas.birklid@bremertonschools.org</t>
  </si>
  <si>
    <t>360.473.0600</t>
  </si>
  <si>
    <t>Bainbridge Island School District</t>
  </si>
  <si>
    <t>Odyssey Multiage Program</t>
  </si>
  <si>
    <t>9530 NE High School Rd</t>
  </si>
  <si>
    <t>Bainbridge Island</t>
  </si>
  <si>
    <t>98110-0000</t>
  </si>
  <si>
    <t>David  Shockley</t>
  </si>
  <si>
    <t>dshockley@bisd303.org</t>
  </si>
  <si>
    <t>206.780.1387</t>
  </si>
  <si>
    <t>Mosaic Home Education Partnership</t>
  </si>
  <si>
    <t>Bainbridge High School</t>
  </si>
  <si>
    <t>9330 NE High School RD</t>
  </si>
  <si>
    <t>98110-3695</t>
  </si>
  <si>
    <t>Duane  Fish</t>
  </si>
  <si>
    <t>dfish@bisd303.org</t>
  </si>
  <si>
    <t>206.780.1250</t>
  </si>
  <si>
    <t>Capt. Charles Wilkes Elem School</t>
  </si>
  <si>
    <t>12781 Madison Ave NE</t>
  </si>
  <si>
    <t>98110-1385</t>
  </si>
  <si>
    <t>Amii E Pratt</t>
  </si>
  <si>
    <t>apratt@bisd303.org</t>
  </si>
  <si>
    <t>206.780.3020</t>
  </si>
  <si>
    <t>Capt Johnston Blakely Elem Sch</t>
  </si>
  <si>
    <t>4704 Blakely Ave NE</t>
  </si>
  <si>
    <t>98110-2259</t>
  </si>
  <si>
    <t>Reese  Ande</t>
  </si>
  <si>
    <t>rande@bisd303.org</t>
  </si>
  <si>
    <t>206.780.2060</t>
  </si>
  <si>
    <t>Ordway Elementary</t>
  </si>
  <si>
    <t>8555 Madison Ave NE</t>
  </si>
  <si>
    <t>98110-2915</t>
  </si>
  <si>
    <t>Melinda  Reynvaan</t>
  </si>
  <si>
    <t>mreynvaan@bisd303.org</t>
  </si>
  <si>
    <t>206.780.1470</t>
  </si>
  <si>
    <t>Woodward Middle School</t>
  </si>
  <si>
    <t>9100 NE Sportsman Club Rd</t>
  </si>
  <si>
    <t>98110-3640</t>
  </si>
  <si>
    <t>Kenneth Michael Florian</t>
  </si>
  <si>
    <t>mflorian@bisd303.org</t>
  </si>
  <si>
    <t>206.780.4500</t>
  </si>
  <si>
    <t>Sakai Intermediate</t>
  </si>
  <si>
    <t>9343 NE Sportsman Club Rd</t>
  </si>
  <si>
    <t>98110-3642</t>
  </si>
  <si>
    <t>James  Corsetti</t>
  </si>
  <si>
    <t>jcorsetti@bisd303.org</t>
  </si>
  <si>
    <t>206.780.6501</t>
  </si>
  <si>
    <t>18360 Caldart Ave NE</t>
  </si>
  <si>
    <t>98370-8775</t>
  </si>
  <si>
    <t>Lori Ann Buijten</t>
  </si>
  <si>
    <t>lbuijten@nkschools.org</t>
  </si>
  <si>
    <t>360.396.3023</t>
  </si>
  <si>
    <t>Pal Program</t>
  </si>
  <si>
    <t>Poulsbo Elementary School</t>
  </si>
  <si>
    <t>18531 Noll Rd NE</t>
  </si>
  <si>
    <t>98370-7521</t>
  </si>
  <si>
    <t>Andrew McMillan Crandall</t>
  </si>
  <si>
    <t>dcrandall@nkschools.org</t>
  </si>
  <si>
    <t>360.396.3502</t>
  </si>
  <si>
    <t>Poulsbo Middle School</t>
  </si>
  <si>
    <t>2003 NE Hostmark St</t>
  </si>
  <si>
    <t>98370-7639</t>
  </si>
  <si>
    <t>Joshua K Emmons</t>
  </si>
  <si>
    <t>jemmons@nkschools.org</t>
  </si>
  <si>
    <t>360.396.3202</t>
  </si>
  <si>
    <t>David Wolfle Elementary</t>
  </si>
  <si>
    <t>27089 Highland Rd NE</t>
  </si>
  <si>
    <t>98346-8408</t>
  </si>
  <si>
    <t>Courtney Anne Allison</t>
  </si>
  <si>
    <t>callison@nkschools.org</t>
  </si>
  <si>
    <t>360.396.3702</t>
  </si>
  <si>
    <t>Hilder Pearson Elementary</t>
  </si>
  <si>
    <t>15650 Central Valley Rd NW</t>
  </si>
  <si>
    <t>98370-8147</t>
  </si>
  <si>
    <t>Timothy Randall Garrison</t>
  </si>
  <si>
    <t>tgarrison@nkschools.org</t>
  </si>
  <si>
    <t>360.396.3752</t>
  </si>
  <si>
    <t>Middle School Options</t>
  </si>
  <si>
    <t>26331 Barber Cut Off Rd NE</t>
  </si>
  <si>
    <t>98346-9401</t>
  </si>
  <si>
    <t>Christine L Frantzen</t>
  </si>
  <si>
    <t>cfrantzen@nkschools.org</t>
  </si>
  <si>
    <t>360.396.3802</t>
  </si>
  <si>
    <t>North Kitsap High School</t>
  </si>
  <si>
    <t>1780 NE Hostmark St</t>
  </si>
  <si>
    <t>98370-7682</t>
  </si>
  <si>
    <t>Megan Angela Sawicki</t>
  </si>
  <si>
    <t>msawicki@nkschools.org</t>
  </si>
  <si>
    <t>360.396.3102</t>
  </si>
  <si>
    <t>Suquamish Elementary School</t>
  </si>
  <si>
    <t>18950 Park Ave NE</t>
  </si>
  <si>
    <t>Suquamish</t>
  </si>
  <si>
    <t>98392-9706</t>
  </si>
  <si>
    <t>Michael E Bliss</t>
  </si>
  <si>
    <t>mbliss@nkschools.org</t>
  </si>
  <si>
    <t>360.396.3851</t>
  </si>
  <si>
    <t>Kingston Middle School</t>
  </si>
  <si>
    <t>9000 W Kingston Rd</t>
  </si>
  <si>
    <t>98346-9327</t>
  </si>
  <si>
    <t>Aaron Christopher Lee</t>
  </si>
  <si>
    <t>alee@nkschools.org</t>
  </si>
  <si>
    <t>360.396.3402</t>
  </si>
  <si>
    <t>Jr High</t>
  </si>
  <si>
    <t>Vinland Elementary</t>
  </si>
  <si>
    <t>22104 Rhododendron Ln NW</t>
  </si>
  <si>
    <t>98370-9406</t>
  </si>
  <si>
    <t>Bridgit Lee Reichel</t>
  </si>
  <si>
    <t>breichel@nkschools.org</t>
  </si>
  <si>
    <t>360.396.3602</t>
  </si>
  <si>
    <t>Richard Gordon Elementary</t>
  </si>
  <si>
    <t>360.393.3802</t>
  </si>
  <si>
    <t>Central Kitsap High School</t>
  </si>
  <si>
    <t>10140 FRONTIER PL NW</t>
  </si>
  <si>
    <t>SILVERDALE</t>
  </si>
  <si>
    <t>Craig  Johnson</t>
  </si>
  <si>
    <t>CraigJ@ckschools.org</t>
  </si>
  <si>
    <t>360.662.2400</t>
  </si>
  <si>
    <t>Brownsville Elementary</t>
  </si>
  <si>
    <t>8795 Illahee Rd NE</t>
  </si>
  <si>
    <t>BREMERTON</t>
  </si>
  <si>
    <t>Stacey  Krumsick</t>
  </si>
  <si>
    <t>StaceyK@ckschools.org</t>
  </si>
  <si>
    <t>360.662.8000</t>
  </si>
  <si>
    <t>Central Kitsap Middle School</t>
  </si>
  <si>
    <t>3850 NW Anderson Hill Rd</t>
  </si>
  <si>
    <t>98383-0008</t>
  </si>
  <si>
    <t>Scott  McDaniel</t>
  </si>
  <si>
    <t>scottmcd@cksd.wednet.edu</t>
  </si>
  <si>
    <t>360.662.2300</t>
  </si>
  <si>
    <t>John D. Bud Hawk Elementary at Jackson Park</t>
  </si>
  <si>
    <t>2900 Austin Drive</t>
  </si>
  <si>
    <t>Chris  Visserman</t>
  </si>
  <si>
    <t>chrisv@ckschools.org</t>
  </si>
  <si>
    <t>360.662.9000</t>
  </si>
  <si>
    <t>Fairview Middle School</t>
  </si>
  <si>
    <t>8107 Cetnral Valley Rd NW</t>
  </si>
  <si>
    <t>Adrinne  Nestor</t>
  </si>
  <si>
    <t>AdrienneN@ckschools.org</t>
  </si>
  <si>
    <t>360.662.2600</t>
  </si>
  <si>
    <t>Cottonwood Elementary School</t>
  </si>
  <si>
    <t>330 NE Foster Road</t>
  </si>
  <si>
    <t>Ninette  Rivero</t>
  </si>
  <si>
    <t>NinetteR@ckschools.org</t>
  </si>
  <si>
    <t>360.662.8300</t>
  </si>
  <si>
    <t>Esquire Hills Elementary</t>
  </si>
  <si>
    <t>2650 NE John Carlson Rd</t>
  </si>
  <si>
    <t>Susan  Zetty</t>
  </si>
  <si>
    <t>susanz@cksd.wednet.edu</t>
  </si>
  <si>
    <t>360.662.8600</t>
  </si>
  <si>
    <t>Clear Creek Elementary School</t>
  </si>
  <si>
    <t>12901 Winter Creek Ave NW</t>
  </si>
  <si>
    <t>98383-9662</t>
  </si>
  <si>
    <t>Toby  Tebo</t>
  </si>
  <si>
    <t>tobyt@ckschools.org</t>
  </si>
  <si>
    <t>360.662.8100</t>
  </si>
  <si>
    <t>Olympic High School</t>
  </si>
  <si>
    <t>7077 Stampede Blvd NW</t>
  </si>
  <si>
    <t>Gail  Danner</t>
  </si>
  <si>
    <t>GailD@ckschools.org</t>
  </si>
  <si>
    <t>360.662.2700</t>
  </si>
  <si>
    <t>Silverdale Elementary</t>
  </si>
  <si>
    <t>9100 Dickey Road</t>
  </si>
  <si>
    <t>Cynthia  Cantwell</t>
  </si>
  <si>
    <t>CynthiaCa@ckschools.org</t>
  </si>
  <si>
    <t>360.662.9400</t>
  </si>
  <si>
    <t>Woodlands Elementary</t>
  </si>
  <si>
    <t>7420 Central Valley Rd NE</t>
  </si>
  <si>
    <t>Amy  Archuleta</t>
  </si>
  <si>
    <t>amya@cksd.wednet.edu</t>
  </si>
  <si>
    <t>360.662.9700</t>
  </si>
  <si>
    <t>Ridgetop Middle School</t>
  </si>
  <si>
    <t>10600 Hillsboro Dr NE</t>
  </si>
  <si>
    <t>Rusty  Willson</t>
  </si>
  <si>
    <t>rustyw@ckschools.org</t>
  </si>
  <si>
    <t>360.662.2905</t>
  </si>
  <si>
    <t>Cougar Valley Elementary</t>
  </si>
  <si>
    <t>13200 Olympic View Rd NW</t>
  </si>
  <si>
    <t>chrisv@cksd.wednet.edu</t>
  </si>
  <si>
    <t>360.662.8400</t>
  </si>
  <si>
    <t>Silver Ridge Elementary</t>
  </si>
  <si>
    <t>10622 Hillsboro Drive NE</t>
  </si>
  <si>
    <t>Lisa  Hawkins</t>
  </si>
  <si>
    <t>lisah@ckschools.org</t>
  </si>
  <si>
    <t>360.662.9500</t>
  </si>
  <si>
    <t>Green Mountain Elementary</t>
  </si>
  <si>
    <t>3860 Boundary Trail NW</t>
  </si>
  <si>
    <t>Thomasina  Rogers</t>
  </si>
  <si>
    <t>thomasinar@cksd.wednet.edu</t>
  </si>
  <si>
    <t>360.662.8700</t>
  </si>
  <si>
    <t>Emerald Heights Elementary</t>
  </si>
  <si>
    <t>1260 Pinnacle Court</t>
  </si>
  <si>
    <t>Greg  Cleven</t>
  </si>
  <si>
    <t>gregc@cksd.wednet.edu</t>
  </si>
  <si>
    <t>360.662.8500</t>
  </si>
  <si>
    <t>Klahowya Secondary</t>
  </si>
  <si>
    <t>P.O. Box 8</t>
  </si>
  <si>
    <t>Jodie  Woolf</t>
  </si>
  <si>
    <t>jodiew@ckschools.org</t>
  </si>
  <si>
    <t>360.662.4002</t>
  </si>
  <si>
    <t>Pinecrest Elementary</t>
  </si>
  <si>
    <t>5530 Pine Road NE</t>
  </si>
  <si>
    <t>Bethany  LaHaie</t>
  </si>
  <si>
    <t>BethanyL@ckschools.org</t>
  </si>
  <si>
    <t>360.662.9200</t>
  </si>
  <si>
    <t>Explorer Academy</t>
  </si>
  <si>
    <t>2689 HOOVER AVE SE</t>
  </si>
  <si>
    <t>PORT ORCHARD</t>
  </si>
  <si>
    <t>98366-0000</t>
  </si>
  <si>
    <t>PAT  OSTER</t>
  </si>
  <si>
    <t>oster@skschools.org</t>
  </si>
  <si>
    <t>360.443.3605</t>
  </si>
  <si>
    <t>South Kitsap High School</t>
  </si>
  <si>
    <t>425 MITCHELL AVE</t>
  </si>
  <si>
    <t>Dave  Goodwin</t>
  </si>
  <si>
    <t>goodwin@skschools.org</t>
  </si>
  <si>
    <t>360.874.5601</t>
  </si>
  <si>
    <t>East Port Orchard Elementary</t>
  </si>
  <si>
    <t>2649 HOOVER AVE SE</t>
  </si>
  <si>
    <t>Paul  Hulbert</t>
  </si>
  <si>
    <t>hulbert@skschools.org</t>
  </si>
  <si>
    <t>360.443.3170</t>
  </si>
  <si>
    <t>Orchard Heights Elementary</t>
  </si>
  <si>
    <t>2288 FIRCREST DR SE</t>
  </si>
  <si>
    <t>Kris  Christenberry</t>
  </si>
  <si>
    <t>christenberry@skschools.org</t>
  </si>
  <si>
    <t>360.874.6400</t>
  </si>
  <si>
    <t>Olalla Elementary School</t>
  </si>
  <si>
    <t>6100 SE DENNY BOND BLVD</t>
  </si>
  <si>
    <t>98359-0000</t>
  </si>
  <si>
    <t>Ted  Macomber</t>
  </si>
  <si>
    <t>macomber@skschools.org</t>
  </si>
  <si>
    <t>360.443.3350</t>
  </si>
  <si>
    <t>Marcus Whitman Middle School</t>
  </si>
  <si>
    <t>1887 MADRONA DR SE</t>
  </si>
  <si>
    <t>BRIAN  CARLSON</t>
  </si>
  <si>
    <t>carlson@skschools.org</t>
  </si>
  <si>
    <t>360.874.6160</t>
  </si>
  <si>
    <t>South Colby Elementary</t>
  </si>
  <si>
    <t>3281 Banner Road SE</t>
  </si>
  <si>
    <t>Port Orchard</t>
  </si>
  <si>
    <t>Anna  Munson</t>
  </si>
  <si>
    <t>munson@skschools.org</t>
  </si>
  <si>
    <t>360.443.3022</t>
  </si>
  <si>
    <t>Kitsap Co Detention Ctr</t>
  </si>
  <si>
    <t>1338 SW OLD CLIFTON RD</t>
  </si>
  <si>
    <t>98366-9113</t>
  </si>
  <si>
    <t>awilda.jesionowski@esd112.org</t>
  </si>
  <si>
    <t>360.417.2282</t>
  </si>
  <si>
    <t>2220 POTTERY AVE</t>
  </si>
  <si>
    <t>Andrew  Cain</t>
  </si>
  <si>
    <t>cain@skschools.org</t>
  </si>
  <si>
    <t>360.874.6022</t>
  </si>
  <si>
    <t>Discovery</t>
  </si>
  <si>
    <t>2150 FIRCREST DR SE</t>
  </si>
  <si>
    <t>360.443.3680</t>
  </si>
  <si>
    <t>Burley Glenwood Elementary</t>
  </si>
  <si>
    <t>100 SW LAKEWAY BLVD</t>
  </si>
  <si>
    <t>98367-0000</t>
  </si>
  <si>
    <t>Joey  Kolattukudy</t>
  </si>
  <si>
    <t>kolattukudy@skschools.org</t>
  </si>
  <si>
    <t>360.443.3174</t>
  </si>
  <si>
    <t>Manchester Elementary School</t>
  </si>
  <si>
    <t>1901 CALIFORNIA AVE E</t>
  </si>
  <si>
    <t>Rachelle  Byrd</t>
  </si>
  <si>
    <t>byrdr@skschools.org</t>
  </si>
  <si>
    <t>360.443.3230</t>
  </si>
  <si>
    <t>4183 SUNNYSLOPE RD SW</t>
  </si>
  <si>
    <t>Lisa  Fundanet</t>
  </si>
  <si>
    <t>fundanet@skschools.org</t>
  </si>
  <si>
    <t>360.443.3470</t>
  </si>
  <si>
    <t>John Sedgwick Middle School</t>
  </si>
  <si>
    <t>8995 SE SEDGWICK RD</t>
  </si>
  <si>
    <t>Dan   Novick</t>
  </si>
  <si>
    <t>novick@skschools.org</t>
  </si>
  <si>
    <t>360.874.6091</t>
  </si>
  <si>
    <t>Hidden Creek Elementary School</t>
  </si>
  <si>
    <t>5455 CONVERSE ROAD SE</t>
  </si>
  <si>
    <t>Brenda  Ward</t>
  </si>
  <si>
    <t>ward@skschools.org</t>
  </si>
  <si>
    <t>360.443.3059</t>
  </si>
  <si>
    <t>Sidney Glen Elementary School</t>
  </si>
  <si>
    <t>500 SW BIRCH RD</t>
  </si>
  <si>
    <t>Jason  Shdo</t>
  </si>
  <si>
    <t>shdo@skschools.org</t>
  </si>
  <si>
    <t>360.443.3400</t>
  </si>
  <si>
    <t>Mullenix Ridge Elementary School</t>
  </si>
  <si>
    <t>3900 SE MULLENIX RD</t>
  </si>
  <si>
    <t>Barbara  Pixton</t>
  </si>
  <si>
    <t>pixton@skschools.org</t>
  </si>
  <si>
    <t>360.443.3294</t>
  </si>
  <si>
    <t>Damman School District</t>
  </si>
  <si>
    <t>Damman Elementary</t>
  </si>
  <si>
    <t>3600 Umptanum Rd.</t>
  </si>
  <si>
    <t>Ellensburg</t>
  </si>
  <si>
    <t>98926-0000</t>
  </si>
  <si>
    <t>Marsha  Smith</t>
  </si>
  <si>
    <t>hats2many@aol.com</t>
  </si>
  <si>
    <t>(509) 925-4567</t>
  </si>
  <si>
    <t>Easton School District</t>
  </si>
  <si>
    <t>Easton School</t>
  </si>
  <si>
    <t>P O Box 8</t>
  </si>
  <si>
    <t>Easton</t>
  </si>
  <si>
    <t>98925-0008</t>
  </si>
  <si>
    <t>Ron  woodruff</t>
  </si>
  <si>
    <t>woodruffr@easton.wednet.edu</t>
  </si>
  <si>
    <t>509.656.2317</t>
  </si>
  <si>
    <t>Thorp School District</t>
  </si>
  <si>
    <t>Thorp Elem &amp; Jr Sr High</t>
  </si>
  <si>
    <t>PO Box 150</t>
  </si>
  <si>
    <t>10831 N Thorp Hwy</t>
  </si>
  <si>
    <t>Thorp</t>
  </si>
  <si>
    <t>98946-0000</t>
  </si>
  <si>
    <t>SALLY  NELSON</t>
  </si>
  <si>
    <t>NELSONS@THORPSCHOOLS.ORG</t>
  </si>
  <si>
    <t>509.964.2107</t>
  </si>
  <si>
    <t>Ellensburg School District</t>
  </si>
  <si>
    <t>Morgan Middle School</t>
  </si>
  <si>
    <t>400 E First</t>
  </si>
  <si>
    <t>Michelle  Bibich</t>
  </si>
  <si>
    <t>michelle.bibich@esd401.org</t>
  </si>
  <si>
    <t>509.925.8200</t>
  </si>
  <si>
    <t>200 S. Sampson</t>
  </si>
  <si>
    <t>Joanne  Duncan</t>
  </si>
  <si>
    <t>joanne.duncan@esd401.org</t>
  </si>
  <si>
    <t>509.925.8050</t>
  </si>
  <si>
    <t>Ellensburg High School</t>
  </si>
  <si>
    <t>1203 E Capitol</t>
  </si>
  <si>
    <t>Beau  Snow</t>
  </si>
  <si>
    <t>beau.snow@esd401.org</t>
  </si>
  <si>
    <t>509.925.8306</t>
  </si>
  <si>
    <t>Mt. Stuart Elementary</t>
  </si>
  <si>
    <t>705 W. 15th</t>
  </si>
  <si>
    <t>Dan  Patton</t>
  </si>
  <si>
    <t>dan.patton@esd401.org</t>
  </si>
  <si>
    <t>509.925.8404</t>
  </si>
  <si>
    <t>Valley View Elementary School</t>
  </si>
  <si>
    <t>1508 E 3rd</t>
  </si>
  <si>
    <t>98936-0000</t>
  </si>
  <si>
    <t>Rob  Moffat</t>
  </si>
  <si>
    <t>rob.moffat@esd401.org</t>
  </si>
  <si>
    <t>509.925.7316</t>
  </si>
  <si>
    <t>Kittitas School District</t>
  </si>
  <si>
    <t>Kittitas Elementary School</t>
  </si>
  <si>
    <t>PO Box 599</t>
  </si>
  <si>
    <t>Kittitas</t>
  </si>
  <si>
    <t>Del  Enders</t>
  </si>
  <si>
    <t>del_enders@ksd403.org</t>
  </si>
  <si>
    <t>855.380.8843</t>
  </si>
  <si>
    <t>Kittitas High School</t>
  </si>
  <si>
    <t>Heather  Burfeind</t>
  </si>
  <si>
    <t>heather_burfeind@ksd403.org</t>
  </si>
  <si>
    <t>855.380.8848</t>
  </si>
  <si>
    <t>Parke Creek Treatment Ctr</t>
  </si>
  <si>
    <t>11042 Parke Creek Road</t>
  </si>
  <si>
    <t>Steve  Cordero</t>
  </si>
  <si>
    <t>(509) 968-3924</t>
  </si>
  <si>
    <t>Cle Elum-Roslyn School District</t>
  </si>
  <si>
    <t>Cle Elum Roslyn Elementary</t>
  </si>
  <si>
    <t>2696 SR 903</t>
  </si>
  <si>
    <t>Cle Elum</t>
  </si>
  <si>
    <t>98922-8708</t>
  </si>
  <si>
    <t>Robert "Matt" Chase</t>
  </si>
  <si>
    <t>chasem@cersd.org</t>
  </si>
  <si>
    <t>509.649.4701</t>
  </si>
  <si>
    <t>Cle Elum Roslyn High School</t>
  </si>
  <si>
    <t>2692 SR 903</t>
  </si>
  <si>
    <t>Cle Eum</t>
  </si>
  <si>
    <t>98922-8706</t>
  </si>
  <si>
    <t>simpsonb@cersd.org</t>
  </si>
  <si>
    <t>509.649.4901</t>
  </si>
  <si>
    <t>Walter Strom Middle School</t>
  </si>
  <si>
    <t>2694  SR 903</t>
  </si>
  <si>
    <t>98922-8707</t>
  </si>
  <si>
    <t>Lara  Gregorich-Bennett</t>
  </si>
  <si>
    <t>g-bl@cersd.org</t>
  </si>
  <si>
    <t>509.649.4801</t>
  </si>
  <si>
    <t>Wishram School District</t>
  </si>
  <si>
    <t>Wishram High And Elementary Schl</t>
  </si>
  <si>
    <t>Wishram</t>
  </si>
  <si>
    <t>98673-0008</t>
  </si>
  <si>
    <t>michael  ROBERTS</t>
  </si>
  <si>
    <t>mike.roberts@wishramschool.org</t>
  </si>
  <si>
    <t>509.748.2551</t>
  </si>
  <si>
    <t>Bickleton School District</t>
  </si>
  <si>
    <t>Bickleton Elementary &amp; High Schl</t>
  </si>
  <si>
    <t>3626 Bickleton Highway</t>
  </si>
  <si>
    <t>Bickleton</t>
  </si>
  <si>
    <t>Tom  Whitmore</t>
  </si>
  <si>
    <t>twhitmore@bickleton.wednet.edu</t>
  </si>
  <si>
    <t>509.896.5473</t>
  </si>
  <si>
    <t>Centerville School District</t>
  </si>
  <si>
    <t>Centerville Elementary</t>
  </si>
  <si>
    <t>2315 Centerville Hwy</t>
  </si>
  <si>
    <t>Centerville</t>
  </si>
  <si>
    <t>98613-3021</t>
  </si>
  <si>
    <t>Kristin  Cameron</t>
  </si>
  <si>
    <t>kristin@centervilleschool.org</t>
  </si>
  <si>
    <t>509.773.4893</t>
  </si>
  <si>
    <t>Trout Lake School District</t>
  </si>
  <si>
    <t>Trout Lake School</t>
  </si>
  <si>
    <t>PO Box 488</t>
  </si>
  <si>
    <t>Trout Lake</t>
  </si>
  <si>
    <t>98650-0000</t>
  </si>
  <si>
    <t>Douglas  Dearden</t>
  </si>
  <si>
    <t>d.dearden@tlschool.net</t>
  </si>
  <si>
    <t>509.395.2571</t>
  </si>
  <si>
    <t>Trout Lake Elementary</t>
  </si>
  <si>
    <t xml:space="preserve">98650-0488 </t>
  </si>
  <si>
    <t>Glenwood School District</t>
  </si>
  <si>
    <t>Glenwood Elementary</t>
  </si>
  <si>
    <t>PO Box 12</t>
  </si>
  <si>
    <t>Glenwood</t>
  </si>
  <si>
    <t>98619-0091</t>
  </si>
  <si>
    <t>Scott  Harris</t>
  </si>
  <si>
    <t>sharris@esd112.wednet.edu</t>
  </si>
  <si>
    <t>509.364.3438</t>
  </si>
  <si>
    <t>Glenwood Secondary</t>
  </si>
  <si>
    <t>320 Bunnell St.</t>
  </si>
  <si>
    <t>P. O. Box 12</t>
  </si>
  <si>
    <t>Pamela  Shelly</t>
  </si>
  <si>
    <t>pam.shelly@glenwoodsd.org</t>
  </si>
  <si>
    <t>Klickitat School District</t>
  </si>
  <si>
    <t>Klickitat Elem &amp; High</t>
  </si>
  <si>
    <t>P. O. Box 37</t>
  </si>
  <si>
    <t>Klickitat</t>
  </si>
  <si>
    <t>98628-0037</t>
  </si>
  <si>
    <t>John Justin Draper</t>
  </si>
  <si>
    <t>justin.draper@klickitatsd.org</t>
  </si>
  <si>
    <t>509.369.4145</t>
  </si>
  <si>
    <t>Roosevelt School District</t>
  </si>
  <si>
    <t>P.O. Box 248</t>
  </si>
  <si>
    <t>Roosevelt</t>
  </si>
  <si>
    <t>99356-0248</t>
  </si>
  <si>
    <t>Ken  BeLieu</t>
  </si>
  <si>
    <t>kbelieu@esd112.wednet.edu</t>
  </si>
  <si>
    <t>(509)384-5462</t>
  </si>
  <si>
    <t>Goldendale School District</t>
  </si>
  <si>
    <t>Goldendale Primary School</t>
  </si>
  <si>
    <t>820 S. SCHUSTER ST</t>
  </si>
  <si>
    <t>GOLDENDALE</t>
  </si>
  <si>
    <t>98620-9038</t>
  </si>
  <si>
    <t>KRISTON  FERRELL</t>
  </si>
  <si>
    <t>CFERRELL@GSD404.ORG</t>
  </si>
  <si>
    <t>509.773.5111</t>
  </si>
  <si>
    <t>Goldendale High School</t>
  </si>
  <si>
    <t>525 SIMCOE DR.</t>
  </si>
  <si>
    <t>98620-9299</t>
  </si>
  <si>
    <t>JOHN A WESTERMAN</t>
  </si>
  <si>
    <t>JWESTERMAN@GSD404.ORG</t>
  </si>
  <si>
    <t>509.773.5846</t>
  </si>
  <si>
    <t>Goldendale Middle School</t>
  </si>
  <si>
    <t>520 E. COLLINS DR.</t>
  </si>
  <si>
    <t>98620-9298</t>
  </si>
  <si>
    <t>DAVID  BARTA</t>
  </si>
  <si>
    <t>DBARTA@GSD404.ORG</t>
  </si>
  <si>
    <t>(509) 773-4323</t>
  </si>
  <si>
    <t>Columbia High School</t>
  </si>
  <si>
    <t>PO BOX 1339</t>
  </si>
  <si>
    <t>WHITE SALMON</t>
  </si>
  <si>
    <t>98672-0000</t>
  </si>
  <si>
    <t>CRAIG  MCKEE</t>
  </si>
  <si>
    <t>craig.mckee@whitesalmonschools.org</t>
  </si>
  <si>
    <t>509.493.1970</t>
  </si>
  <si>
    <t>Hulan L Whitson Elem</t>
  </si>
  <si>
    <t>PO BOX 1279</t>
  </si>
  <si>
    <t>98672-1279</t>
  </si>
  <si>
    <t>TODD  MCCAULEY</t>
  </si>
  <si>
    <t>todd.mccauley@whitesalmonschools.org</t>
  </si>
  <si>
    <t>509.493.1560</t>
  </si>
  <si>
    <t>Wayne M Henkle Middle School</t>
  </si>
  <si>
    <t>PO Box 1309</t>
  </si>
  <si>
    <t>Haley  Ortega</t>
  </si>
  <si>
    <t>haley.ortega@whitesalmonschools.org</t>
  </si>
  <si>
    <t>509.493.1502</t>
  </si>
  <si>
    <t>Lyle School District</t>
  </si>
  <si>
    <t>Dallesport Elementary</t>
  </si>
  <si>
    <t>P.O. Box 368</t>
  </si>
  <si>
    <t>Lyle</t>
  </si>
  <si>
    <t>Andrew  Kelly</t>
  </si>
  <si>
    <t>andrew.kelly@lyleschools.org</t>
  </si>
  <si>
    <t>509.365.2211</t>
  </si>
  <si>
    <t>Lyle High School</t>
  </si>
  <si>
    <t>98635-0000</t>
  </si>
  <si>
    <t>Lori  Smith</t>
  </si>
  <si>
    <t>lori.smith@lyleschools.org</t>
  </si>
  <si>
    <t>509.365.2191</t>
  </si>
  <si>
    <t>Lyle Middle School</t>
  </si>
  <si>
    <t>Napavine School District</t>
  </si>
  <si>
    <t>Napavine Jr Sr High School</t>
  </si>
  <si>
    <t>PO Box 357</t>
  </si>
  <si>
    <t>Napavine</t>
  </si>
  <si>
    <t>98565-0000</t>
  </si>
  <si>
    <t>Jason  Prather</t>
  </si>
  <si>
    <t>jprather@napavineschools.org</t>
  </si>
  <si>
    <t>360.262.3301</t>
  </si>
  <si>
    <t>Napavine Elementary</t>
  </si>
  <si>
    <t>PO Box 837</t>
  </si>
  <si>
    <t>PAUL E LEWIS</t>
  </si>
  <si>
    <t>plewis@napavineschools.org</t>
  </si>
  <si>
    <t>360.262.3345</t>
  </si>
  <si>
    <t>Evaline School District</t>
  </si>
  <si>
    <t>Evaline Elementary School</t>
  </si>
  <si>
    <t>111 SCHOOLHOUSE RD</t>
  </si>
  <si>
    <t>WINLOCK</t>
  </si>
  <si>
    <t>98596-9718</t>
  </si>
  <si>
    <t>Annie  Robinson</t>
  </si>
  <si>
    <t>arobinson@evalinesd.k12.wa.us</t>
  </si>
  <si>
    <t>360.785.3460</t>
  </si>
  <si>
    <t>Mossyrock Elementary School</t>
  </si>
  <si>
    <t>P O Box 455</t>
  </si>
  <si>
    <t>445  Williams Street</t>
  </si>
  <si>
    <t>MOSSYROCK</t>
  </si>
  <si>
    <t>98564-0455</t>
  </si>
  <si>
    <t>Randy  Torrey</t>
  </si>
  <si>
    <t>rtorrey@mossyrock.k12.wa.us</t>
  </si>
  <si>
    <t>360.983.3184</t>
  </si>
  <si>
    <t>Mossyrock Jr./Sr. High School</t>
  </si>
  <si>
    <t>PO Box 454</t>
  </si>
  <si>
    <t>295 Williams Street</t>
  </si>
  <si>
    <t>Morton School District</t>
  </si>
  <si>
    <t>Morton Elementary School</t>
  </si>
  <si>
    <t>PO BOX 1299</t>
  </si>
  <si>
    <t>MORTON</t>
  </si>
  <si>
    <t>98356-0060</t>
  </si>
  <si>
    <t>Joshua  Brooks</t>
  </si>
  <si>
    <t>Jbrooks@morton.k12.wa.us</t>
  </si>
  <si>
    <t>360.496.5143</t>
  </si>
  <si>
    <t>Morton Junior-Senior High</t>
  </si>
  <si>
    <t>PO BOX  1169</t>
  </si>
  <si>
    <t>98356-0030</t>
  </si>
  <si>
    <t>John  Hannah</t>
  </si>
  <si>
    <t>jhannah@morton.k12.wa.us</t>
  </si>
  <si>
    <t>360.496.5137</t>
  </si>
  <si>
    <t>Adna School District</t>
  </si>
  <si>
    <t>Adna Elementary School</t>
  </si>
  <si>
    <t>P.O. Box 28</t>
  </si>
  <si>
    <t>Adna</t>
  </si>
  <si>
    <t>98522-0028</t>
  </si>
  <si>
    <t>Lisa  Dallas</t>
  </si>
  <si>
    <t>dallasl@adnaschools.org</t>
  </si>
  <si>
    <t>360.748.7029</t>
  </si>
  <si>
    <t>Adna Middle/High School</t>
  </si>
  <si>
    <t>P.O. Box 148</t>
  </si>
  <si>
    <t>98522-0148</t>
  </si>
  <si>
    <t>Thad  Nelson</t>
  </si>
  <si>
    <t>nelsont@adnaschools.org</t>
  </si>
  <si>
    <t>360.748.8552</t>
  </si>
  <si>
    <t>Winlock School District</t>
  </si>
  <si>
    <t>Winolequa Learning Academy</t>
  </si>
  <si>
    <t>405 NW Benton</t>
  </si>
  <si>
    <t>98596-0000</t>
  </si>
  <si>
    <t>Boyd  Calder</t>
  </si>
  <si>
    <t>bcalder@winlock.wednet.edu</t>
  </si>
  <si>
    <t>360.785.3516</t>
  </si>
  <si>
    <t>Winlock Miller Elementary</t>
  </si>
  <si>
    <t>405 NW BENTON</t>
  </si>
  <si>
    <t>Winlock Senior High</t>
  </si>
  <si>
    <t>241 NORTH MILITARY ROAD</t>
  </si>
  <si>
    <t>Brian   Maley</t>
  </si>
  <si>
    <t>bmaley@winlock.wednet.edu</t>
  </si>
  <si>
    <t>360.785.3537</t>
  </si>
  <si>
    <t>Winlock Middle School</t>
  </si>
  <si>
    <t>360.785.3046</t>
  </si>
  <si>
    <t>Boistfort School District</t>
  </si>
  <si>
    <t>Boistfort Elem</t>
  </si>
  <si>
    <t>983 Boistfort Road</t>
  </si>
  <si>
    <t>Curtis</t>
  </si>
  <si>
    <t>98538-9734</t>
  </si>
  <si>
    <t>Christopher D Clark</t>
  </si>
  <si>
    <t>cclark@boistfort.k12.wa.us</t>
  </si>
  <si>
    <t>360.245.3343</t>
  </si>
  <si>
    <t>Toledo School District</t>
  </si>
  <si>
    <t>Toledo High School</t>
  </si>
  <si>
    <t>PO Box 820</t>
  </si>
  <si>
    <t>Toledo</t>
  </si>
  <si>
    <t>Martin  Huffman</t>
  </si>
  <si>
    <t>mhuffman@toledo.k12.wa.us</t>
  </si>
  <si>
    <t>360.864.2391</t>
  </si>
  <si>
    <t>Toledo Elementary School</t>
  </si>
  <si>
    <t>PO Box 549</t>
  </si>
  <si>
    <t>Toledo Middle School</t>
  </si>
  <si>
    <t>PO Box 668</t>
  </si>
  <si>
    <t>98591-0000</t>
  </si>
  <si>
    <t>Heather  Ogden</t>
  </si>
  <si>
    <t>hogden@toledoschools.us</t>
  </si>
  <si>
    <t>360.864.2395</t>
  </si>
  <si>
    <t>Onalaska School District</t>
  </si>
  <si>
    <t>Onalaska High School</t>
  </si>
  <si>
    <t>540 Carlisle Ave.</t>
  </si>
  <si>
    <t>Onalaska</t>
  </si>
  <si>
    <t>98570-9604</t>
  </si>
  <si>
    <t>Dracy  McCoy</t>
  </si>
  <si>
    <t>dmccoy@onysd.wednet.edu</t>
  </si>
  <si>
    <t>360.978.4111</t>
  </si>
  <si>
    <t>Onalaska Elementary School</t>
  </si>
  <si>
    <t>SANDRA  BOWEN</t>
  </si>
  <si>
    <t>sbowen@onysd.wednet.edu</t>
  </si>
  <si>
    <t xml:space="preserve">Onalaska Middle School </t>
  </si>
  <si>
    <t>540 Carlisle Avenue</t>
  </si>
  <si>
    <t>Kristen  Soderback</t>
  </si>
  <si>
    <t>ksoderback@onysd.wednet.edu</t>
  </si>
  <si>
    <t>Pe Ell School District</t>
  </si>
  <si>
    <t>Pe Ell School</t>
  </si>
  <si>
    <t>PO Box 368</t>
  </si>
  <si>
    <t>Pe Ell</t>
  </si>
  <si>
    <t>98572-0000</t>
  </si>
  <si>
    <t>Kyle  MacDonald</t>
  </si>
  <si>
    <t>kmacdonald@peell.k12.wa.us</t>
  </si>
  <si>
    <t>360.291.3244</t>
  </si>
  <si>
    <t>Lewis County Juvenile Detention</t>
  </si>
  <si>
    <t>360 NW North St</t>
  </si>
  <si>
    <t>Juv:01</t>
  </si>
  <si>
    <t>98532-0000</t>
  </si>
  <si>
    <t>Green Hill Academic School</t>
  </si>
  <si>
    <t>375 SW 11th Street</t>
  </si>
  <si>
    <t>360.740.3520</t>
  </si>
  <si>
    <t>W F West High School</t>
  </si>
  <si>
    <t>342 SW 16th Street</t>
  </si>
  <si>
    <t>98532-3809</t>
  </si>
  <si>
    <t>Bob  Walters</t>
  </si>
  <si>
    <t>bwalters@chehalisschools.org</t>
  </si>
  <si>
    <t>360.807.7235</t>
  </si>
  <si>
    <t>Chehalis Middle School</t>
  </si>
  <si>
    <t>1060 SW 20th Street</t>
  </si>
  <si>
    <t>Chris  Simpson</t>
  </si>
  <si>
    <t>csimpson@chehalisschools.org</t>
  </si>
  <si>
    <t>360.807.7230</t>
  </si>
  <si>
    <t>White Pass School District</t>
  </si>
  <si>
    <t>White Pass Jr. Sr. High School</t>
  </si>
  <si>
    <t>516 Silverbrook Road</t>
  </si>
  <si>
    <t>Randle</t>
  </si>
  <si>
    <t>Gary  Stamper</t>
  </si>
  <si>
    <t>gstamper@whitepass.k12.wa.us</t>
  </si>
  <si>
    <t>360.497.5816 ext.302</t>
  </si>
  <si>
    <t>White Pass Elementary School</t>
  </si>
  <si>
    <t>PO Box 188</t>
  </si>
  <si>
    <t>98377-0278</t>
  </si>
  <si>
    <t>Stephen   Vance</t>
  </si>
  <si>
    <t>svance@whitepass.k12.wa.us</t>
  </si>
  <si>
    <t>360.497.7300</t>
  </si>
  <si>
    <t>Centralia High School</t>
  </si>
  <si>
    <t>813 Eshom Road</t>
  </si>
  <si>
    <t>98531-1515</t>
  </si>
  <si>
    <t>Josue  Lowe</t>
  </si>
  <si>
    <t>jlowe@centralia.wednet.edu</t>
  </si>
  <si>
    <t>360.330.7605</t>
  </si>
  <si>
    <t>Edison Elementary</t>
  </si>
  <si>
    <t>607 H Street</t>
  </si>
  <si>
    <t>98531-4623</t>
  </si>
  <si>
    <t>Andy  Justice</t>
  </si>
  <si>
    <t>ajustice@centralia.wednet.edu</t>
  </si>
  <si>
    <t>360.330.7631</t>
  </si>
  <si>
    <t>Oakview Elementary School</t>
  </si>
  <si>
    <t>201 Oakview Avenue</t>
  </si>
  <si>
    <t>98531-3498</t>
  </si>
  <si>
    <t>Shannon  Richards</t>
  </si>
  <si>
    <t>srichards@centralia.wednet.edu</t>
  </si>
  <si>
    <t>360.330.7638</t>
  </si>
  <si>
    <t>Fords Prairie Elementary</t>
  </si>
  <si>
    <t>1620 Harrison Avenue</t>
  </si>
  <si>
    <t>98531-4533</t>
  </si>
  <si>
    <t>David L. Roberts</t>
  </si>
  <si>
    <t>droberts@centralia.wednet.edu</t>
  </si>
  <si>
    <t>(360)330-7633</t>
  </si>
  <si>
    <t>800 Field Street</t>
  </si>
  <si>
    <t>98531-3824</t>
  </si>
  <si>
    <t>Danielle  Vekich</t>
  </si>
  <si>
    <t>dvekich@centralia.wednet.edu</t>
  </si>
  <si>
    <t>360.300.7641</t>
  </si>
  <si>
    <t>Jefferson Lincoln Elementary</t>
  </si>
  <si>
    <t>400 West Summa</t>
  </si>
  <si>
    <t>98531-2324</t>
  </si>
  <si>
    <t>Kelli  DeMonte</t>
  </si>
  <si>
    <t>kdemonte@centralia.wednet.edu</t>
  </si>
  <si>
    <t>360.330.7636</t>
  </si>
  <si>
    <t>Centralia Middle School</t>
  </si>
  <si>
    <t>901 Johnson Road</t>
  </si>
  <si>
    <t>98531-1429</t>
  </si>
  <si>
    <t>Heidi  Bunker</t>
  </si>
  <si>
    <t>hbunker@centralia.wednet.edu</t>
  </si>
  <si>
    <t>360.330.7619</t>
  </si>
  <si>
    <t>Sprague School District</t>
  </si>
  <si>
    <t>Sprague High School</t>
  </si>
  <si>
    <t>P.O. Box 305</t>
  </si>
  <si>
    <t>Sprague</t>
  </si>
  <si>
    <t>99032-0305</t>
  </si>
  <si>
    <t>Bill  Ressel</t>
  </si>
  <si>
    <t>bressel@sprague.wednet.edu</t>
  </si>
  <si>
    <t>509.257.2511</t>
  </si>
  <si>
    <t>Sprague Elementary</t>
  </si>
  <si>
    <t>PO Box 305</t>
  </si>
  <si>
    <t>William  Ressel</t>
  </si>
  <si>
    <t>Reardan-Edwall School District</t>
  </si>
  <si>
    <t>Reardan Middle-Senior High School</t>
  </si>
  <si>
    <t>PO BOX 225</t>
  </si>
  <si>
    <t>REARDAN</t>
  </si>
  <si>
    <t>99029-0000</t>
  </si>
  <si>
    <t>Deborah  Newsum</t>
  </si>
  <si>
    <t>dnewsum@reardan.net</t>
  </si>
  <si>
    <t>509.796.2711</t>
  </si>
  <si>
    <t>Reardan Elementary School</t>
  </si>
  <si>
    <t>250 S ASPEN</t>
  </si>
  <si>
    <t>PO BOX 109</t>
  </si>
  <si>
    <t>DWIGHT  COOPER</t>
  </si>
  <si>
    <t>dccooper@reardan.net</t>
  </si>
  <si>
    <t>509.796.2511</t>
  </si>
  <si>
    <t>Almira School District</t>
  </si>
  <si>
    <t>Almira Elementary School</t>
  </si>
  <si>
    <t>PO BOX 217</t>
  </si>
  <si>
    <t>ALMIRA</t>
  </si>
  <si>
    <t>99103-0217</t>
  </si>
  <si>
    <t>Shauna L Schmerer</t>
  </si>
  <si>
    <t>sschmerer@almirasd.org</t>
  </si>
  <si>
    <t>509.639.2414</t>
  </si>
  <si>
    <t>Creston School District</t>
  </si>
  <si>
    <t>Creston Elementary</t>
  </si>
  <si>
    <t>485 SE E Street</t>
  </si>
  <si>
    <t>Creston</t>
  </si>
  <si>
    <t>99117-0017</t>
  </si>
  <si>
    <t>Glenn  Arland</t>
  </si>
  <si>
    <t>garland@wcsd.wednet.edu</t>
  </si>
  <si>
    <t>509.636.2721</t>
  </si>
  <si>
    <t>Creston Jr-Sr High School</t>
  </si>
  <si>
    <t>garland@creston.wednet.edu</t>
  </si>
  <si>
    <t>Odessa School District</t>
  </si>
  <si>
    <t>Odessa High School</t>
  </si>
  <si>
    <t>P.O. BOX 248</t>
  </si>
  <si>
    <t>ODESSA</t>
  </si>
  <si>
    <t>99159-0248</t>
  </si>
  <si>
    <t>Jamie  Nelson</t>
  </si>
  <si>
    <t>nelsonja@odessa.wednet.edu</t>
  </si>
  <si>
    <t>509.982.2111</t>
  </si>
  <si>
    <t>P C Jantz Elementary</t>
  </si>
  <si>
    <t>Wilbur School District</t>
  </si>
  <si>
    <t>Wilbur Secondary School</t>
  </si>
  <si>
    <t>PO Box 1090</t>
  </si>
  <si>
    <t>Wilbur</t>
  </si>
  <si>
    <t>99185-1090</t>
  </si>
  <si>
    <t>Belinda R Ross</t>
  </si>
  <si>
    <t>belindar@wilbur.wednet.edu</t>
  </si>
  <si>
    <t>509.647.5602</t>
  </si>
  <si>
    <t>Wilbur Elementary School</t>
  </si>
  <si>
    <t>Harrington School District</t>
  </si>
  <si>
    <t>Harrington Elementary School</t>
  </si>
  <si>
    <t>PO Box 204</t>
  </si>
  <si>
    <t>Harrington</t>
  </si>
  <si>
    <t>99134-0204</t>
  </si>
  <si>
    <t>Justin L Bradford</t>
  </si>
  <si>
    <t>jbradford@harrsd.k12.wa.us</t>
  </si>
  <si>
    <t>509.253.4331</t>
  </si>
  <si>
    <t>Harrington High School</t>
  </si>
  <si>
    <t>Davenport Elementary</t>
  </si>
  <si>
    <t>601 WASHINGTON STREET</t>
  </si>
  <si>
    <t>DAVENPORT</t>
  </si>
  <si>
    <t>99122-0000</t>
  </si>
  <si>
    <t>Courtney  Strozyk</t>
  </si>
  <si>
    <t>cstrozyk@davenportsd.org</t>
  </si>
  <si>
    <t>509.725.1261</t>
  </si>
  <si>
    <t>Davenport Senior High School</t>
  </si>
  <si>
    <t>801 7TH STREET</t>
  </si>
  <si>
    <t>509.725.4021</t>
  </si>
  <si>
    <t>Southside School District</t>
  </si>
  <si>
    <t>Southside Elementary</t>
  </si>
  <si>
    <t>161 SE COLLIER RD</t>
  </si>
  <si>
    <t>98584-8367</t>
  </si>
  <si>
    <t>Doris  Bolender</t>
  </si>
  <si>
    <t>dbolender@southsideschool.org</t>
  </si>
  <si>
    <t>360.426.8437</t>
  </si>
  <si>
    <t>Grapeview School District</t>
  </si>
  <si>
    <t>Grapeview Elementary &amp; Middle School</t>
  </si>
  <si>
    <t>822 E Mason Benson Rd</t>
  </si>
  <si>
    <t>Grapeview</t>
  </si>
  <si>
    <t>98546-9514</t>
  </si>
  <si>
    <t>Josie  Bean</t>
  </si>
  <si>
    <t>jbean@gsd54.org</t>
  </si>
  <si>
    <t>360.426.4921</t>
  </si>
  <si>
    <t>Mason County Detention Center</t>
  </si>
  <si>
    <t>411 N. 5th St.</t>
  </si>
  <si>
    <t>98584-3466</t>
  </si>
  <si>
    <t>Stacey  Anderson</t>
  </si>
  <si>
    <t>sanderson@sheltonschools.org</t>
  </si>
  <si>
    <t>360.426.7664</t>
  </si>
  <si>
    <t>Evergreen Elementary School</t>
  </si>
  <si>
    <t>900 W. Franklin St.</t>
  </si>
  <si>
    <t>98584-2551</t>
  </si>
  <si>
    <t>knixon@sheltonschools.org</t>
  </si>
  <si>
    <t>360.426.8281</t>
  </si>
  <si>
    <t>Shelton High School</t>
  </si>
  <si>
    <t>3737 Shelton Springs Rd.</t>
  </si>
  <si>
    <t>98584-9199</t>
  </si>
  <si>
    <t>JENNIFER  DEYETTE</t>
  </si>
  <si>
    <t>jdeyette@sheltonschools.org</t>
  </si>
  <si>
    <t>360.426.4471</t>
  </si>
  <si>
    <t>Bordeaux Elementary School</t>
  </si>
  <si>
    <t>350 E. University Ave.</t>
  </si>
  <si>
    <t>98584-3699</t>
  </si>
  <si>
    <t>Maryann  Marshall</t>
  </si>
  <si>
    <t>mmarshall@sheltonschools.org</t>
  </si>
  <si>
    <t>360.426.3253</t>
  </si>
  <si>
    <t>534 E. "K" St.</t>
  </si>
  <si>
    <t>98584-1219</t>
  </si>
  <si>
    <t>Mary  Johnson</t>
  </si>
  <si>
    <t>mjohnson@SheltonSchools.org</t>
  </si>
  <si>
    <t>360.426.8564</t>
  </si>
  <si>
    <t>Choice Middle and High School</t>
  </si>
  <si>
    <t>807 W. Pine St.</t>
  </si>
  <si>
    <t>98584-2562</t>
  </si>
  <si>
    <t>Oakland Bay Junior High School</t>
  </si>
  <si>
    <t>3301 Shelton Springs Rd.</t>
  </si>
  <si>
    <t>98584-9114</t>
  </si>
  <si>
    <t>ERIC  BARKMAN</t>
  </si>
  <si>
    <t>ebarkman@sheltonschools.org</t>
  </si>
  <si>
    <t>360.426.7991</t>
  </si>
  <si>
    <t>Pioneer School District</t>
  </si>
  <si>
    <t>112 E Spencer Lake Road</t>
  </si>
  <si>
    <t>98584-7306</t>
  </si>
  <si>
    <t>Joshua  Stoney</t>
  </si>
  <si>
    <t>jstoney@psd402.org</t>
  </si>
  <si>
    <t>360.426.8291</t>
  </si>
  <si>
    <t>112 E SPENCER LAKE RD.</t>
  </si>
  <si>
    <t>98584-7307</t>
  </si>
  <si>
    <t>Amy  Koster</t>
  </si>
  <si>
    <t>akoster@psd402.org</t>
  </si>
  <si>
    <t>360.427.5665</t>
  </si>
  <si>
    <t>James A. Taylor High School</t>
  </si>
  <si>
    <t>90 E North Mason School Road</t>
  </si>
  <si>
    <t>98528-0000</t>
  </si>
  <si>
    <t>Anne  Crosby</t>
  </si>
  <si>
    <t>acrosby@northmasonschools.org</t>
  </si>
  <si>
    <t>360.277.2393</t>
  </si>
  <si>
    <t>North Mason Homelink Program</t>
  </si>
  <si>
    <t>Belfair Elementary</t>
  </si>
  <si>
    <t>NE 22900 Hwy 3</t>
  </si>
  <si>
    <t>Dan  King</t>
  </si>
  <si>
    <t>dking@northmasonschools.org</t>
  </si>
  <si>
    <t>360.277.2231</t>
  </si>
  <si>
    <t>Hawkins Middle School</t>
  </si>
  <si>
    <t>300 E. Campus Dr.</t>
  </si>
  <si>
    <t>Joanne  Warren</t>
  </si>
  <si>
    <t>jwarren@northmasonschools.org</t>
  </si>
  <si>
    <t>360.277.2128</t>
  </si>
  <si>
    <t>North Mason Senior High School</t>
  </si>
  <si>
    <t>150 E North Mason School Road</t>
  </si>
  <si>
    <t>Chad  Collins</t>
  </si>
  <si>
    <t>ccollins@northmasonschools.org</t>
  </si>
  <si>
    <t>360.277.2169</t>
  </si>
  <si>
    <t>Sand Hill Elementary</t>
  </si>
  <si>
    <t>NE 791 Sand Hill Rd.</t>
  </si>
  <si>
    <t>Jason  Swaser</t>
  </si>
  <si>
    <t>jswaser@northmasonschools.org</t>
  </si>
  <si>
    <t>360.277.2331</t>
  </si>
  <si>
    <t>Hood Canal Elementary School</t>
  </si>
  <si>
    <t>98584-9703</t>
  </si>
  <si>
    <t>Shawn  Batstone</t>
  </si>
  <si>
    <t>360.877.5463</t>
  </si>
  <si>
    <t>Nespelem School District #14</t>
  </si>
  <si>
    <t>Nespelem Elementary</t>
  </si>
  <si>
    <t>PO BOX 291</t>
  </si>
  <si>
    <t>NESPELEM</t>
  </si>
  <si>
    <t>99155-0291</t>
  </si>
  <si>
    <t>Effie  Dean</t>
  </si>
  <si>
    <t>edean@nsdeagles.org</t>
  </si>
  <si>
    <t>509.634.4541</t>
  </si>
  <si>
    <t>Omak School District</t>
  </si>
  <si>
    <t>Omak High School</t>
  </si>
  <si>
    <t>P O BOX 833</t>
  </si>
  <si>
    <t>OMAK</t>
  </si>
  <si>
    <t>98841-0833</t>
  </si>
  <si>
    <t>Guin  Joyce</t>
  </si>
  <si>
    <t>gjoyce@omaksd.org</t>
  </si>
  <si>
    <t>509.826.7697</t>
  </si>
  <si>
    <t>N Omak Elementary</t>
  </si>
  <si>
    <t>Jack  Schneider</t>
  </si>
  <si>
    <t>jschneider@omaksd.org</t>
  </si>
  <si>
    <t>509.826.8150</t>
  </si>
  <si>
    <t>E Omak Elementary</t>
  </si>
  <si>
    <t>Lee Ann  Schrock</t>
  </si>
  <si>
    <t>lschrock@omaksd.org</t>
  </si>
  <si>
    <t>509.826.8222</t>
  </si>
  <si>
    <t>Omak Middle School</t>
  </si>
  <si>
    <t>Ryan  Christoph</t>
  </si>
  <si>
    <t>rchristoph@omaksd.org</t>
  </si>
  <si>
    <t>509.826.7682</t>
  </si>
  <si>
    <t>Paschal Sherman</t>
  </si>
  <si>
    <t>25 A MISSION ROAD</t>
  </si>
  <si>
    <t>98841-0000</t>
  </si>
  <si>
    <t>Lori  Falcon</t>
  </si>
  <si>
    <t>lfalcon@psischiefs.org</t>
  </si>
  <si>
    <t>509.422.7591</t>
  </si>
  <si>
    <t>T</t>
  </si>
  <si>
    <t>Highlands High School</t>
  </si>
  <si>
    <t>Okanogan School District</t>
  </si>
  <si>
    <t>Okanogan Middle School</t>
  </si>
  <si>
    <t>PO Box 592</t>
  </si>
  <si>
    <t>Okanogan</t>
  </si>
  <si>
    <t>98840-0592</t>
  </si>
  <si>
    <t>Brett D Baum</t>
  </si>
  <si>
    <t>bbaum@oksd.wednet.edu</t>
  </si>
  <si>
    <t>509.422.2680</t>
  </si>
  <si>
    <t>Okanogan High School</t>
  </si>
  <si>
    <t>Bob D Shacklett</t>
  </si>
  <si>
    <t>bshacklett@oksd.wednet.edu</t>
  </si>
  <si>
    <t>509.422.3770</t>
  </si>
  <si>
    <t>Grainger Elementary</t>
  </si>
  <si>
    <t>Jeremy  Clark</t>
  </si>
  <si>
    <t>jclark@oksd.wednet.edu</t>
  </si>
  <si>
    <t>509.422.3580</t>
  </si>
  <si>
    <t>Okanogan Co Juvenile Detention</t>
  </si>
  <si>
    <t>98840-0000</t>
  </si>
  <si>
    <t>Roy   Johnson</t>
  </si>
  <si>
    <t>rojohnson@oksd.wednet.edu</t>
  </si>
  <si>
    <t>509.422.3629</t>
  </si>
  <si>
    <t>Brewster School District</t>
  </si>
  <si>
    <t>Brewster High School</t>
  </si>
  <si>
    <t>P.O. BOX 97</t>
  </si>
  <si>
    <t>BREWSTER</t>
  </si>
  <si>
    <t>98812-0097</t>
  </si>
  <si>
    <t>Linda  Dezellem</t>
  </si>
  <si>
    <t>ldezellem@brewster.wednet.edu</t>
  </si>
  <si>
    <t>509.689.3449</t>
  </si>
  <si>
    <t>Brewster Elementary School</t>
  </si>
  <si>
    <t>Lynnette  Blackburn</t>
  </si>
  <si>
    <t>lblackburn@brewster.wednet.edu</t>
  </si>
  <si>
    <t>509.689.2581</t>
  </si>
  <si>
    <t>Brewster Middle School</t>
  </si>
  <si>
    <t>P.O. Box 97</t>
  </si>
  <si>
    <t>98812-0000</t>
  </si>
  <si>
    <t>Greg  Austin</t>
  </si>
  <si>
    <t>gaustin@brewsterbears.org</t>
  </si>
  <si>
    <t>509.689.3440</t>
  </si>
  <si>
    <t>Pateros School District</t>
  </si>
  <si>
    <t>Pateros Elementary</t>
  </si>
  <si>
    <t>P.O. BOX 98</t>
  </si>
  <si>
    <t>PATEROS</t>
  </si>
  <si>
    <t>98846-0098</t>
  </si>
  <si>
    <t>Michael  Hull</t>
  </si>
  <si>
    <t>mhull@pateros.org</t>
  </si>
  <si>
    <t>509.923.2343 ext.2</t>
  </si>
  <si>
    <t>Pateros High School</t>
  </si>
  <si>
    <t>P O BOX 98</t>
  </si>
  <si>
    <t>509.923.2343</t>
  </si>
  <si>
    <t>Methow Valley School District</t>
  </si>
  <si>
    <t>ILC Choice School</t>
  </si>
  <si>
    <t>18 Twin Lakes Rd.</t>
  </si>
  <si>
    <t>Winthrop</t>
  </si>
  <si>
    <t>98862-9713</t>
  </si>
  <si>
    <t>Sara   Mounsey</t>
  </si>
  <si>
    <t>smounsey@methow.org</t>
  </si>
  <si>
    <t>509.996.8006</t>
  </si>
  <si>
    <t>Home School Experience</t>
  </si>
  <si>
    <t>Tirzah  Quigley</t>
  </si>
  <si>
    <t>tquigley@methow.org</t>
  </si>
  <si>
    <t>509.996.2186</t>
  </si>
  <si>
    <t>Liberty Bell Jr Sr High</t>
  </si>
  <si>
    <t>Crosby  Carpenter</t>
  </si>
  <si>
    <t>ccarpenter@methow.org</t>
  </si>
  <si>
    <t>509.996.2215</t>
  </si>
  <si>
    <t>Methow Valley Elementary</t>
  </si>
  <si>
    <t>Paul  Gutzler</t>
  </si>
  <si>
    <t>pgutzler@methow.org</t>
  </si>
  <si>
    <t>Tonasket High School</t>
  </si>
  <si>
    <t>35HS HIGHWAY 20</t>
  </si>
  <si>
    <t>TONASKET</t>
  </si>
  <si>
    <t>98855-0000</t>
  </si>
  <si>
    <t>509.486.2161</t>
  </si>
  <si>
    <t>Tonasket Elementary School</t>
  </si>
  <si>
    <t>35ES HIGHWAY 20</t>
  </si>
  <si>
    <t>Lilly  Martin</t>
  </si>
  <si>
    <t>lmartin@tonasket.wednet.edu</t>
  </si>
  <si>
    <t>509.486.4933</t>
  </si>
  <si>
    <t>Tonasket Middle School</t>
  </si>
  <si>
    <t xml:space="preserve">35MS HIGHWAY 20 </t>
  </si>
  <si>
    <t>Kristi  Krieg</t>
  </si>
  <si>
    <t>kkrieg@tonasket.wednet.edu</t>
  </si>
  <si>
    <t>509.486.2147</t>
  </si>
  <si>
    <t>Oroville School District</t>
  </si>
  <si>
    <t>Oroville Elementary</t>
  </si>
  <si>
    <t>816 Juniper</t>
  </si>
  <si>
    <t>Oroville</t>
  </si>
  <si>
    <t>98844-9519</t>
  </si>
  <si>
    <t>JAMIE  MIKELSON</t>
  </si>
  <si>
    <t>jamie.mikelson@oroville.wednet.edu</t>
  </si>
  <si>
    <t>509.476.3332</t>
  </si>
  <si>
    <t>Oroville Middle-High School</t>
  </si>
  <si>
    <t>Leoni  Johnson</t>
  </si>
  <si>
    <t>leoni.johnson@oroville.wednet.edu</t>
  </si>
  <si>
    <t>509.476.3612</t>
  </si>
  <si>
    <t>Hilltop School</t>
  </si>
  <si>
    <t>PO Box F</t>
  </si>
  <si>
    <t>Ilwaco</t>
  </si>
  <si>
    <t>98624-0256</t>
  </si>
  <si>
    <t>Mark  Westley</t>
  </si>
  <si>
    <t>mark.westley@oceanbeachschools.org</t>
  </si>
  <si>
    <t>360.642.1234</t>
  </si>
  <si>
    <t>Long Beach Elementary School</t>
  </si>
  <si>
    <t>Long Beach School</t>
  </si>
  <si>
    <t>PO Box 758</t>
  </si>
  <si>
    <t>Long Beach</t>
  </si>
  <si>
    <t>98631-0000</t>
  </si>
  <si>
    <t>Cathy  Meinhardt</t>
  </si>
  <si>
    <t>cathy.meinhardt@oceanbeachschools.org</t>
  </si>
  <si>
    <t>360.642.3242</t>
  </si>
  <si>
    <t>Ocean Park Elementary</t>
  </si>
  <si>
    <t>PO Box 1220</t>
  </si>
  <si>
    <t>Ocean Park</t>
  </si>
  <si>
    <t>kara  powell</t>
  </si>
  <si>
    <t>kara.powell@oceanbeachschools.org</t>
  </si>
  <si>
    <t>360.642.3739</t>
  </si>
  <si>
    <t>Ilwaco High School</t>
  </si>
  <si>
    <t>David  Tobin</t>
  </si>
  <si>
    <t>david.tobin@oceanbeachschools.org</t>
  </si>
  <si>
    <t>360.642.3731</t>
  </si>
  <si>
    <t>Raymond School District</t>
  </si>
  <si>
    <t>Developmental Preschool</t>
  </si>
  <si>
    <t>1016 Commercial Street</t>
  </si>
  <si>
    <t>Raymond</t>
  </si>
  <si>
    <t>98577-0000</t>
  </si>
  <si>
    <t>Chris  Cady</t>
  </si>
  <si>
    <t>ccady@raymondk12.org</t>
  </si>
  <si>
    <t>360.942.2435</t>
  </si>
  <si>
    <t>Raymond Jr Sr High School</t>
  </si>
  <si>
    <t>1016 COMMERCIAL ST</t>
  </si>
  <si>
    <t>RAYMOND</t>
  </si>
  <si>
    <t>98577-2699</t>
  </si>
  <si>
    <t>Dave  Vetter</t>
  </si>
  <si>
    <t>dvetter@raymondk12.org</t>
  </si>
  <si>
    <t>360.942.3415</t>
  </si>
  <si>
    <t>Raymond Elementary School</t>
  </si>
  <si>
    <t>1016 COMMERCIAL STREET</t>
  </si>
  <si>
    <t>Mike  Scott</t>
  </si>
  <si>
    <t>mscott@raymondk12.org</t>
  </si>
  <si>
    <t>South Bend School District</t>
  </si>
  <si>
    <t>South Bend High School</t>
  </si>
  <si>
    <t>PO BOX 437</t>
  </si>
  <si>
    <t>SOUTH BEND</t>
  </si>
  <si>
    <t>98586-0437</t>
  </si>
  <si>
    <t>JASON  NELSON</t>
  </si>
  <si>
    <t>jnelson@southbendschools.org</t>
  </si>
  <si>
    <t>360.875.5707</t>
  </si>
  <si>
    <t>Chauncey Davis Elementary</t>
  </si>
  <si>
    <t>KRESTA L BYINGTON</t>
  </si>
  <si>
    <t>kbyington@southbend.wednet.edu</t>
  </si>
  <si>
    <t>(360)  875 5615</t>
  </si>
  <si>
    <t>Naselle-Grays River Valley School District</t>
  </si>
  <si>
    <t>Naselle Elementary</t>
  </si>
  <si>
    <t>793 SR 4</t>
  </si>
  <si>
    <t>NASELLE</t>
  </si>
  <si>
    <t>98638-0000</t>
  </si>
  <si>
    <t>Justin  Laine</t>
  </si>
  <si>
    <t>jlaine@naselleschools.org</t>
  </si>
  <si>
    <t>360.484.7121</t>
  </si>
  <si>
    <t>Naselle Jr Sr High Schools</t>
  </si>
  <si>
    <t>793 State Route 4</t>
  </si>
  <si>
    <t>Naselle Youth Camp School</t>
  </si>
  <si>
    <t>11-S YOUTH CAMP LANE</t>
  </si>
  <si>
    <t>98638-8600</t>
  </si>
  <si>
    <t>Gary  Flood</t>
  </si>
  <si>
    <t>gflood@naselleschools.org</t>
  </si>
  <si>
    <t>360.484.3269 ext. 249</t>
  </si>
  <si>
    <t>Willapa Valley School District</t>
  </si>
  <si>
    <t>Willapa Valley Middle-High</t>
  </si>
  <si>
    <t>PO Box 128</t>
  </si>
  <si>
    <t>Menlo</t>
  </si>
  <si>
    <t>98561-0128</t>
  </si>
  <si>
    <t>Jennifer  Kraley</t>
  </si>
  <si>
    <t>jenniferk@willapavalley.org</t>
  </si>
  <si>
    <t>360.942.2006</t>
  </si>
  <si>
    <t>Willapa Elementary</t>
  </si>
  <si>
    <t>Lori  Snodgrass</t>
  </si>
  <si>
    <t>loris@willapavalley.org</t>
  </si>
  <si>
    <t>360.942.3311</t>
  </si>
  <si>
    <t>North River School District</t>
  </si>
  <si>
    <t>North River School</t>
  </si>
  <si>
    <t>2867 North River Rd</t>
  </si>
  <si>
    <t>98537-0000</t>
  </si>
  <si>
    <t>Dave  Pickering</t>
  </si>
  <si>
    <t>(360) 532-3079</t>
  </si>
  <si>
    <t>Newport School District</t>
  </si>
  <si>
    <t>Newport High School</t>
  </si>
  <si>
    <t>P. O. Box 70</t>
  </si>
  <si>
    <t>Newport</t>
  </si>
  <si>
    <t>99156-0070</t>
  </si>
  <si>
    <t>Troy  Whittle</t>
  </si>
  <si>
    <t>whittletroy@newport.wednet.edu</t>
  </si>
  <si>
    <t>509.447.3167 ext.3502</t>
  </si>
  <si>
    <t>Sadie Halstead Middle School</t>
  </si>
  <si>
    <t>Tony  Moser</t>
  </si>
  <si>
    <t>mosertony@newport.wednet.edu</t>
  </si>
  <si>
    <t>509.447.2426 ext.2502</t>
  </si>
  <si>
    <t>Stratton Elementary</t>
  </si>
  <si>
    <t>Jennifer  Erickson</t>
  </si>
  <si>
    <t>ericksonjennifer@newport.wednet.edu</t>
  </si>
  <si>
    <t>509.447.0656 ext.1502</t>
  </si>
  <si>
    <t>Cusick Jr Sr High School</t>
  </si>
  <si>
    <t>305 MONUMENTAL WAY</t>
  </si>
  <si>
    <t>CUSICK</t>
  </si>
  <si>
    <t>99119-0000</t>
  </si>
  <si>
    <t>509.445.1125</t>
  </si>
  <si>
    <t>Bess Herian Elementary</t>
  </si>
  <si>
    <t>99119-9761</t>
  </si>
  <si>
    <t>Anderson Island Elementary</t>
  </si>
  <si>
    <t>511 Chambers</t>
  </si>
  <si>
    <t>98388-0000</t>
  </si>
  <si>
    <t>Susan  Greer</t>
  </si>
  <si>
    <t>sgreer@steilacoom.k12.wa.us</t>
  </si>
  <si>
    <t>253.884.4901</t>
  </si>
  <si>
    <t>Pioneer Middle</t>
  </si>
  <si>
    <t>1750 BOB'S HOLLOW LN</t>
  </si>
  <si>
    <t>DUPONT</t>
  </si>
  <si>
    <t>JoAnne  Fernandes</t>
  </si>
  <si>
    <t>jfernandes@steilacoom.k12.wa.us</t>
  </si>
  <si>
    <t>253.983.7201</t>
  </si>
  <si>
    <t>Cherrydale Elementary</t>
  </si>
  <si>
    <t>1201 GALLOWAY</t>
  </si>
  <si>
    <t>STEILACOOM</t>
  </si>
  <si>
    <t>Ryan  Douglas</t>
  </si>
  <si>
    <t>rdouglas@steilacoom.k12.wa.us</t>
  </si>
  <si>
    <t>253.983.2500</t>
  </si>
  <si>
    <t>Saltars Point Elementary</t>
  </si>
  <si>
    <t>908 3RD STREET</t>
  </si>
  <si>
    <t>Alex  Clauson</t>
  </si>
  <si>
    <t>aclauson@steilacoom.k12.wa.us</t>
  </si>
  <si>
    <t>253.983.2600</t>
  </si>
  <si>
    <t>Steilacoom High</t>
  </si>
  <si>
    <t>54 SENTINEL DRIVE</t>
  </si>
  <si>
    <t>253.983.2301</t>
  </si>
  <si>
    <t>Chloe Clark Elementary</t>
  </si>
  <si>
    <t>1700 PALISADE BOULEVARD</t>
  </si>
  <si>
    <t>98327-0000</t>
  </si>
  <si>
    <t>Gary   Yoho</t>
  </si>
  <si>
    <t>gyoho@steilacoom.k12.wa.us</t>
  </si>
  <si>
    <t>253.583.7101</t>
  </si>
  <si>
    <t>Puyallup Online Academy/POA</t>
  </si>
  <si>
    <t>Puyallup High School</t>
  </si>
  <si>
    <t>105 Seventh St SW</t>
  </si>
  <si>
    <t>98371-5333</t>
  </si>
  <si>
    <t>Dave  Sunich</t>
  </si>
  <si>
    <t>SunichDM@puyallup.k12.wa.us</t>
  </si>
  <si>
    <t>253.604.3709</t>
  </si>
  <si>
    <t>Stewart Elementary</t>
  </si>
  <si>
    <t>426 4th Ave NE</t>
  </si>
  <si>
    <t>98372-3049</t>
  </si>
  <si>
    <t>Alyssa  Donohue</t>
  </si>
  <si>
    <t>donohar@puyallup.k12.wa.us</t>
  </si>
  <si>
    <t>253.841.8743</t>
  </si>
  <si>
    <t>Meeker Elementary</t>
  </si>
  <si>
    <t>409 5th St SW</t>
  </si>
  <si>
    <t>98371-5826</t>
  </si>
  <si>
    <t>Patrick  McGregor</t>
  </si>
  <si>
    <t>McgrePL@puyallup.k12.wa.us</t>
  </si>
  <si>
    <t>253.841.8738</t>
  </si>
  <si>
    <t>Waller Road Elementary</t>
  </si>
  <si>
    <t>6312 Waller Rd E</t>
  </si>
  <si>
    <t>98443-1449</t>
  </si>
  <si>
    <t>Stephany  Brown</t>
  </si>
  <si>
    <t>BrownSA@puyallup.k12.wa.us</t>
  </si>
  <si>
    <t>253.841.8745</t>
  </si>
  <si>
    <t>Firgrove Elementary</t>
  </si>
  <si>
    <t>13918 Meridian S</t>
  </si>
  <si>
    <t>98373-5621</t>
  </si>
  <si>
    <t>Teri  Garrison</t>
  </si>
  <si>
    <t>GarrisTS@puyallup.k12.wa.us</t>
  </si>
  <si>
    <t>253.841.8733</t>
  </si>
  <si>
    <t>Spinning Elementary</t>
  </si>
  <si>
    <t>1306 E Pioneer</t>
  </si>
  <si>
    <t>98372-3384</t>
  </si>
  <si>
    <t>Sari  Burnett</t>
  </si>
  <si>
    <t>burnetsj@puyallup.k12.wa.us</t>
  </si>
  <si>
    <t>253.841.8742</t>
  </si>
  <si>
    <t>Maplewood Elementary</t>
  </si>
  <si>
    <t>1110 W Pioneer</t>
  </si>
  <si>
    <t>98371-5354</t>
  </si>
  <si>
    <t>Susan  Walton</t>
  </si>
  <si>
    <t>WaltonSL@puyallup.k12.wa.us</t>
  </si>
  <si>
    <t>253.841.8737</t>
  </si>
  <si>
    <t>Woodland Elementary</t>
  </si>
  <si>
    <t>7707 112th St E</t>
  </si>
  <si>
    <t>98373-4794</t>
  </si>
  <si>
    <t>Kari  Helling</t>
  </si>
  <si>
    <t>HelliKJ@puyallup.k12.wa.us</t>
  </si>
  <si>
    <t>253.841.8747</t>
  </si>
  <si>
    <t>Edgemont Jr High</t>
  </si>
  <si>
    <t>2300 110th Ave E</t>
  </si>
  <si>
    <t>Edgewood</t>
  </si>
  <si>
    <t>98372-1523</t>
  </si>
  <si>
    <t>Mark  Knight</t>
  </si>
  <si>
    <t>knightme@puyallup.k12.wa.us</t>
  </si>
  <si>
    <t>253.841.8727</t>
  </si>
  <si>
    <t>Karshner Elementary</t>
  </si>
  <si>
    <t>1328 8th Ave NW</t>
  </si>
  <si>
    <t>98371-4036</t>
  </si>
  <si>
    <t>Lashawnda  Baldwin</t>
  </si>
  <si>
    <t>BaldwLM@puyallup.k12.wa.us</t>
  </si>
  <si>
    <t>253.841.8736</t>
  </si>
  <si>
    <t>Kalles Junior High</t>
  </si>
  <si>
    <t>501 7th Ave SE</t>
  </si>
  <si>
    <t>98372-3207</t>
  </si>
  <si>
    <t>Guy  Kovacs</t>
  </si>
  <si>
    <t>kovacsga@puyallup.k12.wa.us</t>
  </si>
  <si>
    <t>253.841.8729</t>
  </si>
  <si>
    <t>Aylen Jr High</t>
  </si>
  <si>
    <t>101 15th St NW</t>
  </si>
  <si>
    <t>98371-5251</t>
  </si>
  <si>
    <t>Kevin  Mensonides</t>
  </si>
  <si>
    <t>mensonkr@puyallup.k12.wa.us</t>
  </si>
  <si>
    <t>253.841.8723</t>
  </si>
  <si>
    <t>Fruitland Elementary</t>
  </si>
  <si>
    <t>1515 Fruitland Ave</t>
  </si>
  <si>
    <t>98371-7369</t>
  </si>
  <si>
    <t>Craig  Nelson</t>
  </si>
  <si>
    <t>NelsoCW@puyallup.k12.wa.us</t>
  </si>
  <si>
    <t>253.841.8734</t>
  </si>
  <si>
    <t>Wildwood Elementary</t>
  </si>
  <si>
    <t>1601 26th Ave SE</t>
  </si>
  <si>
    <t>98374-1349</t>
  </si>
  <si>
    <t>Jennifer  Fox</t>
  </si>
  <si>
    <t>FoxJM@puyallup.k12.wa.us</t>
  </si>
  <si>
    <t>253.841.8746</t>
  </si>
  <si>
    <t>Mt View Elementary</t>
  </si>
  <si>
    <t>3411 119th Ave E</t>
  </si>
  <si>
    <t>98372-2017</t>
  </si>
  <si>
    <t>Judy  Piger</t>
  </si>
  <si>
    <t>253.841.8739</t>
  </si>
  <si>
    <t>Rogers High School</t>
  </si>
  <si>
    <t>12801 86th Ave E</t>
  </si>
  <si>
    <t>98373-5454</t>
  </si>
  <si>
    <t>Jason  Smith</t>
  </si>
  <si>
    <t>SmithJA2@puyallup.k12.wa.us</t>
  </si>
  <si>
    <t>253.841.8717</t>
  </si>
  <si>
    <t>Ballou Jr High</t>
  </si>
  <si>
    <t>9916 136th St E</t>
  </si>
  <si>
    <t>98373-5667</t>
  </si>
  <si>
    <t>Lisa  Kusche</t>
  </si>
  <si>
    <t>KuscheLM@puyallup.k12.wa.us</t>
  </si>
  <si>
    <t>253.841.8725</t>
  </si>
  <si>
    <t>2323 39th Ave SE</t>
  </si>
  <si>
    <t>98374-2306</t>
  </si>
  <si>
    <t>Lisa  McNamara</t>
  </si>
  <si>
    <t>Mcnamala@puyallup.k12.wa.us</t>
  </si>
  <si>
    <t>253.841.8418</t>
  </si>
  <si>
    <t>Northwood Elementary</t>
  </si>
  <si>
    <t>9805 24th St E</t>
  </si>
  <si>
    <t>98371-2126</t>
  </si>
  <si>
    <t>Melanie  Helle</t>
  </si>
  <si>
    <t>HelleMA@puyallup.k12.wa.us</t>
  </si>
  <si>
    <t>253.841.8740</t>
  </si>
  <si>
    <t>PSD Special Services</t>
  </si>
  <si>
    <t>Puyallup School District Speci</t>
  </si>
  <si>
    <t>214 W. Main</t>
  </si>
  <si>
    <t>Walker High School</t>
  </si>
  <si>
    <t>5715 Milwaukee Ave E</t>
  </si>
  <si>
    <t>98372-2757</t>
  </si>
  <si>
    <t>Michael  Sanchez</t>
  </si>
  <si>
    <t>sanchma@puyallup.k12.wa.us</t>
  </si>
  <si>
    <t>253.841.8781</t>
  </si>
  <si>
    <t>12616 Shaw Rd E</t>
  </si>
  <si>
    <t>98374-2927</t>
  </si>
  <si>
    <t>Michelle  Fox</t>
  </si>
  <si>
    <t>FoxMM@puyallup.k12.wa.us</t>
  </si>
  <si>
    <t>253.841.8753</t>
  </si>
  <si>
    <t>Pope Elementary</t>
  </si>
  <si>
    <t>15102 122nd Ave E</t>
  </si>
  <si>
    <t>98374-3419</t>
  </si>
  <si>
    <t>Krista  Bates</t>
  </si>
  <si>
    <t>BatesKJ@puyallup.k12.wa.us</t>
  </si>
  <si>
    <t>253.435.2850</t>
  </si>
  <si>
    <t>Ferrucci Jr High</t>
  </si>
  <si>
    <t>3213 Wildwood Pk Dr</t>
  </si>
  <si>
    <t>98374-1351</t>
  </si>
  <si>
    <t>Brian  Fosnick</t>
  </si>
  <si>
    <t>FosnicBJ@puyallup.k12.wa.us</t>
  </si>
  <si>
    <t>253.841.8756</t>
  </si>
  <si>
    <t>Hunt Elementary</t>
  </si>
  <si>
    <t>12801 144th St E</t>
  </si>
  <si>
    <t>98374-3548</t>
  </si>
  <si>
    <t>Derrick  Pete</t>
  </si>
  <si>
    <t>petedl@puyallup.k12.wa.us</t>
  </si>
  <si>
    <t>253.840.8690</t>
  </si>
  <si>
    <t>Brouillet Elementary</t>
  </si>
  <si>
    <t>17207 94th Ave E</t>
  </si>
  <si>
    <t>98375-9667</t>
  </si>
  <si>
    <t>Nancy  Strobel</t>
  </si>
  <si>
    <t>strobena@puyallup.k12.wa.us</t>
  </si>
  <si>
    <t>253.841.8670</t>
  </si>
  <si>
    <t>Shaw Road Elementary</t>
  </si>
  <si>
    <t>1106 Shaw Rd</t>
  </si>
  <si>
    <t>98372-4222</t>
  </si>
  <si>
    <t>Brian  Curtis</t>
  </si>
  <si>
    <t>CurtisBB@puyallup.k12.wa.us</t>
  </si>
  <si>
    <t>253.841.8675</t>
  </si>
  <si>
    <t>Stahl Junior High</t>
  </si>
  <si>
    <t>9610 168th St E</t>
  </si>
  <si>
    <t>98375-2256</t>
  </si>
  <si>
    <t>Troy  Hodge</t>
  </si>
  <si>
    <t>HodgeTD@puyallup.k12.wa.us</t>
  </si>
  <si>
    <t>253.840.8881</t>
  </si>
  <si>
    <t>Zeiger Elementary</t>
  </si>
  <si>
    <t>13008 94th Ave E</t>
  </si>
  <si>
    <t>98373-5536</t>
  </si>
  <si>
    <t>Anthony  Corrado</t>
  </si>
  <si>
    <t>CorraAP@puyallup.k12.wa.us</t>
  </si>
  <si>
    <t>253.841.8663</t>
  </si>
  <si>
    <t>Emerald Ridge High School</t>
  </si>
  <si>
    <t>12405 184th St E</t>
  </si>
  <si>
    <t>98374-9135</t>
  </si>
  <si>
    <t>Edward  Crow</t>
  </si>
  <si>
    <t>crower@puyallup.k12.wa.us</t>
  </si>
  <si>
    <t>253.435.6300</t>
  </si>
  <si>
    <t>Alternative Spcl Needs Div Occ</t>
  </si>
  <si>
    <t>601 S 8TH ST</t>
  </si>
  <si>
    <t>TACOMA</t>
  </si>
  <si>
    <t>98405-4614</t>
  </si>
  <si>
    <t>John  Goebel</t>
  </si>
  <si>
    <t>jgoebel@tacoma.k12.wa.us</t>
  </si>
  <si>
    <t>(253) 571-1040</t>
  </si>
  <si>
    <t>Comm Based Trans Program</t>
  </si>
  <si>
    <t>601 S 8th St</t>
  </si>
  <si>
    <t>98405-0000</t>
  </si>
  <si>
    <t>Betsy  Minor-Reid</t>
  </si>
  <si>
    <t>bminnor@tacoma.k12.wa.us</t>
  </si>
  <si>
    <t>253.571.1145</t>
  </si>
  <si>
    <t>TCC Fresh Start</t>
  </si>
  <si>
    <t>Gil  Mendoza</t>
  </si>
  <si>
    <t>gmendoz@tacoma.k12.wa.us</t>
  </si>
  <si>
    <t>(253) 571-1126</t>
  </si>
  <si>
    <t xml:space="preserve"> Affiliated With District, College/University, Public School</t>
  </si>
  <si>
    <t>C</t>
  </si>
  <si>
    <t>Tacoma School of the Arts</t>
  </si>
  <si>
    <t>PO Box 1357</t>
  </si>
  <si>
    <t>98402-0000</t>
  </si>
  <si>
    <t>Jon  Ketler</t>
  </si>
  <si>
    <t>jketler@tacoma.k12.wa.us</t>
  </si>
  <si>
    <t>253.571.7900</t>
  </si>
  <si>
    <t>Larchmont</t>
  </si>
  <si>
    <t>8601 E B St</t>
  </si>
  <si>
    <t>98445-0000</t>
  </si>
  <si>
    <t>Melissa  Thienes</t>
  </si>
  <si>
    <t>mthiene@Tacoma.K12.Wa.US</t>
  </si>
  <si>
    <t>253.571.6200</t>
  </si>
  <si>
    <t>Remann Hall Juvenile Detention Center</t>
  </si>
  <si>
    <t>5501 6th Ave</t>
  </si>
  <si>
    <t>98406-0000</t>
  </si>
  <si>
    <t>Leonard  Edlund</t>
  </si>
  <si>
    <t>ledlund@tacoma.k12.wa.us</t>
  </si>
  <si>
    <t>253.571.2670</t>
  </si>
  <si>
    <t>6501 S 10th St</t>
  </si>
  <si>
    <t>98407-0000</t>
  </si>
  <si>
    <t>Ed  Schau</t>
  </si>
  <si>
    <t>eschau@tacoma.k12.wa.us</t>
  </si>
  <si>
    <t>253.571.7272</t>
  </si>
  <si>
    <t>Stadium</t>
  </si>
  <si>
    <t>111 N E St</t>
  </si>
  <si>
    <t>98403-0000</t>
  </si>
  <si>
    <t>Kevin  Ikeda</t>
  </si>
  <si>
    <t>kikeda@tacoma.k12.wa.us</t>
  </si>
  <si>
    <t>253.571.3100</t>
  </si>
  <si>
    <t>Blix Elementary</t>
  </si>
  <si>
    <t>1302 E 38th St</t>
  </si>
  <si>
    <t>98404-0000</t>
  </si>
  <si>
    <t>Jennifer  Cooper</t>
  </si>
  <si>
    <t>jcooper@tacoma.k12.wa.us</t>
  </si>
  <si>
    <t>253.571.7522</t>
  </si>
  <si>
    <t>Jefferson</t>
  </si>
  <si>
    <t>6501 N 23rd St</t>
  </si>
  <si>
    <t>Avance  Byrd</t>
  </si>
  <si>
    <t>abyrd@tacoma.k12.wa.us</t>
  </si>
  <si>
    <t>253.571.2261</t>
  </si>
  <si>
    <t>Franklin</t>
  </si>
  <si>
    <t>1402 S Lawrence St</t>
  </si>
  <si>
    <t>Kecia  Keller</t>
  </si>
  <si>
    <t>kkeller@tacoma.k12.wa.us</t>
  </si>
  <si>
    <t>253.571.1400</t>
  </si>
  <si>
    <t>Fern Hill</t>
  </si>
  <si>
    <t>8442 S Park Ave</t>
  </si>
  <si>
    <t>98444-0000</t>
  </si>
  <si>
    <t>Mary  Wilson</t>
  </si>
  <si>
    <t>mwilson@tacoma.k12.wa.us</t>
  </si>
  <si>
    <t>253.571.3888</t>
  </si>
  <si>
    <t>Sheridan</t>
  </si>
  <si>
    <t>5317 E McKinley Ave</t>
  </si>
  <si>
    <t>Anna  Griebel</t>
  </si>
  <si>
    <t>agriebe@tacoma.k12.wa.us</t>
  </si>
  <si>
    <t>253.571.5900</t>
  </si>
  <si>
    <t>Point Defiance</t>
  </si>
  <si>
    <t>4330 N Visscher St</t>
  </si>
  <si>
    <t>Lisa  Boyd</t>
  </si>
  <si>
    <t>lboyd2@tacoma.k12.wa.us</t>
  </si>
  <si>
    <t>253.571.6900</t>
  </si>
  <si>
    <t>Lincoln</t>
  </si>
  <si>
    <t>701 S 37th St</t>
  </si>
  <si>
    <t>98418-0000</t>
  </si>
  <si>
    <t>Pat  Erwin</t>
  </si>
  <si>
    <t>perwin@tacoma.k12.wa.us</t>
  </si>
  <si>
    <t>253.571.6700</t>
  </si>
  <si>
    <t>Northeast Tacoma</t>
  </si>
  <si>
    <t>5412 29th St Ne</t>
  </si>
  <si>
    <t>98422-0000</t>
  </si>
  <si>
    <t>Josh  Zarling</t>
  </si>
  <si>
    <t>jzarlin@tacoma.k12.wa.us</t>
  </si>
  <si>
    <t>253.571.6940</t>
  </si>
  <si>
    <t>Manitou Park</t>
  </si>
  <si>
    <t>4330 S 66th St</t>
  </si>
  <si>
    <t>98409-0000</t>
  </si>
  <si>
    <t>Steven  Mondragon</t>
  </si>
  <si>
    <t>smondra@tacoma.k12.wa.us</t>
  </si>
  <si>
    <t>253.571.5300</t>
  </si>
  <si>
    <t>3550 E Roosevelt Ave</t>
  </si>
  <si>
    <t>Autumn  Foster</t>
  </si>
  <si>
    <t>afoster@tacoma.k12.wa.us</t>
  </si>
  <si>
    <t>253.571.4400</t>
  </si>
  <si>
    <t>Madison Headstart</t>
  </si>
  <si>
    <t>3102 S 43rd Street</t>
  </si>
  <si>
    <t>98409-6509</t>
  </si>
  <si>
    <t>Minh-Anh   Hodge</t>
  </si>
  <si>
    <t>253.571.1415</t>
  </si>
  <si>
    <t>Lyon</t>
  </si>
  <si>
    <t>101 E 46th St</t>
  </si>
  <si>
    <t>Anita  Roth</t>
  </si>
  <si>
    <t>aroth@tacoma.k12.wa.us</t>
  </si>
  <si>
    <t>253.571.4800</t>
  </si>
  <si>
    <t>Jason Lee</t>
  </si>
  <si>
    <t>602 N Sprague Ave</t>
  </si>
  <si>
    <t>Christine  Brandt</t>
  </si>
  <si>
    <t>cbrand1@tacoma.k12.wa.us</t>
  </si>
  <si>
    <t>253.571.7700</t>
  </si>
  <si>
    <t>Stanley</t>
  </si>
  <si>
    <t>1712 S 17th St</t>
  </si>
  <si>
    <t>Cindy  Johnson</t>
  </si>
  <si>
    <t>cjohns2@tacoma.k12.wa.us</t>
  </si>
  <si>
    <t>253.571.4500</t>
  </si>
  <si>
    <t>Stewart</t>
  </si>
  <si>
    <t>98465-2035</t>
  </si>
  <si>
    <t>Janet  Cortez</t>
  </si>
  <si>
    <t>jcortez@tacoma.k12.wa.us</t>
  </si>
  <si>
    <t>253.571.4200</t>
  </si>
  <si>
    <t>Mason</t>
  </si>
  <si>
    <t>3901 N 28th St</t>
  </si>
  <si>
    <t>Patrice  Sulkosky</t>
  </si>
  <si>
    <t>psulkos@tacoma.k12.wa.us</t>
  </si>
  <si>
    <t>253.571.7000</t>
  </si>
  <si>
    <t>Gray</t>
  </si>
  <si>
    <t>6229 S Tyler St</t>
  </si>
  <si>
    <t>Shaun  Martin</t>
  </si>
  <si>
    <t>smartin2@tacoma.k12.wa.us</t>
  </si>
  <si>
    <t>253.571.5203</t>
  </si>
  <si>
    <t>Geiger</t>
  </si>
  <si>
    <t>7401 S 8th St</t>
  </si>
  <si>
    <t>98465-0000</t>
  </si>
  <si>
    <t>Neil  O'Brien</t>
  </si>
  <si>
    <t>nobrien@tacoma.k12.wa.us</t>
  </si>
  <si>
    <t>253.571.6800</t>
  </si>
  <si>
    <t>Downing</t>
  </si>
  <si>
    <t>2502 N Orchard St</t>
  </si>
  <si>
    <t>Olga  Manos</t>
  </si>
  <si>
    <t>omanos@tacoma.k12.wa.us</t>
  </si>
  <si>
    <t>253.571.7133</t>
  </si>
  <si>
    <t>Lister</t>
  </si>
  <si>
    <t>2106 E 44th St</t>
  </si>
  <si>
    <t>Kristi  Amrine</t>
  </si>
  <si>
    <t>kamrine@tacoma.k12.wa.us</t>
  </si>
  <si>
    <t>253.571.2929</t>
  </si>
  <si>
    <t>Fawcett</t>
  </si>
  <si>
    <t>126 E 60th St</t>
  </si>
  <si>
    <t>Christian  Jordan</t>
  </si>
  <si>
    <t>cjordan@tacoma.k12.wa.us</t>
  </si>
  <si>
    <t>253.571.4700</t>
  </si>
  <si>
    <t>Lowell</t>
  </si>
  <si>
    <t>810 Mr. Dahl DR</t>
  </si>
  <si>
    <t>Renee  Rossman</t>
  </si>
  <si>
    <t>rrossma@tacoma.k12.wa.us</t>
  </si>
  <si>
    <t>253.571.7200</t>
  </si>
  <si>
    <t>Reed</t>
  </si>
  <si>
    <t>1802 S 36th St</t>
  </si>
  <si>
    <t>Kate  Frazier</t>
  </si>
  <si>
    <t>kfrazie@tacoma.k12.wa.us</t>
  </si>
  <si>
    <t>253.571.6464</t>
  </si>
  <si>
    <t>Edison</t>
  </si>
  <si>
    <t>5830 S Pine St</t>
  </si>
  <si>
    <t>Julia  Bare</t>
  </si>
  <si>
    <t>jbare@tacoma.k12.wa.us</t>
  </si>
  <si>
    <t>253.571.1700</t>
  </si>
  <si>
    <t>Browns Point</t>
  </si>
  <si>
    <t>1526 51st St Ne</t>
  </si>
  <si>
    <t>fgriek@Tacoma.K12.Wa.US</t>
  </si>
  <si>
    <t>253.571.7600</t>
  </si>
  <si>
    <t>Whitman</t>
  </si>
  <si>
    <t>1120 S 39th St</t>
  </si>
  <si>
    <t>98408-0000</t>
  </si>
  <si>
    <t>Tracy  Allen</t>
  </si>
  <si>
    <t>tallen@tacoma.k12.wa.us</t>
  </si>
  <si>
    <t>Sherman</t>
  </si>
  <si>
    <t>4415 N 38th St</t>
  </si>
  <si>
    <t>Anne  Tsuneishi</t>
  </si>
  <si>
    <t>stsunei@tacoma.k12.wa.us</t>
  </si>
  <si>
    <t>253.571.5480</t>
  </si>
  <si>
    <t>Delong</t>
  </si>
  <si>
    <t>4901 S 14 st St</t>
  </si>
  <si>
    <t>Eric  Konishi</t>
  </si>
  <si>
    <t>ekonish@tacoma.k12.wa.us</t>
  </si>
  <si>
    <t>253.571.5800</t>
  </si>
  <si>
    <t>3002 S 72nd St</t>
  </si>
  <si>
    <t>Wendy  Pye-Carter</t>
  </si>
  <si>
    <t>wcarter@tacoma.k12.wa.us</t>
  </si>
  <si>
    <t>253.571.3202</t>
  </si>
  <si>
    <t>Mann</t>
  </si>
  <si>
    <t>1002 S 52nd St</t>
  </si>
  <si>
    <t>Taj  Jensen</t>
  </si>
  <si>
    <t>tjensen1@tacoma.k12.wa.us</t>
  </si>
  <si>
    <t>253.571.6300</t>
  </si>
  <si>
    <t>Grant</t>
  </si>
  <si>
    <t>1018 N Prospect St</t>
  </si>
  <si>
    <t>Steve  Holmes</t>
  </si>
  <si>
    <t>sholmes@tacoma.k12.wa.us</t>
  </si>
  <si>
    <t>253.571.5400</t>
  </si>
  <si>
    <t>Baker</t>
  </si>
  <si>
    <t>8320 S I St</t>
  </si>
  <si>
    <t>Scott  Rich</t>
  </si>
  <si>
    <t>srich1@tacoma.k12.wa.us</t>
  </si>
  <si>
    <t>253.571.5000</t>
  </si>
  <si>
    <t>Wainwright</t>
  </si>
  <si>
    <t>130 Alameda Ave</t>
  </si>
  <si>
    <t>98466-0000</t>
  </si>
  <si>
    <t>Donna  Basil</t>
  </si>
  <si>
    <t>dbasil@tacoma.k12.wa.us</t>
  </si>
  <si>
    <t>253.571.2152</t>
  </si>
  <si>
    <t>Meeker</t>
  </si>
  <si>
    <t>4402 Nassau Ave Ne</t>
  </si>
  <si>
    <t>Timothy  Berndt</t>
  </si>
  <si>
    <t>tberndt@tacoma.k12.wa.us</t>
  </si>
  <si>
    <t>253.571.6500</t>
  </si>
  <si>
    <t>Wilson</t>
  </si>
  <si>
    <t>1202 N Orchard St</t>
  </si>
  <si>
    <t>Bernadette  Ray</t>
  </si>
  <si>
    <t>bray@tacoma.k12.wa.us</t>
  </si>
  <si>
    <t>253.571.6000</t>
  </si>
  <si>
    <t>Bryant</t>
  </si>
  <si>
    <t>717 S Grant Ave</t>
  </si>
  <si>
    <t>Adam  Kulass</t>
  </si>
  <si>
    <t>akulaas@tacoma.k12.wa.us</t>
  </si>
  <si>
    <t>253.571.2800</t>
  </si>
  <si>
    <t>Mt Tahoma</t>
  </si>
  <si>
    <t>4634 S 74th St</t>
  </si>
  <si>
    <t>98409-1004</t>
  </si>
  <si>
    <t>Kevin   Kannier</t>
  </si>
  <si>
    <t>kkannie@tacoma.k12.wa.us</t>
  </si>
  <si>
    <t>253.571.3800</t>
  </si>
  <si>
    <t>Truman</t>
  </si>
  <si>
    <t>5801 N 35th St</t>
  </si>
  <si>
    <t>Andre  Stout</t>
  </si>
  <si>
    <t>astout1@tacoma.k12.wa.us</t>
  </si>
  <si>
    <t>253.571.5679</t>
  </si>
  <si>
    <t>Birney</t>
  </si>
  <si>
    <t>1202 S 76th St</t>
  </si>
  <si>
    <t>James  Neil</t>
  </si>
  <si>
    <t>jneil@tacoma.k12.wa.us</t>
  </si>
  <si>
    <t>253.571.4600</t>
  </si>
  <si>
    <t>Whittier</t>
  </si>
  <si>
    <t>777 Elm Tree Ln</t>
  </si>
  <si>
    <t>253.571.7500</t>
  </si>
  <si>
    <t>McCarver</t>
  </si>
  <si>
    <t>2111 S J St</t>
  </si>
  <si>
    <t>Becky  Owens</t>
  </si>
  <si>
    <t>rowens2@tacoma.k12.wa.us</t>
  </si>
  <si>
    <t>253.571.4900</t>
  </si>
  <si>
    <t>Skyline</t>
  </si>
  <si>
    <t>2301 N Mildred St</t>
  </si>
  <si>
    <t>Regina  Rainbolt</t>
  </si>
  <si>
    <t>rrainbo@tacoma.k12.wa.us</t>
  </si>
  <si>
    <t>253.571.7830</t>
  </si>
  <si>
    <t>Boze</t>
  </si>
  <si>
    <t>1140 E 65th St</t>
  </si>
  <si>
    <t>Arron  Wilkins</t>
  </si>
  <si>
    <t>awilki1@tacoma.k12.wa.us</t>
  </si>
  <si>
    <t>253.571.4687</t>
  </si>
  <si>
    <t>Foss</t>
  </si>
  <si>
    <t>2112 S Tyler St</t>
  </si>
  <si>
    <t>Lysandra  Ness</t>
  </si>
  <si>
    <t>lness@tacoma.k12.wa.us</t>
  </si>
  <si>
    <t>253.571.7300</t>
  </si>
  <si>
    <t>Oakland High School</t>
  </si>
  <si>
    <t>3319 S Adams St</t>
  </si>
  <si>
    <t>John  Jones</t>
  </si>
  <si>
    <t>jjones@tacoma.k12.wa.us</t>
  </si>
  <si>
    <t>253.571.5102</t>
  </si>
  <si>
    <t>Pearl Street Center</t>
  </si>
  <si>
    <t>815 S Pearl St</t>
  </si>
  <si>
    <t>253.571.2600</t>
  </si>
  <si>
    <t>Crescent Heights</t>
  </si>
  <si>
    <t>4110 Nassau Ave Ne</t>
  </si>
  <si>
    <t>Sean  McGeeney</t>
  </si>
  <si>
    <t>smcgeen@tacoma.k12.wa.us</t>
  </si>
  <si>
    <t>253.571.5500</t>
  </si>
  <si>
    <t>Carbonado School District</t>
  </si>
  <si>
    <t>Carbonado Historical School 19</t>
  </si>
  <si>
    <t>427 4th St</t>
  </si>
  <si>
    <t>P.O. Box 131</t>
  </si>
  <si>
    <t>Carbonado</t>
  </si>
  <si>
    <t>98323-0000</t>
  </si>
  <si>
    <t>Scott  Hubbard</t>
  </si>
  <si>
    <t>shubbard@carbonado.k12.wa.us</t>
  </si>
  <si>
    <t>(360) 829-0121 x12</t>
  </si>
  <si>
    <t>University Place School District</t>
  </si>
  <si>
    <t>University Place Primary</t>
  </si>
  <si>
    <t>2708 W GRANDVIEW DR</t>
  </si>
  <si>
    <t>UNIVERSITY PLA</t>
  </si>
  <si>
    <t>Willie  Keith</t>
  </si>
  <si>
    <t>wkeith@upsd83.org</t>
  </si>
  <si>
    <t>253.566.5620</t>
  </si>
  <si>
    <t>Curtis Junior High</t>
  </si>
  <si>
    <t>3725 Grandview Drive West</t>
  </si>
  <si>
    <t>UNIVERSITY PLACE</t>
  </si>
  <si>
    <t>Jayne  Hofstrand</t>
  </si>
  <si>
    <t>jhofstrand@upsd83.org</t>
  </si>
  <si>
    <t>253.566.5670</t>
  </si>
  <si>
    <t>Narrows View Intermediate</t>
  </si>
  <si>
    <t>7813 44TH ST W</t>
  </si>
  <si>
    <t>Jennifer  Wong</t>
  </si>
  <si>
    <t>jwong@upsd83.org</t>
  </si>
  <si>
    <t>253.566.5630</t>
  </si>
  <si>
    <t>Curtis Senior High</t>
  </si>
  <si>
    <t>8425 40TH W</t>
  </si>
  <si>
    <t>tadams@upsd83.org</t>
  </si>
  <si>
    <t>253.566.5710</t>
  </si>
  <si>
    <t>Sunset Primary</t>
  </si>
  <si>
    <t>4523 97TH AVE W</t>
  </si>
  <si>
    <t>Steve  Hagen</t>
  </si>
  <si>
    <t>shagen@upsd83.org</t>
  </si>
  <si>
    <t>253.566.5640</t>
  </si>
  <si>
    <t>Chambers Elementary</t>
  </si>
  <si>
    <t>9101 56TH AVE W</t>
  </si>
  <si>
    <t>98467-0000</t>
  </si>
  <si>
    <t>Allison  Shepard</t>
  </si>
  <si>
    <t>ashepard@upsd83.org</t>
  </si>
  <si>
    <t>253.566.5650</t>
  </si>
  <si>
    <t>Drum Intermediate</t>
  </si>
  <si>
    <t>4909 79TH AVENUE W</t>
  </si>
  <si>
    <t>Maile Lau Carr</t>
  </si>
  <si>
    <t>mcarr@upsd83.org</t>
  </si>
  <si>
    <t>253.566.5660</t>
  </si>
  <si>
    <t>Evergreen Primary</t>
  </si>
  <si>
    <t>7102 40TH ST W</t>
  </si>
  <si>
    <t>Cliff  Schlattmann</t>
  </si>
  <si>
    <t>cschlattmann@upsd83.org</t>
  </si>
  <si>
    <t>253.566.5680</t>
  </si>
  <si>
    <t>Sumner Special Services</t>
  </si>
  <si>
    <t>1202 WOOD AVENUE</t>
  </si>
  <si>
    <t>SUMNER</t>
  </si>
  <si>
    <t>98390-0000</t>
  </si>
  <si>
    <t>Keoni  Smith</t>
  </si>
  <si>
    <t>keoni_smith@sumnersd.org</t>
  </si>
  <si>
    <t>253.891.6000</t>
  </si>
  <si>
    <t>Maple Lawn Elementary</t>
  </si>
  <si>
    <t>230 Wood Ave</t>
  </si>
  <si>
    <t>Sumner</t>
  </si>
  <si>
    <t>Elli  McDaniel</t>
  </si>
  <si>
    <t>elli_mcdaniel@sumnersd.org</t>
  </si>
  <si>
    <t>253.891.4400</t>
  </si>
  <si>
    <t>Sumner High School</t>
  </si>
  <si>
    <t>1707 Main St</t>
  </si>
  <si>
    <t>Kassie  Meath</t>
  </si>
  <si>
    <t>kassie_meath@sumnersd.org</t>
  </si>
  <si>
    <t>253.891.5500</t>
  </si>
  <si>
    <t>Bonney Lake Elementary</t>
  </si>
  <si>
    <t>18715 80th St E</t>
  </si>
  <si>
    <t>LeeAnn  Alfano</t>
  </si>
  <si>
    <t>leeann_alfano@sumnersd.org</t>
  </si>
  <si>
    <t>253.891.4500</t>
  </si>
  <si>
    <t>Eismann Elementary</t>
  </si>
  <si>
    <t>13802 Canyon View Blvd. East</t>
  </si>
  <si>
    <t>Bobbi  Snider</t>
  </si>
  <si>
    <t>bobbi_snider@sumnersd.org</t>
  </si>
  <si>
    <t>Sumner Middle School</t>
  </si>
  <si>
    <t>1508 Willow</t>
  </si>
  <si>
    <t>Jenny  Williams</t>
  </si>
  <si>
    <t>jenny_williams@sumnersd.org</t>
  </si>
  <si>
    <t>253.891.5000</t>
  </si>
  <si>
    <t>Lakeridge Middle School</t>
  </si>
  <si>
    <t>5909 Myers RD E</t>
  </si>
  <si>
    <t>Toby  Udager</t>
  </si>
  <si>
    <t>toby_udager@sumnersd.org</t>
  </si>
  <si>
    <t>253.891.5100</t>
  </si>
  <si>
    <t>Victor Falls Elementary</t>
  </si>
  <si>
    <t>11401 188th Ave. Ct. E</t>
  </si>
  <si>
    <t>Adam  Uhler</t>
  </si>
  <si>
    <t>adam_uhler@sumnersd.org</t>
  </si>
  <si>
    <t>253.891.4700</t>
  </si>
  <si>
    <t>Emerald Hills Elementary</t>
  </si>
  <si>
    <t>19515 S Tapps Dr E</t>
  </si>
  <si>
    <t>Martina  Scheerer</t>
  </si>
  <si>
    <t>martin_scheerer@sumnersd.org</t>
  </si>
  <si>
    <t>253.891.4750</t>
  </si>
  <si>
    <t>Liberty Ridge Elementary</t>
  </si>
  <si>
    <t>12202 209th AVE CT E</t>
  </si>
  <si>
    <t>Julana  Hardtke</t>
  </si>
  <si>
    <t>julana_hardtke@sumnersd.org</t>
  </si>
  <si>
    <t>253.891.4800</t>
  </si>
  <si>
    <t>Crestwood Elementary</t>
  </si>
  <si>
    <t>3914 W Tapps Dr E</t>
  </si>
  <si>
    <t>Lisa  Brozovich</t>
  </si>
  <si>
    <t>lisa_brozovich@sumnersd.org</t>
  </si>
  <si>
    <t>10920 199TH AVE CT E</t>
  </si>
  <si>
    <t>Amy  Montgomery</t>
  </si>
  <si>
    <t>amy_montgomery@sumnersd.org</t>
  </si>
  <si>
    <t>253.891.5200</t>
  </si>
  <si>
    <t>Daffodil Valley Elementary</t>
  </si>
  <si>
    <t>1509 Valley Avenue</t>
  </si>
  <si>
    <t>Jane  Aronson</t>
  </si>
  <si>
    <t>jane_aronson@sumnersd.org</t>
  </si>
  <si>
    <t>253.891.4600</t>
  </si>
  <si>
    <t>Dieringer School District</t>
  </si>
  <si>
    <t>Lake Tapps Elementary</t>
  </si>
  <si>
    <t>1320 178th Avenue E.</t>
  </si>
  <si>
    <t>Lake Tapps</t>
  </si>
  <si>
    <t>98391-6411</t>
  </si>
  <si>
    <t>Pat  Webster</t>
  </si>
  <si>
    <t>pwebster@dieringer.wednet.edu</t>
  </si>
  <si>
    <t>253.862.6600</t>
  </si>
  <si>
    <t>North Tapps Middle School</t>
  </si>
  <si>
    <t>20029 12th Street E.</t>
  </si>
  <si>
    <t>98391-9369</t>
  </si>
  <si>
    <t>David  Uberti</t>
  </si>
  <si>
    <t>duberti@dieringer.wednet.edu</t>
  </si>
  <si>
    <t>253.862.2776</t>
  </si>
  <si>
    <t>Dieringer Heights Elementary</t>
  </si>
  <si>
    <t>21727 34th Street E.</t>
  </si>
  <si>
    <t>98391-5804</t>
  </si>
  <si>
    <t>Kevin  Anderson</t>
  </si>
  <si>
    <t>kanderson@dieringer.wednet.edu</t>
  </si>
  <si>
    <t>253.826.4937</t>
  </si>
  <si>
    <t>Orting School District</t>
  </si>
  <si>
    <t>Orting Primary School</t>
  </si>
  <si>
    <t>316 Washington Avenue North</t>
  </si>
  <si>
    <t>Orting</t>
  </si>
  <si>
    <t>98360-8404</t>
  </si>
  <si>
    <t>Lisa  Couch</t>
  </si>
  <si>
    <t>couchl@orting.wednet.edu</t>
  </si>
  <si>
    <t>360.893.2248</t>
  </si>
  <si>
    <t>Orting High School</t>
  </si>
  <si>
    <t>320 Washington Avenue North</t>
  </si>
  <si>
    <t>Cliff  Fries</t>
  </si>
  <si>
    <t>friesc@orting.wednet.edu</t>
  </si>
  <si>
    <t>360.893.2246</t>
  </si>
  <si>
    <t>Orting Middle School</t>
  </si>
  <si>
    <t>111 Whitehawk Blvd NW</t>
  </si>
  <si>
    <t>98360-7480</t>
  </si>
  <si>
    <t>David  Slagle</t>
  </si>
  <si>
    <t>slagled@orting.wednet.edu</t>
  </si>
  <si>
    <t>360.893.3565</t>
  </si>
  <si>
    <t>Ptarmigan Ridge Elementary School</t>
  </si>
  <si>
    <t>805 Old Pioneer Way NW</t>
  </si>
  <si>
    <t>Alicia Kathleen Jensen</t>
  </si>
  <si>
    <t>jensena@orting.wednet.edu</t>
  </si>
  <si>
    <t>360.893.0595</t>
  </si>
  <si>
    <t>Alfaretta House</t>
  </si>
  <si>
    <t>98499-1341</t>
  </si>
  <si>
    <t>Michaela  Clancy</t>
  </si>
  <si>
    <t>mclancy@cloverpark.k12.wa.us</t>
  </si>
  <si>
    <t>253.583.5170</t>
  </si>
  <si>
    <t>Re-Entry High School</t>
  </si>
  <si>
    <t>5431 Steilacoom Blvd SW</t>
  </si>
  <si>
    <t>Holly  Shaffer</t>
  </si>
  <si>
    <t>hshaffer@cloverpark.k12.wa.us</t>
  </si>
  <si>
    <t>253.583.5420</t>
  </si>
  <si>
    <t>Re-Entry Middle School</t>
  </si>
  <si>
    <t>Special Education Services/relife</t>
  </si>
  <si>
    <t>10903 Gravelly LK DR SW</t>
  </si>
  <si>
    <t>Firwood</t>
  </si>
  <si>
    <t>8805 Steilacoom Blvd SW</t>
  </si>
  <si>
    <t>98498-4771</t>
  </si>
  <si>
    <t>Carolyn  Watkins</t>
  </si>
  <si>
    <t>Park Lodge Elementary School</t>
  </si>
  <si>
    <t>6300 100th ST SW</t>
  </si>
  <si>
    <t>98499-1766</t>
  </si>
  <si>
    <t>Synette  Melluzzo</t>
  </si>
  <si>
    <t>smelluzz@cloverpark.k12.wa.us</t>
  </si>
  <si>
    <t>253.583.5350</t>
  </si>
  <si>
    <t>Clover Park High School</t>
  </si>
  <si>
    <t>11023 Gravelly LK DR SW</t>
  </si>
  <si>
    <t>98499-0000</t>
  </si>
  <si>
    <t>Tim  Stults</t>
  </si>
  <si>
    <t>tstults@cloverpark.k12.wa.us</t>
  </si>
  <si>
    <t>253.583.5500</t>
  </si>
  <si>
    <t>Tillicum Elementary School</t>
  </si>
  <si>
    <t>8514 Maple ST SW</t>
  </si>
  <si>
    <t>98498-2398</t>
  </si>
  <si>
    <t>Jeff  Miller</t>
  </si>
  <si>
    <t>jsmiller@cloverpark.k12.wa.us</t>
  </si>
  <si>
    <t>253.583.5370</t>
  </si>
  <si>
    <t>Lakeview Hope Academy</t>
  </si>
  <si>
    <t>10501 47th AVE SW</t>
  </si>
  <si>
    <t>98499-3712</t>
  </si>
  <si>
    <t>Meghan  Eakin</t>
  </si>
  <si>
    <t>meakin@cloverpark.k12.wa.us</t>
  </si>
  <si>
    <t>253.583.5320</t>
  </si>
  <si>
    <t>Custer Elementary School</t>
  </si>
  <si>
    <t>7801 Steilacoom Blvd SW</t>
  </si>
  <si>
    <t>98498-6198</t>
  </si>
  <si>
    <t>Trish  Stallard</t>
  </si>
  <si>
    <t>pstallar@cloverpark.k12.wa.us</t>
  </si>
  <si>
    <t>253.583.5230</t>
  </si>
  <si>
    <t>Idlewild Elementary School</t>
  </si>
  <si>
    <t>10806 Idlewild Rd SW</t>
  </si>
  <si>
    <t>98498-5613</t>
  </si>
  <si>
    <t>Sheri  Warrick</t>
  </si>
  <si>
    <t>swarrick@cloverpark.k12.wa.us</t>
  </si>
  <si>
    <t>253.583.5290</t>
  </si>
  <si>
    <t>Hudtloff Middle School</t>
  </si>
  <si>
    <t>8102 Phillips Road SW</t>
  </si>
  <si>
    <t>98498-6399</t>
  </si>
  <si>
    <t>Cindy  Adams</t>
  </si>
  <si>
    <t>caadams@cloverpark.k12.wa.us</t>
  </si>
  <si>
    <t>253.583.5400</t>
  </si>
  <si>
    <t>Tyee Park Elementary School</t>
  </si>
  <si>
    <t>11920 Seminole RD SW</t>
  </si>
  <si>
    <t>98499-4939</t>
  </si>
  <si>
    <t>Sean  Schoenfeldt</t>
  </si>
  <si>
    <t>sschoenf@cloverpark.k12.wa.us</t>
  </si>
  <si>
    <t>253.583.5380</t>
  </si>
  <si>
    <t>Mann Middle School</t>
  </si>
  <si>
    <t>11509 Holden RD SW</t>
  </si>
  <si>
    <t>98498-2899</t>
  </si>
  <si>
    <t>Steve  Seberson</t>
  </si>
  <si>
    <t>sseberso@cloverpark.k12.wa.us</t>
  </si>
  <si>
    <t>253.583.5440</t>
  </si>
  <si>
    <t>Hillside Elementary School</t>
  </si>
  <si>
    <t>61700 Garcia Blvd</t>
  </si>
  <si>
    <t>98433-1235</t>
  </si>
  <si>
    <t>David  Young</t>
  </si>
  <si>
    <t>dyoung@cloverpark.k12.wa.us</t>
  </si>
  <si>
    <t>253.583.5280</t>
  </si>
  <si>
    <t>Lake Louise Elementary School</t>
  </si>
  <si>
    <t>11014 Holden Rd SW</t>
  </si>
  <si>
    <t>98498-2999</t>
  </si>
  <si>
    <t>Travis  Holmgren</t>
  </si>
  <si>
    <t>tholmgre@cloverpark.k12.wa.us</t>
  </si>
  <si>
    <t>253.583.5310</t>
  </si>
  <si>
    <t>Beachwood Elementary School</t>
  </si>
  <si>
    <t>8890 Concord Avenue</t>
  </si>
  <si>
    <t>Paula  Gayson</t>
  </si>
  <si>
    <t>pgayson@cloverpark.k12.wa.us</t>
  </si>
  <si>
    <t>253.583.5260</t>
  </si>
  <si>
    <t>Dower Elementary School</t>
  </si>
  <si>
    <t>7817 Dower Rd West</t>
  </si>
  <si>
    <t>98499-2333</t>
  </si>
  <si>
    <t>Megan  Qualls</t>
  </si>
  <si>
    <t>mqualls@cloverpark.k12.wa.us</t>
  </si>
  <si>
    <t>253.583.5240</t>
  </si>
  <si>
    <t>Lakes High School</t>
  </si>
  <si>
    <t>10320 Farwest DR SW</t>
  </si>
  <si>
    <t>98498-1799</t>
  </si>
  <si>
    <t>Karen  Mauer-Smith</t>
  </si>
  <si>
    <t>kmauersm@cloverpark.k12.wa.us</t>
  </si>
  <si>
    <t>253.583.5550</t>
  </si>
  <si>
    <t>Carter Lake Elementary School</t>
  </si>
  <si>
    <t>3420 Lincoln Blvd SW</t>
  </si>
  <si>
    <t>JBLM McChord Field</t>
  </si>
  <si>
    <t>98439-2299</t>
  </si>
  <si>
    <t>Jeff  Murrell</t>
  </si>
  <si>
    <t>jmurrell@cloverpark.k12.wa.us</t>
  </si>
  <si>
    <t>253.583.5210</t>
  </si>
  <si>
    <t>Woodbrook Middle School</t>
  </si>
  <si>
    <t>14920 Spring ST</t>
  </si>
  <si>
    <t>98439-1129</t>
  </si>
  <si>
    <t>Rebecca  Sprague</t>
  </si>
  <si>
    <t>rsprague@cloverpark.k12.wa.us</t>
  </si>
  <si>
    <t>253.583.5460</t>
  </si>
  <si>
    <t>Lochburn Middle School</t>
  </si>
  <si>
    <t>98499-3122</t>
  </si>
  <si>
    <t>Greg  Wilson</t>
  </si>
  <si>
    <t>gawilson@cloverpark.k12.wa.us</t>
  </si>
  <si>
    <t>Oakbrook Elementary School</t>
  </si>
  <si>
    <t>7802 83rd AVE SW</t>
  </si>
  <si>
    <t>98498-6299</t>
  </si>
  <si>
    <t>Phillip  Robinson</t>
  </si>
  <si>
    <t>probinso@cloverpark.k12.wa.us</t>
  </si>
  <si>
    <t>253.583.5330</t>
  </si>
  <si>
    <t>Oak Grove</t>
  </si>
  <si>
    <t>9020 Blaine Ave</t>
  </si>
  <si>
    <t>98433-1570</t>
  </si>
  <si>
    <t>Diana  Dix</t>
  </si>
  <si>
    <t>ddix@cloverpark.k12.wa.us</t>
  </si>
  <si>
    <t>253.583.5250</t>
  </si>
  <si>
    <t>Peninsula School District</t>
  </si>
  <si>
    <t>Henderson Bay Alt High School</t>
  </si>
  <si>
    <t>8402 Skansie Ave</t>
  </si>
  <si>
    <t>Gig Harbor</t>
  </si>
  <si>
    <t>98332-0000</t>
  </si>
  <si>
    <t>Brian  Tovey</t>
  </si>
  <si>
    <t>toveyb@psd401.net</t>
  </si>
  <si>
    <t>253.530.1700</t>
  </si>
  <si>
    <t>Goodman Middle School</t>
  </si>
  <si>
    <t>3701 38th Ave NW</t>
  </si>
  <si>
    <t>98335-8231</t>
  </si>
  <si>
    <t>Tyrone (Ty)  Robuck</t>
  </si>
  <si>
    <t>robuckt@psd401.net</t>
  </si>
  <si>
    <t>253.530.1600</t>
  </si>
  <si>
    <t>Peninsula High School</t>
  </si>
  <si>
    <t>14105 Purdy Dr NW</t>
  </si>
  <si>
    <t>98332-8627</t>
  </si>
  <si>
    <t>goodwind@psd401.net</t>
  </si>
  <si>
    <t>253.530.4400</t>
  </si>
  <si>
    <t>Harbor Heights Elementary School</t>
  </si>
  <si>
    <t>4002 36th St NW</t>
  </si>
  <si>
    <t>98335-8010</t>
  </si>
  <si>
    <t>Stephanie  Strader</t>
  </si>
  <si>
    <t>straders@psd401.net</t>
  </si>
  <si>
    <t>253.530.1800</t>
  </si>
  <si>
    <t>Evergreen Elementary</t>
  </si>
  <si>
    <t>1820 Key Peninsula Hwy KPS</t>
  </si>
  <si>
    <t>Lakebay</t>
  </si>
  <si>
    <t>98349-9344</t>
  </si>
  <si>
    <t>Hugh  Maxwell</t>
  </si>
  <si>
    <t>maxwellh@psd401.net</t>
  </si>
  <si>
    <t>253.530.1300</t>
  </si>
  <si>
    <t>Vaughn Elementary School</t>
  </si>
  <si>
    <t>17521 Hall Road KPN</t>
  </si>
  <si>
    <t>Vaughn</t>
  </si>
  <si>
    <t>98394-9611</t>
  </si>
  <si>
    <t>Lillian   Page</t>
  </si>
  <si>
    <t>pagel@psd401.net</t>
  </si>
  <si>
    <t>253.530.4700</t>
  </si>
  <si>
    <t>Artondale Elementary School</t>
  </si>
  <si>
    <t>6219 40th Street NW</t>
  </si>
  <si>
    <t>98335-7299</t>
  </si>
  <si>
    <t>Jessica  Rosendahl</t>
  </si>
  <si>
    <t>rosendahlj@psd401.net</t>
  </si>
  <si>
    <t>253.530.1100</t>
  </si>
  <si>
    <t>Purdy Elementary School</t>
  </si>
  <si>
    <t>13815 62nd Ave NW</t>
  </si>
  <si>
    <t>98332-8699</t>
  </si>
  <si>
    <t>Dina (Kristi)  Rivera</t>
  </si>
  <si>
    <t>riverad@psd401.net</t>
  </si>
  <si>
    <t>253.530.4600</t>
  </si>
  <si>
    <t>Discovery Elementary School</t>
  </si>
  <si>
    <t>4905 Rosedale St NW</t>
  </si>
  <si>
    <t>98335-1862</t>
  </si>
  <si>
    <t>David  Brooks</t>
  </si>
  <si>
    <t>booksd@psd401.net</t>
  </si>
  <si>
    <t>253.530.1200</t>
  </si>
  <si>
    <t>Gig Harbor High</t>
  </si>
  <si>
    <t>5101 Rosedale St NW</t>
  </si>
  <si>
    <t>98335-1899</t>
  </si>
  <si>
    <t>Tom  Leacy</t>
  </si>
  <si>
    <t>leacyt@psd401.net</t>
  </si>
  <si>
    <t>253.530.1400</t>
  </si>
  <si>
    <t>Key Peninsula Middle School</t>
  </si>
  <si>
    <t>5510 Key Peninsula Hwy N</t>
  </si>
  <si>
    <t>98349-9622</t>
  </si>
  <si>
    <t>Jeri  Goebel</t>
  </si>
  <si>
    <t>goebelj@psd401.net</t>
  </si>
  <si>
    <t>253.530.4200</t>
  </si>
  <si>
    <t>Minter Creek Elementary</t>
  </si>
  <si>
    <t>12617 118th Ave NW</t>
  </si>
  <si>
    <t>98329-5492</t>
  </si>
  <si>
    <t>Todd  Hering</t>
  </si>
  <si>
    <t>heringt@psd401.net</t>
  </si>
  <si>
    <t>253.530.4300</t>
  </si>
  <si>
    <t>Kopachuck Middle School</t>
  </si>
  <si>
    <t>10414 56th St NW</t>
  </si>
  <si>
    <t>98335-5903</t>
  </si>
  <si>
    <t>Heidi  Fedore</t>
  </si>
  <si>
    <t>fedoreh@psd401.net</t>
  </si>
  <si>
    <t>253.530.4100</t>
  </si>
  <si>
    <t>Voyager Elementary</t>
  </si>
  <si>
    <t>5615 Kopachuck Dr NW</t>
  </si>
  <si>
    <t>98335-5954</t>
  </si>
  <si>
    <t>Katja  Rimmele</t>
  </si>
  <si>
    <t>rimmelek@psd401.net</t>
  </si>
  <si>
    <t>253.530.4800</t>
  </si>
  <si>
    <t>Harbor Ridge Middle School</t>
  </si>
  <si>
    <t>9010 Prentice Ave</t>
  </si>
  <si>
    <t>98332-1095</t>
  </si>
  <si>
    <t>Mike  Benoit</t>
  </si>
  <si>
    <t>benoitm@psd401.net</t>
  </si>
  <si>
    <t>253.530.1900</t>
  </si>
  <si>
    <t>Collins Elementary</t>
  </si>
  <si>
    <t>1920 128th Street E</t>
  </si>
  <si>
    <t>Barbara  Mondloch</t>
  </si>
  <si>
    <t>bmondloch@fpschools.org</t>
  </si>
  <si>
    <t>253.298.3401</t>
  </si>
  <si>
    <t>Central Avenue Elementary</t>
  </si>
  <si>
    <t>4608 128th ST E</t>
  </si>
  <si>
    <t>Tonya  Middling</t>
  </si>
  <si>
    <t>tmiddling@fpschools.org</t>
  </si>
  <si>
    <t>253.298.3201</t>
  </si>
  <si>
    <t>Franklin Pierce High School</t>
  </si>
  <si>
    <t>11002 18TH AVE E</t>
  </si>
  <si>
    <t>98445-5228</t>
  </si>
  <si>
    <t>Ronald  Hartley</t>
  </si>
  <si>
    <t>Rhartley@fpschools.org</t>
  </si>
  <si>
    <t>253.298.3000</t>
  </si>
  <si>
    <t>James Sales Elementary</t>
  </si>
  <si>
    <t>1301 113th Street S</t>
  </si>
  <si>
    <t>Brandy  Nelson</t>
  </si>
  <si>
    <t>bnelson@fpschools.org</t>
  </si>
  <si>
    <t>253.298.4200</t>
  </si>
  <si>
    <t>Harvard Elementary</t>
  </si>
  <si>
    <t>1709 85th Street E</t>
  </si>
  <si>
    <t>Paul R Elery</t>
  </si>
  <si>
    <t>pelery@fpschools.org</t>
  </si>
  <si>
    <t>253.535.9890</t>
  </si>
  <si>
    <t>Brookdale Elementary</t>
  </si>
  <si>
    <t xml:space="preserve">11213 S Sheridan Ave </t>
  </si>
  <si>
    <t>Connie  Holman</t>
  </si>
  <si>
    <t>cholman@fpschools.org</t>
  </si>
  <si>
    <t>253.298.3101</t>
  </si>
  <si>
    <t>Morris Ford Middle School</t>
  </si>
  <si>
    <t>1602 104th Street East</t>
  </si>
  <si>
    <t>98445-3838</t>
  </si>
  <si>
    <t>Heather   Renner</t>
  </si>
  <si>
    <t>hrenner@fpschools.org</t>
  </si>
  <si>
    <t>253.298.3009</t>
  </si>
  <si>
    <t>Christensen Elementary</t>
  </si>
  <si>
    <t>10232 Barnes Lane</t>
  </si>
  <si>
    <t>98444-2799</t>
  </si>
  <si>
    <t>Tim K Enfield</t>
  </si>
  <si>
    <t>tenfield@fpschools.org</t>
  </si>
  <si>
    <t>253.298.3300</t>
  </si>
  <si>
    <t>Perry G Keithley Middle School</t>
  </si>
  <si>
    <t>12324 12TH AVE S</t>
  </si>
  <si>
    <t>98444-3899</t>
  </si>
  <si>
    <t>Thomas  Edwards</t>
  </si>
  <si>
    <t>tedwards@fpschools.org</t>
  </si>
  <si>
    <t>253.298.4307</t>
  </si>
  <si>
    <t>Elmhurst Elementary School</t>
  </si>
  <si>
    <t>420 133rd ST E</t>
  </si>
  <si>
    <t>98445-1465</t>
  </si>
  <si>
    <t>Steven   Mondragon</t>
  </si>
  <si>
    <t>smondragon@fpschools.org</t>
  </si>
  <si>
    <t>253.298.3501</t>
  </si>
  <si>
    <t>Washington High School</t>
  </si>
  <si>
    <t>12420 Ainsworth Ave S</t>
  </si>
  <si>
    <t>98444-2398</t>
  </si>
  <si>
    <t>Brent  Whitemarsh</t>
  </si>
  <si>
    <t>bwhitemarsh@fpschools.org</t>
  </si>
  <si>
    <t>Gates Secondary School</t>
  </si>
  <si>
    <t>813 132nd Street S</t>
  </si>
  <si>
    <t>98444-3532</t>
  </si>
  <si>
    <t>Valinda  Jones</t>
  </si>
  <si>
    <t>vjones@fpschools.org</t>
  </si>
  <si>
    <t>253.298.4000</t>
  </si>
  <si>
    <t>Challenger High School</t>
  </si>
  <si>
    <t>18020 B St E</t>
  </si>
  <si>
    <t>98387-8321</t>
  </si>
  <si>
    <t>Jeff  Johnson</t>
  </si>
  <si>
    <t>jeajohnson@bethelsd.org</t>
  </si>
  <si>
    <t>253.800.6800</t>
  </si>
  <si>
    <t>Thompson Preschool</t>
  </si>
  <si>
    <t>15616 5th Ave E</t>
  </si>
  <si>
    <t>Ralph  Wisner</t>
  </si>
  <si>
    <t>rwisner@bethelsd.org</t>
  </si>
  <si>
    <t>253.800.5800</t>
  </si>
  <si>
    <t>Spanaway Elementary</t>
  </si>
  <si>
    <t>412 165th St S</t>
  </si>
  <si>
    <t>98387-8624</t>
  </si>
  <si>
    <t>Kim  Kosa</t>
  </si>
  <si>
    <t>kkosa@bethelsd.org</t>
  </si>
  <si>
    <t>253.800.8300</t>
  </si>
  <si>
    <t>Roy Elementary</t>
  </si>
  <si>
    <t>PO BOX 238</t>
  </si>
  <si>
    <t>ROY</t>
  </si>
  <si>
    <t>98580-0238</t>
  </si>
  <si>
    <t>Stephanie  Weinheimer</t>
  </si>
  <si>
    <t>sweinheime@bethelsd.org</t>
  </si>
  <si>
    <t>253.800.5100</t>
  </si>
  <si>
    <t>Clover Creek Elementary</t>
  </si>
  <si>
    <t>16715 36th Avenue East</t>
  </si>
  <si>
    <t>98446-1399</t>
  </si>
  <si>
    <t>Sara  Olson</t>
  </si>
  <si>
    <t>smolson@bethelsd.org</t>
  </si>
  <si>
    <t>253.800.7800</t>
  </si>
  <si>
    <t>Kapowsin Elementary</t>
  </si>
  <si>
    <t>10412 264th St E</t>
  </si>
  <si>
    <t>Graham</t>
  </si>
  <si>
    <t>98338-8795</t>
  </si>
  <si>
    <t>David  Cordell</t>
  </si>
  <si>
    <t>dcordell@bethelsd.org</t>
  </si>
  <si>
    <t>253.800.8600</t>
  </si>
  <si>
    <t>Bethel High School</t>
  </si>
  <si>
    <t>22215 38th Ave E</t>
  </si>
  <si>
    <t>Christy L Rodriquez</t>
  </si>
  <si>
    <t>crodriguez@bethelsd.org</t>
  </si>
  <si>
    <t>253.800.7000</t>
  </si>
  <si>
    <t>Elk Plain School of Choice</t>
  </si>
  <si>
    <t>22015 22nd Ave E</t>
  </si>
  <si>
    <t>98397-7511</t>
  </si>
  <si>
    <t>Tom  Mitchell</t>
  </si>
  <si>
    <t>tmitchell@bethelsd.org</t>
  </si>
  <si>
    <t>253.800.7900</t>
  </si>
  <si>
    <t>Bethel Middle School</t>
  </si>
  <si>
    <t>22201 38th Avenue East</t>
  </si>
  <si>
    <t>98387-6827</t>
  </si>
  <si>
    <t>Julie  Schultz-Bartlett</t>
  </si>
  <si>
    <t>jshultzbar@bethelsd.org</t>
  </si>
  <si>
    <t>253.800.7200</t>
  </si>
  <si>
    <t>Chester H Thompson Elementary</t>
  </si>
  <si>
    <t>303 159TH ST E</t>
  </si>
  <si>
    <t>98445-1199</t>
  </si>
  <si>
    <t>Spanaway Middle School</t>
  </si>
  <si>
    <t>15701 B St E</t>
  </si>
  <si>
    <t>98445-1198</t>
  </si>
  <si>
    <t>Shannon  Leatherwood</t>
  </si>
  <si>
    <t>sleatherwo@bethelsd.org</t>
  </si>
  <si>
    <t>253.800.5400</t>
  </si>
  <si>
    <t>1311  172nd St E</t>
  </si>
  <si>
    <t>98387-5916</t>
  </si>
  <si>
    <t>Jamie  Burnett</t>
  </si>
  <si>
    <t>jburnett@bethelsd.org</t>
  </si>
  <si>
    <t>253.800.8200</t>
  </si>
  <si>
    <t>Naches Trail Elementary</t>
  </si>
  <si>
    <t>15305 Waller Road E</t>
  </si>
  <si>
    <t>98446-1533</t>
  </si>
  <si>
    <t>Kay  Gallo</t>
  </si>
  <si>
    <t>KGALLO@bethelsd.org</t>
  </si>
  <si>
    <t>253.800.7400</t>
  </si>
  <si>
    <t>Shining Mountain Elementary</t>
  </si>
  <si>
    <t>21615 38th Ave E</t>
  </si>
  <si>
    <t>Paul  Marquardt</t>
  </si>
  <si>
    <t>pmarquardt@bethelsd.org</t>
  </si>
  <si>
    <t>253.800.5200</t>
  </si>
  <si>
    <t>Spanaway Lake High School</t>
  </si>
  <si>
    <t>1305 168th St E</t>
  </si>
  <si>
    <t>98387-5906</t>
  </si>
  <si>
    <t>Susie  Askew</t>
  </si>
  <si>
    <t>saskew@bethelsd.org</t>
  </si>
  <si>
    <t>253.800.5600</t>
  </si>
  <si>
    <t>Cedarcrest Middle School</t>
  </si>
  <si>
    <t>19120 13th Ave Ct E</t>
  </si>
  <si>
    <t>98387-7924</t>
  </si>
  <si>
    <t>Scott  Martin</t>
  </si>
  <si>
    <t>smartin@bethelsd.org</t>
  </si>
  <si>
    <t>253.800.7500</t>
  </si>
  <si>
    <t>Rocky Ridge Elementary</t>
  </si>
  <si>
    <t>6514 260th St E</t>
  </si>
  <si>
    <t>98338-9648</t>
  </si>
  <si>
    <t>Lindsay  Marquardt</t>
  </si>
  <si>
    <t>lmarquardt@bethelsd.org</t>
  </si>
  <si>
    <t>253.800.5000</t>
  </si>
  <si>
    <t>Camas Prairie Elementary</t>
  </si>
  <si>
    <t>320  176th St E</t>
  </si>
  <si>
    <t>98387-8322</t>
  </si>
  <si>
    <t>Melissa  Munson-Merritt</t>
  </si>
  <si>
    <t>mmunsonmer@bethelsd.org</t>
  </si>
  <si>
    <t>Graham Elementary</t>
  </si>
  <si>
    <t>10026 204th St E</t>
  </si>
  <si>
    <t>98338-9216</t>
  </si>
  <si>
    <t>Amy  Low</t>
  </si>
  <si>
    <t>alow@bethelsd.org</t>
  </si>
  <si>
    <t>253.800.8500</t>
  </si>
  <si>
    <t>Centennial Elementary Bethel</t>
  </si>
  <si>
    <t>24323 Mathias Rd E</t>
  </si>
  <si>
    <t>98338-9549</t>
  </si>
  <si>
    <t>Chris  Brauer</t>
  </si>
  <si>
    <t>cbrauer@bethelsd.org</t>
  </si>
  <si>
    <t>253.800.7700</t>
  </si>
  <si>
    <t>Pioneer Valley Elementary</t>
  </si>
  <si>
    <t>7315 Eustis Hunt Rd</t>
  </si>
  <si>
    <t>98387-5305</t>
  </si>
  <si>
    <t>Christoph   Green</t>
  </si>
  <si>
    <t>cgreen@bethelsd.org</t>
  </si>
  <si>
    <t>253.800.8900</t>
  </si>
  <si>
    <t>22110 108th Ave E</t>
  </si>
  <si>
    <t>98338-8871</t>
  </si>
  <si>
    <t>Bethany  Aoki</t>
  </si>
  <si>
    <t>BAOKI@BETHELSD.ORG</t>
  </si>
  <si>
    <t>North Star Elementary</t>
  </si>
  <si>
    <t>7719 224th St E</t>
  </si>
  <si>
    <t>Stephen   Rushing</t>
  </si>
  <si>
    <t>srushing@bethelsd.org</t>
  </si>
  <si>
    <t>253.800.8800</t>
  </si>
  <si>
    <t>Eatonville Elementary School</t>
  </si>
  <si>
    <t>PO Box 669</t>
  </si>
  <si>
    <t>98328-0669</t>
  </si>
  <si>
    <t>Diane  Heersink</t>
  </si>
  <si>
    <t>diane_heersink@eatonville.wednet.edu</t>
  </si>
  <si>
    <t>360.879.1600</t>
  </si>
  <si>
    <t>Eatonville High School</t>
  </si>
  <si>
    <t>PO Box 699</t>
  </si>
  <si>
    <t>98328-0699</t>
  </si>
  <si>
    <t>Amy  Sturdivant</t>
  </si>
  <si>
    <t>a.sturdivant@eatonville.wednet.edu</t>
  </si>
  <si>
    <t>360.879.1200</t>
  </si>
  <si>
    <t>Weyerhaeuser Elementary</t>
  </si>
  <si>
    <t>6105 365TH ST E</t>
  </si>
  <si>
    <t>98328-9512</t>
  </si>
  <si>
    <t>Columbia Crest A-STEM Academy</t>
  </si>
  <si>
    <t>24503 State Route 706 E</t>
  </si>
  <si>
    <t>Ashford</t>
  </si>
  <si>
    <t>98304-9703</t>
  </si>
  <si>
    <t>Allison  Shew</t>
  </si>
  <si>
    <t>a.shew@eatonville.wednet.edu</t>
  </si>
  <si>
    <t>360.569.2567</t>
  </si>
  <si>
    <t>Eatonville Middle School</t>
  </si>
  <si>
    <t>PO Box 910</t>
  </si>
  <si>
    <t>98328-0910</t>
  </si>
  <si>
    <t>janna_rush@eatonville.wednet.edu</t>
  </si>
  <si>
    <t>360.879.1400</t>
  </si>
  <si>
    <t>Elk Ridge Elementary</t>
  </si>
  <si>
    <t>PO Box 1685</t>
  </si>
  <si>
    <t>98321-1685</t>
  </si>
  <si>
    <t>Christina  Markey</t>
  </si>
  <si>
    <t>cmarkey@whiteriver.wednet.edu</t>
  </si>
  <si>
    <t>360.829.3354</t>
  </si>
  <si>
    <t>PO Box 1683</t>
  </si>
  <si>
    <t>98321-1683</t>
  </si>
  <si>
    <t>Nick  Hedman</t>
  </si>
  <si>
    <t>nhedman@whiteriver.wednet.edu</t>
  </si>
  <si>
    <t>360.829.6147</t>
  </si>
  <si>
    <t>Wilkeson Elementary School</t>
  </si>
  <si>
    <t>PO Box 69</t>
  </si>
  <si>
    <t>Wilkeson</t>
  </si>
  <si>
    <t>98396-0000</t>
  </si>
  <si>
    <t>Laurie  Gelinas</t>
  </si>
  <si>
    <t>lgelinas@whiteriver.wednet.edu</t>
  </si>
  <si>
    <t>360.829.6107</t>
  </si>
  <si>
    <t>Foothills Elementary</t>
  </si>
  <si>
    <t>PO Box 2210</t>
  </si>
  <si>
    <t>98321-2210</t>
  </si>
  <si>
    <t>Mark  Cushman</t>
  </si>
  <si>
    <t>mcushman@whiteriver.wednet.edu</t>
  </si>
  <si>
    <t>360.829.5979</t>
  </si>
  <si>
    <t>Mountain Meadow Elementary</t>
  </si>
  <si>
    <t>PO Box 2390</t>
  </si>
  <si>
    <t>98321-2390</t>
  </si>
  <si>
    <t>Jeff  Byrnes</t>
  </si>
  <si>
    <t>jbyrnes@whiteriver.wednet.edu</t>
  </si>
  <si>
    <t>360.829.6047</t>
  </si>
  <si>
    <t>White River High School</t>
  </si>
  <si>
    <t>P. O. Box 1683</t>
  </si>
  <si>
    <t>Cody  Mothershead</t>
  </si>
  <si>
    <t>cmotherhead@whiteriver.wednet.edu</t>
  </si>
  <si>
    <t>360.829.3352</t>
  </si>
  <si>
    <t>Fife High School</t>
  </si>
  <si>
    <t>5616 20th St E</t>
  </si>
  <si>
    <t>98424-2026</t>
  </si>
  <si>
    <t>Brandon  Bakke</t>
  </si>
  <si>
    <t>253.517.1100</t>
  </si>
  <si>
    <t>Endeavour Intermediate</t>
  </si>
  <si>
    <t>1304 17th Avenue</t>
  </si>
  <si>
    <t>Milton</t>
  </si>
  <si>
    <t>98354-9125</t>
  </si>
  <si>
    <t>Amy  Mittelstaedt</t>
  </si>
  <si>
    <t>amittelstaedt@fifeschools.com</t>
  </si>
  <si>
    <t>253.517.1400</t>
  </si>
  <si>
    <t>Discovery Primary School</t>
  </si>
  <si>
    <t>1205 19th Avenue</t>
  </si>
  <si>
    <t>98354-9189</t>
  </si>
  <si>
    <t>Julie  Bartlett</t>
  </si>
  <si>
    <t>jbartlett@fifeschools.com</t>
  </si>
  <si>
    <t>253.517.1200</t>
  </si>
  <si>
    <t>Surprise Lake Middle School</t>
  </si>
  <si>
    <t>2001 Milton Way</t>
  </si>
  <si>
    <t>98354-9443</t>
  </si>
  <si>
    <t>Mark  Beddes</t>
  </si>
  <si>
    <t>mbeddes@fifeschools.com</t>
  </si>
  <si>
    <t>253.517.1300</t>
  </si>
  <si>
    <t>Hedden Elementary School</t>
  </si>
  <si>
    <t>11313 8th St E</t>
  </si>
  <si>
    <t>98372-1148</t>
  </si>
  <si>
    <t>Don  Sims</t>
  </si>
  <si>
    <t>dsims@fifeschools.com</t>
  </si>
  <si>
    <t>253.517.1500</t>
  </si>
  <si>
    <t>Shaw Island School District</t>
  </si>
  <si>
    <t>Shaw Island Elementary School</t>
  </si>
  <si>
    <t>PO Box 426</t>
  </si>
  <si>
    <t>Shaw Island</t>
  </si>
  <si>
    <t>98286-0426</t>
  </si>
  <si>
    <t>Diane  Clifton</t>
  </si>
  <si>
    <t>dclifton@shaw.k12.wa.us</t>
  </si>
  <si>
    <t>360.468.2570</t>
  </si>
  <si>
    <t>OASIS K-12</t>
  </si>
  <si>
    <t>557 SCHOOL RD</t>
  </si>
  <si>
    <t>EASTSOUND</t>
  </si>
  <si>
    <t>98245-0000</t>
  </si>
  <si>
    <t>Don   Johnston</t>
  </si>
  <si>
    <t>Djohnston@orcas.k12.wa.us</t>
  </si>
  <si>
    <t>360.376.2284</t>
  </si>
  <si>
    <t>Orcas Island Elementary School</t>
  </si>
  <si>
    <t>611 SCHOOL RD</t>
  </si>
  <si>
    <t>Lorena  Stankevich</t>
  </si>
  <si>
    <t>lstankevich@orcas.k12.wa.us</t>
  </si>
  <si>
    <t>360.376.2286</t>
  </si>
  <si>
    <t>Orcas Island High School</t>
  </si>
  <si>
    <t>715 SCHOOL RD</t>
  </si>
  <si>
    <t>Kyle  Freeman</t>
  </si>
  <si>
    <t>kfreeman@orcas.k12.wa.us</t>
  </si>
  <si>
    <t>360.376.2287</t>
  </si>
  <si>
    <t>Waldron Island School</t>
  </si>
  <si>
    <t>1 SCHOOL ROAD</t>
  </si>
  <si>
    <t>WALDRON ISLAND</t>
  </si>
  <si>
    <t>98297-0000</t>
  </si>
  <si>
    <t>Kyle   Freeman</t>
  </si>
  <si>
    <t>Kfreeman@orcas.k12.wa.us</t>
  </si>
  <si>
    <t>Orcas Island Middle School</t>
  </si>
  <si>
    <t>Lopez School District</t>
  </si>
  <si>
    <t>Lopez Middle High School</t>
  </si>
  <si>
    <t>86 School Road</t>
  </si>
  <si>
    <t>Lopez Island</t>
  </si>
  <si>
    <t>98261-0000</t>
  </si>
  <si>
    <t>Lisa  Shelby</t>
  </si>
  <si>
    <t>lshelby@lopez.k12.wa.us</t>
  </si>
  <si>
    <t>360.468.2202 ext.2250</t>
  </si>
  <si>
    <t>Lopez Elementary School</t>
  </si>
  <si>
    <t>Decatur Elementary</t>
  </si>
  <si>
    <t>Decatur Island</t>
  </si>
  <si>
    <t>98221-0000</t>
  </si>
  <si>
    <t>Friday Harbor Elementary School</t>
  </si>
  <si>
    <t>PO BOX 458</t>
  </si>
  <si>
    <t>FRIDAY HARBOR</t>
  </si>
  <si>
    <t>98250-0000</t>
  </si>
  <si>
    <t>Diane  Ball</t>
  </si>
  <si>
    <t>dianeball@sjisd.wednet.edu</t>
  </si>
  <si>
    <t>360.378.5209</t>
  </si>
  <si>
    <t>Friday Harbor High School</t>
  </si>
  <si>
    <t>Fred  Woods</t>
  </si>
  <si>
    <t>calvinwoods@sjisd.wednet.edu</t>
  </si>
  <si>
    <t>360.378.5215</t>
  </si>
  <si>
    <t>Friday Harbor Middle School</t>
  </si>
  <si>
    <t>360.378.5214</t>
  </si>
  <si>
    <t>Concrete School District</t>
  </si>
  <si>
    <t>Twin Cedars High School</t>
  </si>
  <si>
    <t>45389 Airport Way</t>
  </si>
  <si>
    <t>Concrete</t>
  </si>
  <si>
    <t>Christine  Tripp</t>
  </si>
  <si>
    <t>ctripp@concrete.k12.wa.us</t>
  </si>
  <si>
    <t>360.853.4015</t>
  </si>
  <si>
    <t>Concrete Elementary</t>
  </si>
  <si>
    <t>7838 S. Superior Ave</t>
  </si>
  <si>
    <t>98237-9340</t>
  </si>
  <si>
    <t>Jaci  Gallagher</t>
  </si>
  <si>
    <t>jgallagher@concrete.k12.wa.us</t>
  </si>
  <si>
    <t>360.853.4110</t>
  </si>
  <si>
    <t>Concrete High School</t>
  </si>
  <si>
    <t>7830 S. Superior Avenue</t>
  </si>
  <si>
    <t>BECC</t>
  </si>
  <si>
    <t>927 E FAIRHAVEN AVE</t>
  </si>
  <si>
    <t>BURLINGTON</t>
  </si>
  <si>
    <t>98233-0000</t>
  </si>
  <si>
    <t>Jeff  Brown</t>
  </si>
  <si>
    <t>jbrown@be.wednet.edu</t>
  </si>
  <si>
    <t>360.757.3311</t>
  </si>
  <si>
    <t>Burlington Edison High School</t>
  </si>
  <si>
    <t>301 N BURLINGTON BLVD</t>
  </si>
  <si>
    <t>98233-1199</t>
  </si>
  <si>
    <t>jbaines@be.wednet.edu</t>
  </si>
  <si>
    <t>360.757.4074</t>
  </si>
  <si>
    <t>Edison Elementary - Burlington/Edison</t>
  </si>
  <si>
    <t>5801 MAIN ST</t>
  </si>
  <si>
    <t>EDISON</t>
  </si>
  <si>
    <t>98232-9244</t>
  </si>
  <si>
    <t>Amy  Staudenraus</t>
  </si>
  <si>
    <t>astaudenraus@be.wednet.edu</t>
  </si>
  <si>
    <t>360.757.3375</t>
  </si>
  <si>
    <t>West View Elementary</t>
  </si>
  <si>
    <t>515 W VICTORIA AVE</t>
  </si>
  <si>
    <t>98233-1028</t>
  </si>
  <si>
    <t>Tamara  Skeen</t>
  </si>
  <si>
    <t>tskeen@be.wednet.edu</t>
  </si>
  <si>
    <t>360.757.3391</t>
  </si>
  <si>
    <t>Lucille Umbarger Elementary</t>
  </si>
  <si>
    <t>820 S SKAGIT ST</t>
  </si>
  <si>
    <t>98233-2499</t>
  </si>
  <si>
    <t>Justin  May</t>
  </si>
  <si>
    <t>jmay@be.wednet.edu</t>
  </si>
  <si>
    <t>360.757.3366</t>
  </si>
  <si>
    <t>Allen Elementary</t>
  </si>
  <si>
    <t>17145 COOK ROAD</t>
  </si>
  <si>
    <t>BOW</t>
  </si>
  <si>
    <t>98232-9797</t>
  </si>
  <si>
    <t>Marsha  Hanson</t>
  </si>
  <si>
    <t>mhanson@be.wednet.edu</t>
  </si>
  <si>
    <t>360.757.3352</t>
  </si>
  <si>
    <t>Bay View Elementary</t>
  </si>
  <si>
    <t>15241 JOSH WILSON RD</t>
  </si>
  <si>
    <t>98233-9648</t>
  </si>
  <si>
    <t>Amy  Reisner</t>
  </si>
  <si>
    <t>areisner@be.wednet.edu</t>
  </si>
  <si>
    <t>State Street High School</t>
  </si>
  <si>
    <t>800 State Street</t>
  </si>
  <si>
    <t>98284-0000</t>
  </si>
  <si>
    <t>Barbara  Askland</t>
  </si>
  <si>
    <t>baskland@swsd.k12.wa.us</t>
  </si>
  <si>
    <t>360.855.3550</t>
  </si>
  <si>
    <t>Sedro Woolley Senior High School</t>
  </si>
  <si>
    <t>1235 Third Street</t>
  </si>
  <si>
    <t>Kerri  Carlton</t>
  </si>
  <si>
    <t>kcarlton@swsd.k12.wa.us</t>
  </si>
  <si>
    <t>360.855.3510</t>
  </si>
  <si>
    <t>601 Talcott Street</t>
  </si>
  <si>
    <t>Matt  Mihelich</t>
  </si>
  <si>
    <t>mmihelich@swsd.k12.wa.us</t>
  </si>
  <si>
    <t>360.855.3560</t>
  </si>
  <si>
    <t>Big Lake Elementary School</t>
  </si>
  <si>
    <t>16802 Lake View Blvd.</t>
  </si>
  <si>
    <t>98274-8180</t>
  </si>
  <si>
    <t>Lyman Elementary School</t>
  </si>
  <si>
    <t>PO BOX 1308</t>
  </si>
  <si>
    <t>Lyman</t>
  </si>
  <si>
    <t>98263-0000</t>
  </si>
  <si>
    <t>360.855.3535</t>
  </si>
  <si>
    <t>Mary Purcell Elementary School</t>
  </si>
  <si>
    <t>700 Bennett Street</t>
  </si>
  <si>
    <t>Michael  Cullum</t>
  </si>
  <si>
    <t>mcullum@swsd.k12.wa.us</t>
  </si>
  <si>
    <t>360.855.3555</t>
  </si>
  <si>
    <t>201 N. Township</t>
  </si>
  <si>
    <t>Laura  Davis</t>
  </si>
  <si>
    <t>ladavis@swsd.k12.wa.us</t>
  </si>
  <si>
    <t>360.855.3520</t>
  </si>
  <si>
    <t>Samish Elementary School</t>
  </si>
  <si>
    <t>23953 Prairie Road</t>
  </si>
  <si>
    <t>Mischelle  Darragh</t>
  </si>
  <si>
    <t>mdarragh@swsd.k12.wa.us</t>
  </si>
  <si>
    <t>360.855.3540</t>
  </si>
  <si>
    <t>Clear Lake Elementary School</t>
  </si>
  <si>
    <t>PO BOX 128</t>
  </si>
  <si>
    <t>Clear Lake</t>
  </si>
  <si>
    <t>98235-0000</t>
  </si>
  <si>
    <t>Dina  Fox</t>
  </si>
  <si>
    <t>dfox@swsd.k12.wa.us</t>
  </si>
  <si>
    <t>360.855.3530</t>
  </si>
  <si>
    <t>1007 McGarigle Road</t>
  </si>
  <si>
    <t>Brian  Isakson</t>
  </si>
  <si>
    <t>bisakson@swsd.k12.wa.us</t>
  </si>
  <si>
    <t>360.855.3545</t>
  </si>
  <si>
    <t>Anacortes High School</t>
  </si>
  <si>
    <t>1600 20th Street</t>
  </si>
  <si>
    <t>98221-2396</t>
  </si>
  <si>
    <t>Jon  Ronngren</t>
  </si>
  <si>
    <t>jronngren@asd103.org</t>
  </si>
  <si>
    <t>360.293.2166</t>
  </si>
  <si>
    <t>Anacortes Middle School</t>
  </si>
  <si>
    <t>2202 M Avenue</t>
  </si>
  <si>
    <t>98221-3799</t>
  </si>
  <si>
    <t>Patrick  Harrington</t>
  </si>
  <si>
    <t>pharrington@asd103.org</t>
  </si>
  <si>
    <t>360.293.9545</t>
  </si>
  <si>
    <t>Mount Erie Elementary</t>
  </si>
  <si>
    <t>1313 41st Street</t>
  </si>
  <si>
    <t>98221-3599</t>
  </si>
  <si>
    <t>Peter  Donaldson</t>
  </si>
  <si>
    <t>pdonaldson@asd103.org</t>
  </si>
  <si>
    <t>360.293.9541</t>
  </si>
  <si>
    <t>Fidalgo Elementary</t>
  </si>
  <si>
    <t>13590 Gibralter Road</t>
  </si>
  <si>
    <t>98221-9699</t>
  </si>
  <si>
    <t>Tara  Dowd</t>
  </si>
  <si>
    <t>tdowd@asd103.org</t>
  </si>
  <si>
    <t>Island View Elementary</t>
  </si>
  <si>
    <t>2501 J Avenue</t>
  </si>
  <si>
    <t>98221-2799</t>
  </si>
  <si>
    <t>Brian  Hanrahan</t>
  </si>
  <si>
    <t>bhanrahan@asd103.org</t>
  </si>
  <si>
    <t>360.293.3149</t>
  </si>
  <si>
    <t>Whitney Elementary Anacortes</t>
  </si>
  <si>
    <t>1200 M Avenue</t>
  </si>
  <si>
    <t>Kevin  Schwartz</t>
  </si>
  <si>
    <t>kschwartz@asd103.org</t>
  </si>
  <si>
    <t>360.293.9536</t>
  </si>
  <si>
    <t>La Conner School District</t>
  </si>
  <si>
    <t>La Conner High School</t>
  </si>
  <si>
    <t>PO Box 2103</t>
  </si>
  <si>
    <t>LA Conner</t>
  </si>
  <si>
    <t>98257-2103</t>
  </si>
  <si>
    <t>Todd   Torgeson</t>
  </si>
  <si>
    <t>ttorgeson@lc.k12.wa.us</t>
  </si>
  <si>
    <t>360.466.3173</t>
  </si>
  <si>
    <t>La Conner Elementary</t>
  </si>
  <si>
    <t>PO BOX 2103</t>
  </si>
  <si>
    <t>La Conner</t>
  </si>
  <si>
    <t>BEV  BOWEN</t>
  </si>
  <si>
    <t>BBOWEN@LC.K12.WA.US</t>
  </si>
  <si>
    <t>360.466.3172</t>
  </si>
  <si>
    <t>La Conner Middle</t>
  </si>
  <si>
    <t>Cheryl  Sullivan</t>
  </si>
  <si>
    <t>csullivan@lc.k12.wa.us</t>
  </si>
  <si>
    <t>Conway School District</t>
  </si>
  <si>
    <t>Conway School</t>
  </si>
  <si>
    <t>19710 State Route 534</t>
  </si>
  <si>
    <t>98274-8309</t>
  </si>
  <si>
    <t>Timothy  Dickinson</t>
  </si>
  <si>
    <t>tdickinson@conway.k12.wa.us</t>
  </si>
  <si>
    <t>360.445.5785</t>
  </si>
  <si>
    <t>Mount Vernon High School</t>
  </si>
  <si>
    <t>314 N 9th St</t>
  </si>
  <si>
    <t>98273-3327</t>
  </si>
  <si>
    <t>Teresa  Wattawa</t>
  </si>
  <si>
    <t>twattawa@mvsd320.org</t>
  </si>
  <si>
    <t>360.428.6100</t>
  </si>
  <si>
    <t>1020 McLean Rd</t>
  </si>
  <si>
    <t>98273-3264</t>
  </si>
  <si>
    <t>mhanson@mvsd320.org</t>
  </si>
  <si>
    <t>360.428.6122</t>
  </si>
  <si>
    <t>Madison Elementary</t>
  </si>
  <si>
    <t>98273-2971</t>
  </si>
  <si>
    <t>Juan  Gaona</t>
  </si>
  <si>
    <t>jgaona@mvsd320.org</t>
  </si>
  <si>
    <t>360.428.6131</t>
  </si>
  <si>
    <t>1801 E Blackburn Rd</t>
  </si>
  <si>
    <t>98273-9139</t>
  </si>
  <si>
    <t>Timothy  Newall</t>
  </si>
  <si>
    <t>tnewall@mvsd320.org</t>
  </si>
  <si>
    <t>360.428.6128</t>
  </si>
  <si>
    <t>Skagit County Detention Center</t>
  </si>
  <si>
    <t>605 3RD ST</t>
  </si>
  <si>
    <t>MOUNT VERNON</t>
  </si>
  <si>
    <t>98273-3867</t>
  </si>
  <si>
    <t>Steve  Dahl</t>
  </si>
  <si>
    <t>sdahl@nwesd.org</t>
  </si>
  <si>
    <t>La Venture Middle School</t>
  </si>
  <si>
    <t>1200 LaVenture Rd</t>
  </si>
  <si>
    <t>98273-2762</t>
  </si>
  <si>
    <t>DAVID  RIDDLE</t>
  </si>
  <si>
    <t>driddle@mvsd320.org</t>
  </si>
  <si>
    <t>360.428.6116</t>
  </si>
  <si>
    <t>Mount Vernon Special Ed</t>
  </si>
  <si>
    <t>920 S 2nd St</t>
  </si>
  <si>
    <t>98273-4200</t>
  </si>
  <si>
    <t>Clint  Carlton</t>
  </si>
  <si>
    <t>ccarlton@mvsd320.org</t>
  </si>
  <si>
    <t>360.428.6141</t>
  </si>
  <si>
    <t>Little Mountain Elementary</t>
  </si>
  <si>
    <t>1514 S LaVenture RD</t>
  </si>
  <si>
    <t>98274-6034</t>
  </si>
  <si>
    <t>Krista  Paulson</t>
  </si>
  <si>
    <t>kpaulson@mv.k12.wa.us</t>
  </si>
  <si>
    <t>360.428.6125</t>
  </si>
  <si>
    <t xml:space="preserve">Centennial Elementary School </t>
  </si>
  <si>
    <t>3100 Martin Rd</t>
  </si>
  <si>
    <t>98273-8612</t>
  </si>
  <si>
    <t>Erwin  Stroosma</t>
  </si>
  <si>
    <t>estroosma@mvsd320.org</t>
  </si>
  <si>
    <t>360.428.6138</t>
  </si>
  <si>
    <t>Mount Baker Middle School</t>
  </si>
  <si>
    <t>2310 E Section St</t>
  </si>
  <si>
    <t>98274-6026</t>
  </si>
  <si>
    <t>Jennifer  Harlan</t>
  </si>
  <si>
    <t>mmauro@mvsd320.org</t>
  </si>
  <si>
    <t>360.428.6172</t>
  </si>
  <si>
    <t>Skamania School District</t>
  </si>
  <si>
    <t>Skamania Elementary</t>
  </si>
  <si>
    <t>122 Butler Loop Road</t>
  </si>
  <si>
    <t>Skamania</t>
  </si>
  <si>
    <t>98648-6021</t>
  </si>
  <si>
    <t>Ralph H. Pruitt</t>
  </si>
  <si>
    <t>rpruitt@skamania.k12.wa.us</t>
  </si>
  <si>
    <t>509.427.8239</t>
  </si>
  <si>
    <t>Mount Pleasant School District</t>
  </si>
  <si>
    <t>Mount Pleasant School</t>
  </si>
  <si>
    <t>152 Marble Rd.</t>
  </si>
  <si>
    <t>98671-7913</t>
  </si>
  <si>
    <t>Charles Ray Griffin</t>
  </si>
  <si>
    <t>Ray.Griffin@mtpleasantschool.org</t>
  </si>
  <si>
    <t>360.835.3371</t>
  </si>
  <si>
    <t>Mill A Elementary School</t>
  </si>
  <si>
    <t>1142 JESSUP ROAD</t>
  </si>
  <si>
    <t>COOK</t>
  </si>
  <si>
    <t>98605-0000</t>
  </si>
  <si>
    <t>Kathy  Whitlock</t>
  </si>
  <si>
    <t>kwhitlock@millaschool.org</t>
  </si>
  <si>
    <t>509.538.2522</t>
  </si>
  <si>
    <t>Preschool</t>
  </si>
  <si>
    <t>98648-0850</t>
  </si>
  <si>
    <t>Karen  Schreiber</t>
  </si>
  <si>
    <t>schreiberk@scsd303.org</t>
  </si>
  <si>
    <t>509.427.5672</t>
  </si>
  <si>
    <t>P.O. Box 850</t>
  </si>
  <si>
    <t>schreiberk@scsd.k12.wa.us</t>
  </si>
  <si>
    <t>Carson Elementary</t>
  </si>
  <si>
    <t>Sarah  Marino</t>
  </si>
  <si>
    <t>marinos@scsd303.org</t>
  </si>
  <si>
    <t>509.427.5939</t>
  </si>
  <si>
    <t>Stevenson High School</t>
  </si>
  <si>
    <t>William  Schwan</t>
  </si>
  <si>
    <t>schwanw@scsd303.org</t>
  </si>
  <si>
    <t>509.427.5631</t>
  </si>
  <si>
    <t>Wind River Middle School</t>
  </si>
  <si>
    <t>SchwanW@scsd303.org</t>
  </si>
  <si>
    <t>NW Learning Center</t>
  </si>
  <si>
    <t>Sno Co Jail</t>
  </si>
  <si>
    <t>1918 Wall Street</t>
  </si>
  <si>
    <t>98201-3665</t>
  </si>
  <si>
    <t>Kelly  Shepherd</t>
  </si>
  <si>
    <t>kshepherd@everettsd.org</t>
  </si>
  <si>
    <t>425.385.5100</t>
  </si>
  <si>
    <t>Pass Program</t>
  </si>
  <si>
    <t>2731 10th St. Suite 106</t>
  </si>
  <si>
    <t>98201-1413</t>
  </si>
  <si>
    <t>Garfield Elementary School</t>
  </si>
  <si>
    <t>2215 Pine St.</t>
  </si>
  <si>
    <t>98201-2598</t>
  </si>
  <si>
    <t>Kathleen  Stilwell</t>
  </si>
  <si>
    <t>kstilwell@everettsd.org</t>
  </si>
  <si>
    <t>425.385.4700</t>
  </si>
  <si>
    <t>Everett High School</t>
  </si>
  <si>
    <t>2416 Colby Ave.</t>
  </si>
  <si>
    <t>98201-2993</t>
  </si>
  <si>
    <t>Lance  Balla</t>
  </si>
  <si>
    <t>LBalla@everettsd.org</t>
  </si>
  <si>
    <t>425.385.4400</t>
  </si>
  <si>
    <t>North Middle School</t>
  </si>
  <si>
    <t>2514 Rainier Ave.</t>
  </si>
  <si>
    <t>98201-3176</t>
  </si>
  <si>
    <t>Mitch  Entler</t>
  </si>
  <si>
    <t>mentler@everettsd.org</t>
  </si>
  <si>
    <t>425.385.4800</t>
  </si>
  <si>
    <t>Silver Lake Elementary - Everett</t>
  </si>
  <si>
    <t>12815 Bothell-Everett Hwy.</t>
  </si>
  <si>
    <t>98208-6630</t>
  </si>
  <si>
    <t>Daniel  Natividad</t>
  </si>
  <si>
    <t>dnatividad@everettsd.org</t>
  </si>
  <si>
    <t>425.385.6900</t>
  </si>
  <si>
    <t>Snohomish Detention Center</t>
  </si>
  <si>
    <t>2801 10th Street</t>
  </si>
  <si>
    <t>98201-0000</t>
  </si>
  <si>
    <t>616 Pecks Dr.</t>
  </si>
  <si>
    <t>98203-4403</t>
  </si>
  <si>
    <t>Amanda  Overly</t>
  </si>
  <si>
    <t>aoverly@everettsd.org</t>
  </si>
  <si>
    <t>425.385.5900</t>
  </si>
  <si>
    <t>Jackson Elementary School</t>
  </si>
  <si>
    <t>3700 Federal Ave.</t>
  </si>
  <si>
    <t>98201-4698</t>
  </si>
  <si>
    <t>Darren J Larama</t>
  </si>
  <si>
    <t>dlarama@everettsd.org</t>
  </si>
  <si>
    <t>425.385.5601</t>
  </si>
  <si>
    <t>916 Oakes Ave.</t>
  </si>
  <si>
    <t>98201-1399</t>
  </si>
  <si>
    <t>Tony  Wentworth</t>
  </si>
  <si>
    <t>twentworth@everettsd.org</t>
  </si>
  <si>
    <t>425.385.4390</t>
  </si>
  <si>
    <t>Lowell Elementary - Everett</t>
  </si>
  <si>
    <t>5010 View Dr.</t>
  </si>
  <si>
    <t>98203-2422</t>
  </si>
  <si>
    <t>Cindy  Foster</t>
  </si>
  <si>
    <t>cfoster@everettsd.org</t>
  </si>
  <si>
    <t>425.385.5300</t>
  </si>
  <si>
    <t>Hawthorne Elementary School - Everett</t>
  </si>
  <si>
    <t>1110 Poplar St.</t>
  </si>
  <si>
    <t>98201-1497</t>
  </si>
  <si>
    <t>Paige  Nguyen</t>
  </si>
  <si>
    <t>pnguyen@everettsd.org</t>
  </si>
  <si>
    <t>425.385.4600</t>
  </si>
  <si>
    <t>View Ridge Elementary</t>
  </si>
  <si>
    <t>202 Alder St.</t>
  </si>
  <si>
    <t>98203-3235</t>
  </si>
  <si>
    <t>Katrina  Farias</t>
  </si>
  <si>
    <t>kfarias@everettsd.org</t>
  </si>
  <si>
    <t>425.385.5400</t>
  </si>
  <si>
    <t>8702 7th Ave. SE</t>
  </si>
  <si>
    <t>98208-2040</t>
  </si>
  <si>
    <t>Dawn  Weddle</t>
  </si>
  <si>
    <t>dweddle@everettsd.org</t>
  </si>
  <si>
    <t>425.385.6200</t>
  </si>
  <si>
    <t>7621 Beverly Ln.</t>
  </si>
  <si>
    <t>98203-6498</t>
  </si>
  <si>
    <t>Michele  Waddel</t>
  </si>
  <si>
    <t>mwaddel@everettsd.org</t>
  </si>
  <si>
    <t>425.385.5700</t>
  </si>
  <si>
    <t>801 E. Casino Rd.</t>
  </si>
  <si>
    <t>98203-6599</t>
  </si>
  <si>
    <t>Michael  Takayoshi</t>
  </si>
  <si>
    <t>mtakayoshi@everettsd.org</t>
  </si>
  <si>
    <t>425.385.6000</t>
  </si>
  <si>
    <t>2500 Cadet Way</t>
  </si>
  <si>
    <t>98208-3401</t>
  </si>
  <si>
    <t>Elizabeth  Kelley</t>
  </si>
  <si>
    <t>ekelley@everettsd.org</t>
  </si>
  <si>
    <t>425.385.7400</t>
  </si>
  <si>
    <t>Monroe Elementary</t>
  </si>
  <si>
    <t>10901 27th Ave. SE</t>
  </si>
  <si>
    <t>98208-7808</t>
  </si>
  <si>
    <t>Heather  Paddock</t>
  </si>
  <si>
    <t>hpaddock@everettsd.org</t>
  </si>
  <si>
    <t>425.385.7300</t>
  </si>
  <si>
    <t>Eisenhower Middle School</t>
  </si>
  <si>
    <t>10200 25th Ave. SE</t>
  </si>
  <si>
    <t>98208-4331</t>
  </si>
  <si>
    <t>Kevin  Allen</t>
  </si>
  <si>
    <t>kallen@everettsd.org</t>
  </si>
  <si>
    <t>425.385.7500</t>
  </si>
  <si>
    <t>Woodside Elementary</t>
  </si>
  <si>
    <t>17000 23rd Ave. SE</t>
  </si>
  <si>
    <t>98012-6498</t>
  </si>
  <si>
    <t>Betty   Cobbs</t>
  </si>
  <si>
    <t>bcobbs@everettsd.org</t>
  </si>
  <si>
    <t>425.385.7800</t>
  </si>
  <si>
    <t>Sequoia High School</t>
  </si>
  <si>
    <t>3516 Rucker Ave.</t>
  </si>
  <si>
    <t>98201-4629</t>
  </si>
  <si>
    <t>Silver Firs Elementary</t>
  </si>
  <si>
    <t>5909 146th Pl. SE</t>
  </si>
  <si>
    <t>98208-8910</t>
  </si>
  <si>
    <t>Aleta  Smoot</t>
  </si>
  <si>
    <t>asmoot@everettsd.org</t>
  </si>
  <si>
    <t>425.385.6500</t>
  </si>
  <si>
    <t>Mill Creek Elementary</t>
  </si>
  <si>
    <t>3400 148th St. SE</t>
  </si>
  <si>
    <t>Mill Creek</t>
  </si>
  <si>
    <t>98012-5856</t>
  </si>
  <si>
    <t>Brenda  Fuglevand</t>
  </si>
  <si>
    <t>bfuglevand@everettsd.org</t>
  </si>
  <si>
    <t>425.385.6800</t>
  </si>
  <si>
    <t>Heatherwood Middle School</t>
  </si>
  <si>
    <t>1419 Trillium Blvd. SE</t>
  </si>
  <si>
    <t>98012-1366</t>
  </si>
  <si>
    <t>Laura  Wellington</t>
  </si>
  <si>
    <t>wellington@everettsd.org</t>
  </si>
  <si>
    <t>425.385.6300</t>
  </si>
  <si>
    <t>Cedar Wood Elementary</t>
  </si>
  <si>
    <t>3414 168th St. SE</t>
  </si>
  <si>
    <t>98012-6012</t>
  </si>
  <si>
    <t>Bruce  Rhodes</t>
  </si>
  <si>
    <t>brhodes@everettsd.org</t>
  </si>
  <si>
    <t>425.385.7700</t>
  </si>
  <si>
    <t>Gateway Middle School</t>
  </si>
  <si>
    <t>15404 Silver Firs Dr.</t>
  </si>
  <si>
    <t>98208-8939</t>
  </si>
  <si>
    <t>Matthew  Bennett</t>
  </si>
  <si>
    <t>mbennett@everettsd.org</t>
  </si>
  <si>
    <t>425.385.6600</t>
  </si>
  <si>
    <t>Henry M. Jackson High School</t>
  </si>
  <si>
    <t>1508 136th St. SE</t>
  </si>
  <si>
    <t>98012-5310</t>
  </si>
  <si>
    <t>David  Peters</t>
  </si>
  <si>
    <t>dpeters@everettsd.org</t>
  </si>
  <si>
    <t>425.385.7000</t>
  </si>
  <si>
    <t>Penny Creek Elementary</t>
  </si>
  <si>
    <t>4117 132nd St. SE</t>
  </si>
  <si>
    <t>98208-6190</t>
  </si>
  <si>
    <t>Martha  Shefveland</t>
  </si>
  <si>
    <t>mshefveland@everettsd.org</t>
  </si>
  <si>
    <t>425.385.7200</t>
  </si>
  <si>
    <t>Homelink</t>
  </si>
  <si>
    <t>425.335.1594</t>
  </si>
  <si>
    <t>Lake Stevens Sr High School</t>
  </si>
  <si>
    <t>2908 113th Ave NE</t>
  </si>
  <si>
    <t>Leslie  Ivelia</t>
  </si>
  <si>
    <t>leslie_ivelia@lkstevens.wednet.edu</t>
  </si>
  <si>
    <t>425.335.1515</t>
  </si>
  <si>
    <t>Mt. Pilchuck Elementary School</t>
  </si>
  <si>
    <t>12806 20th St NE</t>
  </si>
  <si>
    <t>Chris  Larson</t>
  </si>
  <si>
    <t>Chris_Larson@lkstevens.wednet.edu</t>
  </si>
  <si>
    <t>425.335.1525</t>
  </si>
  <si>
    <t>Hillcrest Elementary School</t>
  </si>
  <si>
    <t>9315 4th St SE</t>
  </si>
  <si>
    <t>Steve  Burleigh</t>
  </si>
  <si>
    <t>Steve_Burleigh@lkstevens.wednet.edu</t>
  </si>
  <si>
    <t>425.335.1545</t>
  </si>
  <si>
    <t>Lake Stevens Middle School</t>
  </si>
  <si>
    <t>1031 91st Ave SE</t>
  </si>
  <si>
    <t>Lisa  Sanchez</t>
  </si>
  <si>
    <t>lisa_sanchez@lkstevens.wednet.edu</t>
  </si>
  <si>
    <t>425.335.1532</t>
  </si>
  <si>
    <t>3411 99th Ave NE</t>
  </si>
  <si>
    <t>Dave  Bartlow</t>
  </si>
  <si>
    <t>Dave_Bartlow@lkstevens.wednet.edu</t>
  </si>
  <si>
    <t>425.335.1535</t>
  </si>
  <si>
    <t>North Lake Middle School</t>
  </si>
  <si>
    <t>Brad  Abels</t>
  </si>
  <si>
    <t>brad_abels@lkstevens.wednet.edu</t>
  </si>
  <si>
    <t>425.335.1530</t>
  </si>
  <si>
    <t>Prove High School</t>
  </si>
  <si>
    <t>12309 22nd St NE</t>
  </si>
  <si>
    <t>John  Gebert</t>
  </si>
  <si>
    <t>john_gebert@lkstevens.wednet.edu</t>
  </si>
  <si>
    <t>425.335.1500</t>
  </si>
  <si>
    <t>2221 103 AVE SE</t>
  </si>
  <si>
    <t>Jennifer  Johnson</t>
  </si>
  <si>
    <t>jennifer_johnson@lkstevens.wednet.edu</t>
  </si>
  <si>
    <t>425.335.1510</t>
  </si>
  <si>
    <t>Skyline Elementary</t>
  </si>
  <si>
    <t>1033 91st Ave SE</t>
  </si>
  <si>
    <t>Tori  Thomas</t>
  </si>
  <si>
    <t>Tori_Thomas@lkstevens.wednet.edu</t>
  </si>
  <si>
    <t>425.335.1520</t>
  </si>
  <si>
    <t>3220 113th Ave NE</t>
  </si>
  <si>
    <t>Ryan  Henderson</t>
  </si>
  <si>
    <t>ryan_henderson@lkstevens.wednet.edu</t>
  </si>
  <si>
    <t>425.335.1585</t>
  </si>
  <si>
    <t>Lisa A Pitsch</t>
  </si>
  <si>
    <t>PitschLA@Mukilteo.wednet.edu</t>
  </si>
  <si>
    <t>425.356.1277</t>
  </si>
  <si>
    <t>Fairmount Elementary</t>
  </si>
  <si>
    <t>11401 Beverly Park Rd</t>
  </si>
  <si>
    <t>Bente C Klatt</t>
  </si>
  <si>
    <t>KlatttBC@Mukilteo.wednet.edu</t>
  </si>
  <si>
    <t>425.366.2900</t>
  </si>
  <si>
    <t>Olympic View Middle School</t>
  </si>
  <si>
    <t>2602 Mukilteo Speedway</t>
  </si>
  <si>
    <t>Mukilteo</t>
  </si>
  <si>
    <t>Devin J McLane</t>
  </si>
  <si>
    <t>McLaneDJ@mukilteo.wednet.edu</t>
  </si>
  <si>
    <t>425.366.5200</t>
  </si>
  <si>
    <t>Olivia Park Elementary</t>
  </si>
  <si>
    <t>200 108th St SW</t>
  </si>
  <si>
    <t>Katherine C Pence</t>
  </si>
  <si>
    <t>PenceKC@mukilteo.wednet.edu</t>
  </si>
  <si>
    <t>425.366.3300</t>
  </si>
  <si>
    <t>Serene Lake Elementary</t>
  </si>
  <si>
    <t>4709 Picnic Point Rd</t>
  </si>
  <si>
    <t>Edmonds</t>
  </si>
  <si>
    <t>Lori A Bumstead</t>
  </si>
  <si>
    <t>BumsteadLA@Mukilteo.wednet.edu</t>
  </si>
  <si>
    <t>425.366.3500</t>
  </si>
  <si>
    <t>Mariner High School</t>
  </si>
  <si>
    <t>200 120th Street SW</t>
  </si>
  <si>
    <t>Nathan A DuChesne</t>
  </si>
  <si>
    <t>DuchesneNA@Mukilteo.wednet.edu</t>
  </si>
  <si>
    <t>425.366.5700</t>
  </si>
  <si>
    <t xml:space="preserve">Sno-Isle Skills Center </t>
  </si>
  <si>
    <t>9001 Airport Road</t>
  </si>
  <si>
    <t>Wes  Allen</t>
  </si>
  <si>
    <t>AllenWR@Mukilteo.wednet.edu</t>
  </si>
  <si>
    <t>425.348.2220</t>
  </si>
  <si>
    <t>Mukilteo Elementary</t>
  </si>
  <si>
    <t>2600 Mukilteo Speedway</t>
  </si>
  <si>
    <t>Jack N Sackett</t>
  </si>
  <si>
    <t>SackettJN@Mukilteo.wednet.edu</t>
  </si>
  <si>
    <t>425.366.3100</t>
  </si>
  <si>
    <t>Picnic Point Elementary</t>
  </si>
  <si>
    <t>5819 140th St SW</t>
  </si>
  <si>
    <t>Ali G Williams</t>
  </si>
  <si>
    <t>WilliamsAG@Mukilteo.wednet.edu</t>
  </si>
  <si>
    <t>425.366.3400</t>
  </si>
  <si>
    <t>Explorer Middle School</t>
  </si>
  <si>
    <t>9600 Sharon Drive</t>
  </si>
  <si>
    <t>Kendrah A Larson</t>
  </si>
  <si>
    <t>LarsonKA@mukilteo.wednet.edu</t>
  </si>
  <si>
    <t>425.366.5000</t>
  </si>
  <si>
    <t>ACES High School</t>
  </si>
  <si>
    <t>9700 Holly Drive</t>
  </si>
  <si>
    <t>Amy D Montanye-Johnson</t>
  </si>
  <si>
    <t>MontanyejohnsonAD@mukilteo.wednet.edu</t>
  </si>
  <si>
    <t>425.366.3900</t>
  </si>
  <si>
    <t>9600 Holly Drive</t>
  </si>
  <si>
    <t>Dirk E Adkinson</t>
  </si>
  <si>
    <t>AdkinsonDE@mukilteo.wednet.edu</t>
  </si>
  <si>
    <t>425.366.2500</t>
  </si>
  <si>
    <t>11700 Meridian Ave S</t>
  </si>
  <si>
    <t>Shannon A Koehnen</t>
  </si>
  <si>
    <t>KoehnenSA@mukilteo.wednet.edu</t>
  </si>
  <si>
    <t>425.366.2700</t>
  </si>
  <si>
    <t>Columbia Elementary</t>
  </si>
  <si>
    <t>10520 Harbour Pointe Blvd</t>
  </si>
  <si>
    <t>Wendy L Eidbo</t>
  </si>
  <si>
    <t>EidboML@Mukilteo.wednet.edu</t>
  </si>
  <si>
    <t>425.366.2600</t>
  </si>
  <si>
    <t>Horizon Elementary</t>
  </si>
  <si>
    <t>222 W Casino Rd</t>
  </si>
  <si>
    <t>Selia X Pon</t>
  </si>
  <si>
    <t>PonSX@mukilteo.wednet.edu</t>
  </si>
  <si>
    <t>425.366.3000</t>
  </si>
  <si>
    <t>Voyager Middle School</t>
  </si>
  <si>
    <t>11711 4th Ave W</t>
  </si>
  <si>
    <t>Wes J Bailey</t>
  </si>
  <si>
    <t>BaileyJW@mukilteo.wednet.edu</t>
  </si>
  <si>
    <t>425.366.5300</t>
  </si>
  <si>
    <t>Harbour Pointe Middle School</t>
  </si>
  <si>
    <t>5000 Harbour Pointe Blvd</t>
  </si>
  <si>
    <t>Steve  Coram</t>
  </si>
  <si>
    <t>CoramSC@Mukilteo.wednet.edu</t>
  </si>
  <si>
    <t>425.366.5100</t>
  </si>
  <si>
    <t>Kamiak High School</t>
  </si>
  <si>
    <t>10801 Harbour Pointe Blvd</t>
  </si>
  <si>
    <t>Eric S Hong</t>
  </si>
  <si>
    <t>HongES@mukilteo.wednet.edu</t>
  </si>
  <si>
    <t>425.366.5400</t>
  </si>
  <si>
    <t>Endeavour Elementary</t>
  </si>
  <si>
    <t>12300 Harbour Pointe Blvd</t>
  </si>
  <si>
    <t>Lynne M Peters</t>
  </si>
  <si>
    <t>PetersLM@Mukilteo.wednet.edu</t>
  </si>
  <si>
    <t>425.366.2800</t>
  </si>
  <si>
    <t>Edmonds eLearning Academy</t>
  </si>
  <si>
    <t>7501 208th St SW</t>
  </si>
  <si>
    <t>LYNNWOOD</t>
  </si>
  <si>
    <t>98036-7400</t>
  </si>
  <si>
    <t xml:space="preserve"> Christy  Frary</t>
  </si>
  <si>
    <t>fraryc@edmonds.wednet.edu</t>
  </si>
  <si>
    <t>425.431.1528</t>
  </si>
  <si>
    <t>Challenge Elementary</t>
  </si>
  <si>
    <t>5409 228TH ST SW</t>
  </si>
  <si>
    <t>MTLK TERRACE</t>
  </si>
  <si>
    <t>98043-5251</t>
  </si>
  <si>
    <t>Mary  Freitas</t>
  </si>
  <si>
    <t>FreitasM@edmonds.wednet.edu</t>
  </si>
  <si>
    <t>425.431.7482</t>
  </si>
  <si>
    <t>Unassigned School</t>
  </si>
  <si>
    <t>20420 68TH AVE W</t>
  </si>
  <si>
    <t>98036-7600</t>
  </si>
  <si>
    <t>Maplewood Parent Coop</t>
  </si>
  <si>
    <t>8500 200TH ST SW</t>
  </si>
  <si>
    <t>EDMONDS</t>
  </si>
  <si>
    <t>98026-2504</t>
  </si>
  <si>
    <t>Michelle  Jacobs-Mathis</t>
  </si>
  <si>
    <t>mathism@edmonds.wednet.edu</t>
  </si>
  <si>
    <t>(425) 431-7515</t>
  </si>
  <si>
    <t>Contracted Schools</t>
  </si>
  <si>
    <t>Martha Lake Elementary</t>
  </si>
  <si>
    <t>17500 LARCH WAY</t>
  </si>
  <si>
    <t>98037-8206</t>
  </si>
  <si>
    <t>Tom  Trexel</t>
  </si>
  <si>
    <t>TrexelT@edmonds.wednet.edu</t>
  </si>
  <si>
    <t>425.431.7766</t>
  </si>
  <si>
    <t>Terrace Park Elementary</t>
  </si>
  <si>
    <t>freitasm@edmonds.wednet.edu</t>
  </si>
  <si>
    <t>Lynndale Elementary</t>
  </si>
  <si>
    <t>19030 72nd Ave W</t>
  </si>
  <si>
    <t>Christopher  Fulford</t>
  </si>
  <si>
    <t>fulfordc@edmonds.wednet.edu</t>
  </si>
  <si>
    <t>425.431.7364</t>
  </si>
  <si>
    <t>Edmonds Woodway High School</t>
  </si>
  <si>
    <t>7600  212TH STREET SW</t>
  </si>
  <si>
    <t>98026-7556</t>
  </si>
  <si>
    <t>Terrance  Mims</t>
  </si>
  <si>
    <t>MimsT292@edmonds.wednet.edu</t>
  </si>
  <si>
    <t>425.431.7906</t>
  </si>
  <si>
    <t>19400 56TH AVE W</t>
  </si>
  <si>
    <t>98036-5209</t>
  </si>
  <si>
    <t>Dennis  Burkhardt</t>
  </si>
  <si>
    <t>burkhardtd@edmonds.wednet.edu</t>
  </si>
  <si>
    <t>425.431.7595</t>
  </si>
  <si>
    <t>Westgate Elementary</t>
  </si>
  <si>
    <t>9601 220TH ST SW</t>
  </si>
  <si>
    <t>98020-4598</t>
  </si>
  <si>
    <t>Jennifer  Braile</t>
  </si>
  <si>
    <t>BraileJ@edmonds.wednet.edu</t>
  </si>
  <si>
    <t>425.431.7474</t>
  </si>
  <si>
    <t>Mountlake Terrace Elementary</t>
  </si>
  <si>
    <t>22001 52nd Ave West</t>
  </si>
  <si>
    <t>Mountlake Terrace</t>
  </si>
  <si>
    <t>Mary  Williams</t>
  </si>
  <si>
    <t>WilliamsM838@edmonds.wednet.edu</t>
  </si>
  <si>
    <t>425.431.7894</t>
  </si>
  <si>
    <t>Beverly Elementary</t>
  </si>
  <si>
    <t>5221 168th St SW</t>
  </si>
  <si>
    <t>98037-3099</t>
  </si>
  <si>
    <t>Danielle   Sanders</t>
  </si>
  <si>
    <t>SandersDa@edmonds.wednet.edu</t>
  </si>
  <si>
    <t>425.431.7733</t>
  </si>
  <si>
    <t>Mountlake Terrace High School</t>
  </si>
  <si>
    <t>21801 44TH AVE W</t>
  </si>
  <si>
    <t>98043-3598</t>
  </si>
  <si>
    <t>Greg  Schellenberg</t>
  </si>
  <si>
    <t>schellenbergg721@edmonds.wednet.edu</t>
  </si>
  <si>
    <t>425.431.7777</t>
  </si>
  <si>
    <t>Cedar Way Elementary</t>
  </si>
  <si>
    <t>22222 39TH AVE W</t>
  </si>
  <si>
    <t>98043-4299</t>
  </si>
  <si>
    <t>Chris  Lindblom</t>
  </si>
  <si>
    <t>LindblomC@edmonds.wednet.edu</t>
  </si>
  <si>
    <t>425.431.7868</t>
  </si>
  <si>
    <t>Meadowdale Middle School</t>
  </si>
  <si>
    <t>6500 168TH ST SW</t>
  </si>
  <si>
    <t>98037-2798</t>
  </si>
  <si>
    <t>Joseph  Webster</t>
  </si>
  <si>
    <t>WebsterJ@edmonds.wednet.edu</t>
  </si>
  <si>
    <t>425.431.7708</t>
  </si>
  <si>
    <t>Cedar Valley Community School</t>
  </si>
  <si>
    <t>19200 56TH AVE W</t>
  </si>
  <si>
    <t>98036-0000</t>
  </si>
  <si>
    <t>Leah  Bracken</t>
  </si>
  <si>
    <t>Brackenl411@edmonds.wednet.edu</t>
  </si>
  <si>
    <t>425.431.7391</t>
  </si>
  <si>
    <t>Spruce Elementary</t>
  </si>
  <si>
    <t>17405 42ND AVE W</t>
  </si>
  <si>
    <t>98037-7499</t>
  </si>
  <si>
    <t>Emily  Moore</t>
  </si>
  <si>
    <t>MooreE@edmonds.wednet.edu</t>
  </si>
  <si>
    <t>425.431.7727</t>
  </si>
  <si>
    <t>Seaview Elementary</t>
  </si>
  <si>
    <t>8426 188TH ST SW</t>
  </si>
  <si>
    <t>98020-2299</t>
  </si>
  <si>
    <t>Heather  Pickar</t>
  </si>
  <si>
    <t>pickarh@edmonds.wednet.edu</t>
  </si>
  <si>
    <t>425.431.7383</t>
  </si>
  <si>
    <t>Madrona K-8 School</t>
  </si>
  <si>
    <t>9300 236th ST SW</t>
  </si>
  <si>
    <t>Kathleen  Hodges</t>
  </si>
  <si>
    <t>HodgesK@edmonds.wednet.edu</t>
  </si>
  <si>
    <t>425.431.7979</t>
  </si>
  <si>
    <t>Meadowdale High School</t>
  </si>
  <si>
    <t>6002 168TH ST SW</t>
  </si>
  <si>
    <t>98037-2799</t>
  </si>
  <si>
    <t>shockleyd807@edmonds.wednet.edu</t>
  </si>
  <si>
    <t>425.431.7651</t>
  </si>
  <si>
    <t>Lynnwood Elementary</t>
  </si>
  <si>
    <t>18638 44th Ave W</t>
  </si>
  <si>
    <t>425.431.7615</t>
  </si>
  <si>
    <t>Meadowdale Elementary</t>
  </si>
  <si>
    <t>6505 168TH ST SW</t>
  </si>
  <si>
    <t>98037-2797</t>
  </si>
  <si>
    <t>Dan  Davis</t>
  </si>
  <si>
    <t>DavisD@edmonds.wednet.edu</t>
  </si>
  <si>
    <t>425.431.7754</t>
  </si>
  <si>
    <t>Chase Lake Elementary</t>
  </si>
  <si>
    <t>21603 84TH AVE W</t>
  </si>
  <si>
    <t>98020-6299</t>
  </si>
  <si>
    <t>Sean  Silver</t>
  </si>
  <si>
    <t>SilverS@edmonds.wednet.edu</t>
  </si>
  <si>
    <t>425.431.7494</t>
  </si>
  <si>
    <t>Brier Elementary</t>
  </si>
  <si>
    <t>3625 232ND ST SW</t>
  </si>
  <si>
    <t>BRIER</t>
  </si>
  <si>
    <t>98036-8258</t>
  </si>
  <si>
    <t>Johnna  Stewart</t>
  </si>
  <si>
    <t>stewartj@edmonds.wednet.edu</t>
  </si>
  <si>
    <t>425.431.7855</t>
  </si>
  <si>
    <t>Alderwood Middle School</t>
  </si>
  <si>
    <t>1132 172nd St SW</t>
  </si>
  <si>
    <t>Brian  Stewart</t>
  </si>
  <si>
    <t>StewartBr@edmonds.wednet.edu</t>
  </si>
  <si>
    <t>425.431.7582</t>
  </si>
  <si>
    <t>Sherwood Elementary</t>
  </si>
  <si>
    <t>22901 106TH AVE W</t>
  </si>
  <si>
    <t>98020-5199</t>
  </si>
  <si>
    <t>Christi  Kessler</t>
  </si>
  <si>
    <t>KesslerC@edmonds.wednet.edu</t>
  </si>
  <si>
    <t>425.431.7463</t>
  </si>
  <si>
    <t>Edmonds Elementary</t>
  </si>
  <si>
    <t>1215 OLYMPIC AVENUE</t>
  </si>
  <si>
    <t>98020-2515</t>
  </si>
  <si>
    <t>Brett  Hagen</t>
  </si>
  <si>
    <t>hagenb@edmonds.wednet.edu</t>
  </si>
  <si>
    <t>425.431.7375</t>
  </si>
  <si>
    <t>Hazelwood Elementary</t>
  </si>
  <si>
    <t>3300 204TH ST SW</t>
  </si>
  <si>
    <t>98036-6899</t>
  </si>
  <si>
    <t>Norma  Lee</t>
  </si>
  <si>
    <t>Leen309@edmonds.wednet.edu</t>
  </si>
  <si>
    <t>425.431.7884</t>
  </si>
  <si>
    <t>Oak Heights Elementary</t>
  </si>
  <si>
    <t>15500 18TH AVE W</t>
  </si>
  <si>
    <t>98037-8799</t>
  </si>
  <si>
    <t>Jessica  Asp</t>
  </si>
  <si>
    <t>Aspj@edmonds.wednet.edu</t>
  </si>
  <si>
    <t>425.431.7744</t>
  </si>
  <si>
    <t>Brier Terrace Middle School</t>
  </si>
  <si>
    <t>22200 BRIER ROAD</t>
  </si>
  <si>
    <t>98036-8099</t>
  </si>
  <si>
    <t>Scott  Morrison</t>
  </si>
  <si>
    <t>MorrisonS@edmonds.wednet.edu</t>
  </si>
  <si>
    <t>425.431.7834</t>
  </si>
  <si>
    <t>20425 DAMSON ROAD</t>
  </si>
  <si>
    <t>98036-7298</t>
  </si>
  <si>
    <t>Melissa   Somoza</t>
  </si>
  <si>
    <t>somozam341@edmonds.wednet.edu</t>
  </si>
  <si>
    <t>425.431.7604</t>
  </si>
  <si>
    <t>College Place Elementary</t>
  </si>
  <si>
    <t>20401 76TH AVE W</t>
  </si>
  <si>
    <t>98036-5898</t>
  </si>
  <si>
    <t>Stacy  Crum</t>
  </si>
  <si>
    <t>crumst@edmonds.wednet.edu</t>
  </si>
  <si>
    <t>College Place Middle School</t>
  </si>
  <si>
    <t>7501 208TH ST SW</t>
  </si>
  <si>
    <t>98036-5897</t>
  </si>
  <si>
    <t>Morrisons@edmonds.wednet.edu</t>
  </si>
  <si>
    <t>425.431.7452</t>
  </si>
  <si>
    <t>Lynnwood High School</t>
  </si>
  <si>
    <t>18218 NORTH RD</t>
  </si>
  <si>
    <t>BOTHELL</t>
  </si>
  <si>
    <t>Mike  Piper</t>
  </si>
  <si>
    <t>piperm@edmonds.wednet.edu</t>
  </si>
  <si>
    <t>425.431.7523</t>
  </si>
  <si>
    <t>Scriber Lake High School</t>
  </si>
  <si>
    <t>23200 100th AVE W</t>
  </si>
  <si>
    <t>Andrea  Hillman</t>
  </si>
  <si>
    <t>hillmana@edmonds.wednet.edu</t>
  </si>
  <si>
    <t>425.431.7270</t>
  </si>
  <si>
    <t>Stillaguamish Valley Learning Center</t>
  </si>
  <si>
    <t>1215 E 5th</t>
  </si>
  <si>
    <t>98223-1118</t>
  </si>
  <si>
    <t>Andrea  Dixon-Hundredmark</t>
  </si>
  <si>
    <t>360.618.6440</t>
  </si>
  <si>
    <t>Arlington Special Educ School</t>
  </si>
  <si>
    <t>315 N French Ave</t>
  </si>
  <si>
    <t>Dave  McKellar</t>
  </si>
  <si>
    <t>dmckellar@asd.wednet.edu</t>
  </si>
  <si>
    <t>360.618.6209</t>
  </si>
  <si>
    <t>Arlington High School</t>
  </si>
  <si>
    <t>18821 Crown Ridge Blvd</t>
  </si>
  <si>
    <t>98223-4015</t>
  </si>
  <si>
    <t>dfish@asd.wednet.edu</t>
  </si>
  <si>
    <t>360.618.6302</t>
  </si>
  <si>
    <t>Post Middle School</t>
  </si>
  <si>
    <t>1220 E. 5th St</t>
  </si>
  <si>
    <t>98223-1119</t>
  </si>
  <si>
    <t>Yvonne  Walker</t>
  </si>
  <si>
    <t>vwalker@asd.wednet.edu</t>
  </si>
  <si>
    <t>360.618.6450</t>
  </si>
  <si>
    <t>Presidents Elementary</t>
  </si>
  <si>
    <t>505 East Third</t>
  </si>
  <si>
    <t>98223-0000</t>
  </si>
  <si>
    <t>Derek  Larsen</t>
  </si>
  <si>
    <t>dlarsen@asd.wednet.edu</t>
  </si>
  <si>
    <t>360.618.6240</t>
  </si>
  <si>
    <t>Weston High School</t>
  </si>
  <si>
    <t>4407 172nd Street NE</t>
  </si>
  <si>
    <t>Eagle Creek Elementary</t>
  </si>
  <si>
    <t>1216 E 5th</t>
  </si>
  <si>
    <t>Bethany  Belisle</t>
  </si>
  <si>
    <t>bbelisle@asd.wednet.edu</t>
  </si>
  <si>
    <t>360.618.6272</t>
  </si>
  <si>
    <t>Kent Prairie Elementary</t>
  </si>
  <si>
    <t>8110 207th St NE</t>
  </si>
  <si>
    <t>98223-5933</t>
  </si>
  <si>
    <t>Karl  Olson</t>
  </si>
  <si>
    <t>kolson@asd.wednet.edu</t>
  </si>
  <si>
    <t>360.618.6260</t>
  </si>
  <si>
    <t>8213 Eaglefield Dr</t>
  </si>
  <si>
    <t>98223-4660</t>
  </si>
  <si>
    <t>Brenda  Booth</t>
  </si>
  <si>
    <t>bbooth@asd.wednet.edu</t>
  </si>
  <si>
    <t>360.618.6230</t>
  </si>
  <si>
    <t>10th Street School</t>
  </si>
  <si>
    <t>7204 27th Ave NE</t>
  </si>
  <si>
    <t>Raymond  Houser</t>
  </si>
  <si>
    <t>raymond_houser@msd25.org</t>
  </si>
  <si>
    <t>360.965.0400</t>
  </si>
  <si>
    <t>Heritage School</t>
  </si>
  <si>
    <t>Kelli  Miller</t>
  </si>
  <si>
    <t>kelli_miller@msd25.org</t>
  </si>
  <si>
    <t>360.965.2800</t>
  </si>
  <si>
    <t>School Home Partnership Program</t>
  </si>
  <si>
    <t>7204 27TH AVE NE</t>
  </si>
  <si>
    <t>ray_houser@msd25.org</t>
  </si>
  <si>
    <t>360.965.0031</t>
  </si>
  <si>
    <t>Marysville Coop Program</t>
  </si>
  <si>
    <t>4407 116th St NE</t>
  </si>
  <si>
    <t>Joan  Robertson-Landi</t>
  </si>
  <si>
    <t>JOAN_ROBERTSON-LANDI@MSD25.ORG</t>
  </si>
  <si>
    <t>360.965.1600</t>
  </si>
  <si>
    <t>13525 51ST AVE NE</t>
  </si>
  <si>
    <t>MARYSVILLE</t>
  </si>
  <si>
    <t>Jennifer  Cassarino</t>
  </si>
  <si>
    <t>jennifer_cassarino@msd25.org</t>
  </si>
  <si>
    <t>360.965.0230</t>
  </si>
  <si>
    <t>1605 7th St</t>
  </si>
  <si>
    <t>98270-4672</t>
  </si>
  <si>
    <t>Keri  Lindsay</t>
  </si>
  <si>
    <t>keri_lindsay@msd25.org</t>
  </si>
  <si>
    <t>360.965.0500</t>
  </si>
  <si>
    <t>5200 100th St NE</t>
  </si>
  <si>
    <t>98270-3498</t>
  </si>
  <si>
    <t>Alene  Arakawa</t>
  </si>
  <si>
    <t>alene_arakawa@msd25.org</t>
  </si>
  <si>
    <t>360.965.1200</t>
  </si>
  <si>
    <t>Shoultes Elementary</t>
  </si>
  <si>
    <t>13525 51st Ave NE</t>
  </si>
  <si>
    <t>98271-7754</t>
  </si>
  <si>
    <t>Cory  Taylor</t>
  </si>
  <si>
    <t>cory_taylor@msd25.org</t>
  </si>
  <si>
    <t>360.965.1400</t>
  </si>
  <si>
    <t>Marysville Middle School</t>
  </si>
  <si>
    <t>4923 67th St NE</t>
  </si>
  <si>
    <t>98270-4452</t>
  </si>
  <si>
    <t>Stephanie  Kubej</t>
  </si>
  <si>
    <t>stephanie_kubej@msd25.org</t>
  </si>
  <si>
    <t>360.965.0900</t>
  </si>
  <si>
    <t>Sunnyside Elementary</t>
  </si>
  <si>
    <t>3707 Sunnyside Blvd</t>
  </si>
  <si>
    <t>98270-9544</t>
  </si>
  <si>
    <t>Kelly  Sheward</t>
  </si>
  <si>
    <t>Kelly_Sheward@msd25.org</t>
  </si>
  <si>
    <t>360.965.1500</t>
  </si>
  <si>
    <t>Pinewood Elementary</t>
  </si>
  <si>
    <t>8600 52nd Ave NE</t>
  </si>
  <si>
    <t>98270-3545</t>
  </si>
  <si>
    <t>Mica  Harasek</t>
  </si>
  <si>
    <t>mica_harasek@msd25.org</t>
  </si>
  <si>
    <t>360.965.1300</t>
  </si>
  <si>
    <t>Liberty Elementary</t>
  </si>
  <si>
    <t>1919 10th St</t>
  </si>
  <si>
    <t>98270-4677</t>
  </si>
  <si>
    <t>Richard  Middaugh</t>
  </si>
  <si>
    <t>richard_middaugh@msd25.org</t>
  </si>
  <si>
    <t>360.965.1800</t>
  </si>
  <si>
    <t>Marshall Elementary</t>
  </si>
  <si>
    <t>98271-8568</t>
  </si>
  <si>
    <t>Kellogg Marsh Elementary School</t>
  </si>
  <si>
    <t>6325 91st St NE</t>
  </si>
  <si>
    <t>Eneille  Nelson</t>
  </si>
  <si>
    <t>eneille_nelson@msd25.org</t>
  </si>
  <si>
    <t>360.965.1900</t>
  </si>
  <si>
    <t>Cedarcrest School</t>
  </si>
  <si>
    <t>6400 88th St NE</t>
  </si>
  <si>
    <t>Russell  Wilsterman</t>
  </si>
  <si>
    <t>russell_wilsterman@msd25.org</t>
  </si>
  <si>
    <t>360.965.0700</t>
  </si>
  <si>
    <t>Allen Creek Elementary School</t>
  </si>
  <si>
    <t>6505 60TH DR NE</t>
  </si>
  <si>
    <t>Janelle  McFalls</t>
  </si>
  <si>
    <t>janelle_mcfalls@msd25.org</t>
  </si>
  <si>
    <t>360.965.1100</t>
  </si>
  <si>
    <t>Index School District</t>
  </si>
  <si>
    <t>Index Elementary School</t>
  </si>
  <si>
    <t>PO Box 237</t>
  </si>
  <si>
    <t>Index</t>
  </si>
  <si>
    <t>98256-0237</t>
  </si>
  <si>
    <t>Brad  Jernberg</t>
  </si>
  <si>
    <t>bjernberg@index.k12.wa.us</t>
  </si>
  <si>
    <t>360.793.1330</t>
  </si>
  <si>
    <t>Monroe School District</t>
  </si>
  <si>
    <t>Monroe Special Ed Preschool</t>
  </si>
  <si>
    <t>200 E FREMONT</t>
  </si>
  <si>
    <t>MONROE</t>
  </si>
  <si>
    <t>98272-2336</t>
  </si>
  <si>
    <t>David  Paratore</t>
  </si>
  <si>
    <t>Paratored@monroe.wednet.edu</t>
  </si>
  <si>
    <t>360.804.2600</t>
  </si>
  <si>
    <t>Out Of District Special Ed</t>
  </si>
  <si>
    <t>200 E Fremont</t>
  </si>
  <si>
    <t>Monroe</t>
  </si>
  <si>
    <t>frenchn@monroe.wednet.edu</t>
  </si>
  <si>
    <t>Sky Valley Education Center</t>
  </si>
  <si>
    <t>351 Short Columbia St.</t>
  </si>
  <si>
    <t>98272-2757</t>
  </si>
  <si>
    <t>Karen  Rosencrans</t>
  </si>
  <si>
    <t>rosencransk@monroe.wednet.edu</t>
  </si>
  <si>
    <t>360.804.2700</t>
  </si>
  <si>
    <t>Leaders In Learning</t>
  </si>
  <si>
    <t>639 1/2 W Main St.</t>
  </si>
  <si>
    <t>98272-3250</t>
  </si>
  <si>
    <t>Blake  Baird</t>
  </si>
  <si>
    <t>bairdb@monroe.wednet.edu</t>
  </si>
  <si>
    <t>360.804.2800</t>
  </si>
  <si>
    <t>Youth Re-Engagement</t>
  </si>
  <si>
    <t>Justin  Blasko</t>
  </si>
  <si>
    <t>Blaskoj@monroe.wednet.edu</t>
  </si>
  <si>
    <t>360.804.2550</t>
  </si>
  <si>
    <t>Maltby Elementary</t>
  </si>
  <si>
    <t>9700 212th St. SE</t>
  </si>
  <si>
    <t>Snohomish</t>
  </si>
  <si>
    <t>98296-4926</t>
  </si>
  <si>
    <t>Bonnie  McKerney</t>
  </si>
  <si>
    <t>mckerneyb@monroe.wednet.edu</t>
  </si>
  <si>
    <t>360.804.3500</t>
  </si>
  <si>
    <t>Frank Wagner Elementary</t>
  </si>
  <si>
    <t>115 Dickinson Rd.</t>
  </si>
  <si>
    <t>98272-2126</t>
  </si>
  <si>
    <t>Kristin  Cortes</t>
  </si>
  <si>
    <t>cortesk@monroe.wednet.edu</t>
  </si>
  <si>
    <t>360.804.3200</t>
  </si>
  <si>
    <t>Salem Woods Elementary School</t>
  </si>
  <si>
    <t>12802 Wagner Rd.</t>
  </si>
  <si>
    <t>98272-7712</t>
  </si>
  <si>
    <t>penrods@monroe.wednet.edu</t>
  </si>
  <si>
    <t>360.804.3609</t>
  </si>
  <si>
    <t>Chain Lake Elementary School</t>
  </si>
  <si>
    <t>12125 Chain Lake Rd.</t>
  </si>
  <si>
    <t>98290-3626</t>
  </si>
  <si>
    <t>Ana  Apter</t>
  </si>
  <si>
    <t>aptera@monroe.wednet.edu</t>
  </si>
  <si>
    <t>360.804.3109</t>
  </si>
  <si>
    <t>Monroe High School</t>
  </si>
  <si>
    <t>17001 Tester Rd.</t>
  </si>
  <si>
    <t>98272-2896</t>
  </si>
  <si>
    <t>Ed  Crow</t>
  </si>
  <si>
    <t>Crowe@monroe.wednet.edu</t>
  </si>
  <si>
    <t>360.804.4500</t>
  </si>
  <si>
    <t>Hidden River Middle School</t>
  </si>
  <si>
    <t>9224 Paradise Lake Rd.</t>
  </si>
  <si>
    <t>98296-7145</t>
  </si>
  <si>
    <t>Brett  Wille</t>
  </si>
  <si>
    <t>willeb@monroe.wednet.edu</t>
  </si>
  <si>
    <t>360.804.4100</t>
  </si>
  <si>
    <t>Snohomish School District</t>
  </si>
  <si>
    <t>Snohomish Center</t>
  </si>
  <si>
    <t>1601 Avenue D</t>
  </si>
  <si>
    <t>98290-0000</t>
  </si>
  <si>
    <t>Scott  Peacock</t>
  </si>
  <si>
    <t>Scott.Peacock@sno.wednet.edu</t>
  </si>
  <si>
    <t>360.563.7282</t>
  </si>
  <si>
    <t>Machias Elementary</t>
  </si>
  <si>
    <t>231 14th Avenue SE</t>
  </si>
  <si>
    <t>Shawn  Ryan</t>
  </si>
  <si>
    <t>shawn.ryan@sno.wednet.edu</t>
  </si>
  <si>
    <t>360.563.4825</t>
  </si>
  <si>
    <t>Snohomish High School</t>
  </si>
  <si>
    <t>1316 Fifth Street</t>
  </si>
  <si>
    <t>Eric  Cahan</t>
  </si>
  <si>
    <t>Eric.Cahan@sno.wednet.edu</t>
  </si>
  <si>
    <t>360.563.4001</t>
  </si>
  <si>
    <t>Central Elementary</t>
  </si>
  <si>
    <t>221 Union Avenue</t>
  </si>
  <si>
    <t>Heidi  Rothgeb</t>
  </si>
  <si>
    <t>heidi.rothgeb@sno.wednet.edu</t>
  </si>
  <si>
    <t>(360) 563-4600</t>
  </si>
  <si>
    <t>1103 Pine Street</t>
  </si>
  <si>
    <t>Craig  Church</t>
  </si>
  <si>
    <t>craig.church@sno.wednet.edu</t>
  </si>
  <si>
    <t>(360) 563-7150</t>
  </si>
  <si>
    <t>Cathcart Elementary</t>
  </si>
  <si>
    <t>8201 188th St SE</t>
  </si>
  <si>
    <t>98296-0000</t>
  </si>
  <si>
    <t>Michael  Anderson</t>
  </si>
  <si>
    <t>mike.anderson@sno.wednet.edu</t>
  </si>
  <si>
    <t>360.563.7075</t>
  </si>
  <si>
    <t>Riverview Elementary</t>
  </si>
  <si>
    <t>7322 64th Street SE</t>
  </si>
  <si>
    <t>Tammy  Jones</t>
  </si>
  <si>
    <t>tammy.jones@sno.wednet.edu</t>
  </si>
  <si>
    <t>360.563.4375</t>
  </si>
  <si>
    <t>High School Re Entry</t>
  </si>
  <si>
    <t>June  Shirey</t>
  </si>
  <si>
    <t>june.shirey@sno.wednet.edu</t>
  </si>
  <si>
    <t>(360) 563-7289</t>
  </si>
  <si>
    <t>Valley View Middle School</t>
  </si>
  <si>
    <t>14308 Broadway Avenue SE</t>
  </si>
  <si>
    <t>98296-7005</t>
  </si>
  <si>
    <t>Monica  Bauer</t>
  </si>
  <si>
    <t>Monica.Bauer@sno.wednet.edu</t>
  </si>
  <si>
    <t>360.563.4225</t>
  </si>
  <si>
    <t>Seattle Hill Elementary</t>
  </si>
  <si>
    <t>12711 51st Avenue SE</t>
  </si>
  <si>
    <t>98208-0000</t>
  </si>
  <si>
    <t>Paula  Jones Nelson</t>
  </si>
  <si>
    <t>paula.nelson@sno.wednet.edu</t>
  </si>
  <si>
    <t>360.563.4675</t>
  </si>
  <si>
    <t>Dutch Hill Elementary</t>
  </si>
  <si>
    <t>8231 131st Avenue SE</t>
  </si>
  <si>
    <t>Jack  Tobin</t>
  </si>
  <si>
    <t>jack.tobin@sno.wednet.edu</t>
  </si>
  <si>
    <t>360.563.4450</t>
  </si>
  <si>
    <t>AIM High School</t>
  </si>
  <si>
    <t>360.563.3401</t>
  </si>
  <si>
    <t>2401 Park Avenue</t>
  </si>
  <si>
    <t>Kert  Lenseigne</t>
  </si>
  <si>
    <t>Kert.Lenseigne@sno.wednet.edu</t>
  </si>
  <si>
    <t>360.563.7000</t>
  </si>
  <si>
    <t>Totem Falls</t>
  </si>
  <si>
    <t>14211 Snohomish-Cascade Drive</t>
  </si>
  <si>
    <t>Hawk  Cramer</t>
  </si>
  <si>
    <t>Hawk.Cramer@sno.wednet.edu</t>
  </si>
  <si>
    <t>360.563.4750</t>
  </si>
  <si>
    <t>Centennial Middle School</t>
  </si>
  <si>
    <t>3000 South Machias Road</t>
  </si>
  <si>
    <t>Joshua  Rosenbach</t>
  </si>
  <si>
    <t>dave.sage@sno.wednet.edu</t>
  </si>
  <si>
    <t>360.563.4525</t>
  </si>
  <si>
    <t>Lakewood School District</t>
  </si>
  <si>
    <t>Lakewood Elementary School</t>
  </si>
  <si>
    <t>P.O. Box 40</t>
  </si>
  <si>
    <t>N. Lakewood</t>
  </si>
  <si>
    <t>98259-0040</t>
  </si>
  <si>
    <t>Kimberly  Caldwell</t>
  </si>
  <si>
    <t>kcaldwell@lwsd.wednet.edu</t>
  </si>
  <si>
    <t>360.652.4520</t>
  </si>
  <si>
    <t>Lakewood Middle School</t>
  </si>
  <si>
    <t>P.O. Box 9</t>
  </si>
  <si>
    <t>98259-0009</t>
  </si>
  <si>
    <t>Bryan  Toutant</t>
  </si>
  <si>
    <t>btoutant@lwsd.wednet.edu</t>
  </si>
  <si>
    <t>360.652.4510</t>
  </si>
  <si>
    <t>Lakewood High School</t>
  </si>
  <si>
    <t>PO Box 10</t>
  </si>
  <si>
    <t>N Lakewood</t>
  </si>
  <si>
    <t>98259-0010</t>
  </si>
  <si>
    <t>Jeanette  Grisham</t>
  </si>
  <si>
    <t>jgrisham@lwsd.wednet.edu</t>
  </si>
  <si>
    <t>360.652.4505</t>
  </si>
  <si>
    <t>English Crossing Elementary</t>
  </si>
  <si>
    <t>P.O. Box 50</t>
  </si>
  <si>
    <t>98259-0050</t>
  </si>
  <si>
    <t>Michele  Ricci</t>
  </si>
  <si>
    <t>mricci@lwsd.wednet.edu</t>
  </si>
  <si>
    <t>360.652.4515</t>
  </si>
  <si>
    <t>Student Services School</t>
  </si>
  <si>
    <t>514 4th Street</t>
  </si>
  <si>
    <t>98294-0000</t>
  </si>
  <si>
    <t>Gayle  Wilson</t>
  </si>
  <si>
    <t>gayle.wilson@sultan.k12.wa.us</t>
  </si>
  <si>
    <t>360.793.9801 ext. 1042</t>
  </si>
  <si>
    <t>Sultan Middle School</t>
  </si>
  <si>
    <t>301 High Ave.</t>
  </si>
  <si>
    <t>Nathan  Plummer</t>
  </si>
  <si>
    <t>nathan.plummer@sultan.k12.wa.us</t>
  </si>
  <si>
    <t>360.793.9850</t>
  </si>
  <si>
    <t>Sultan Elementary School</t>
  </si>
  <si>
    <t>501 Date St</t>
  </si>
  <si>
    <t>Aubrey  VanOrden</t>
  </si>
  <si>
    <t>aubrey.vanorden@sultan.k12.wa.us</t>
  </si>
  <si>
    <t>360.793.9830</t>
  </si>
  <si>
    <t>Sultan Senior High School</t>
  </si>
  <si>
    <t>1000 Turk Drive</t>
  </si>
  <si>
    <t>Sarita  Whitmire-Skeith</t>
  </si>
  <si>
    <t>360.793.9860</t>
  </si>
  <si>
    <t>Gold Bar Elementary</t>
  </si>
  <si>
    <t>419 Lewis Ave</t>
  </si>
  <si>
    <t>Gold Bar</t>
  </si>
  <si>
    <t>98251-0000</t>
  </si>
  <si>
    <t>keith.buechler@sultan.k12.wa.us</t>
  </si>
  <si>
    <t>360.793.9840</t>
  </si>
  <si>
    <t>Darrington School District</t>
  </si>
  <si>
    <t>Darrington High School</t>
  </si>
  <si>
    <t>PO BOX 27</t>
  </si>
  <si>
    <t>DARRINGTON</t>
  </si>
  <si>
    <t>98241-0027</t>
  </si>
  <si>
    <t>RACHEL E QUARTERMAN</t>
  </si>
  <si>
    <t>rquarterman@dsd.k12.wa.us</t>
  </si>
  <si>
    <t>360.436.1140</t>
  </si>
  <si>
    <t>Darrington Elementary School</t>
  </si>
  <si>
    <t>POST OFFICE BOX 27</t>
  </si>
  <si>
    <t>Tracy A Franke</t>
  </si>
  <si>
    <t>tfranke@dsd.k12.wa.us</t>
  </si>
  <si>
    <t>360.436.1313</t>
  </si>
  <si>
    <t>Granite Falls High School</t>
  </si>
  <si>
    <t>1401 100th St NE</t>
  </si>
  <si>
    <t>Kevin  Davis</t>
  </si>
  <si>
    <t>kdavis@gfalls.wednet.edu</t>
  </si>
  <si>
    <t>360.691.7713</t>
  </si>
  <si>
    <t>Granite Falls Middle School</t>
  </si>
  <si>
    <t>405 North Alder Avenue</t>
  </si>
  <si>
    <t>98252-8907</t>
  </si>
  <si>
    <t>Dave  Bianchini</t>
  </si>
  <si>
    <t>dbianchini@gfalls.wednet.edu</t>
  </si>
  <si>
    <t>360.691.7710</t>
  </si>
  <si>
    <t>Mountain Way Elementary</t>
  </si>
  <si>
    <t>702 N. Granite Ave</t>
  </si>
  <si>
    <t>98252-9808</t>
  </si>
  <si>
    <t>dweddle@gfalls.wednet.edu</t>
  </si>
  <si>
    <t>360.691.7719</t>
  </si>
  <si>
    <t>Monte Cristo Elementary</t>
  </si>
  <si>
    <t>1201 100th St NE</t>
  </si>
  <si>
    <t>Bruce  Walton</t>
  </si>
  <si>
    <t>bwalton@gfalls.wednet.edu</t>
  </si>
  <si>
    <t>360.691.7718</t>
  </si>
  <si>
    <t>Stanwood-Camano School District</t>
  </si>
  <si>
    <t>Lincoln Hill High School</t>
  </si>
  <si>
    <t>7400 272ND ST NW</t>
  </si>
  <si>
    <t>STANWOOD</t>
  </si>
  <si>
    <t>98292-0000</t>
  </si>
  <si>
    <t>RYAN  OVENELL</t>
  </si>
  <si>
    <t>rovenell@stanwood.wednet.edu</t>
  </si>
  <si>
    <t>360.629.1340</t>
  </si>
  <si>
    <t>Stanwood Middle School</t>
  </si>
  <si>
    <t>9405 271ST ST NW</t>
  </si>
  <si>
    <t>TOD  KLUNDT</t>
  </si>
  <si>
    <t>tklundt@stanwood.wednet.edu</t>
  </si>
  <si>
    <t>360.629.1300</t>
  </si>
  <si>
    <t>Stanwood High School</t>
  </si>
  <si>
    <t>CHRISTINE  DEL POZO</t>
  </si>
  <si>
    <t>cdelpozo@stanwood.wednet.edu</t>
  </si>
  <si>
    <t>Stanwood Elementary School</t>
  </si>
  <si>
    <t>10227 273RD PL NW</t>
  </si>
  <si>
    <t>BARBARA  MARSH</t>
  </si>
  <si>
    <t>bmarsh@stanwood.wednet.edu</t>
  </si>
  <si>
    <t>360.629.1250</t>
  </si>
  <si>
    <t>Twin City Elementary</t>
  </si>
  <si>
    <t>26211 72ND AVE NW</t>
  </si>
  <si>
    <t>JENNIFER  ALLEN</t>
  </si>
  <si>
    <t>jallen@stanwood.wednet.edu</t>
  </si>
  <si>
    <t>360.629.1270</t>
  </si>
  <si>
    <t>Port Susan Middle School</t>
  </si>
  <si>
    <t>7506 267TH ST NW</t>
  </si>
  <si>
    <t>KERI  VON MOOS</t>
  </si>
  <si>
    <t>kvonmoos@stanwood.wednet.edu</t>
  </si>
  <si>
    <t>360.629.1360</t>
  </si>
  <si>
    <t>Cedarhome Elementary School</t>
  </si>
  <si>
    <t>27911 68TH AVE NW</t>
  </si>
  <si>
    <t>98292-0430</t>
  </si>
  <si>
    <t>JEFF  LOFGREN</t>
  </si>
  <si>
    <t>jlofgren@stanwood.wednet.edu</t>
  </si>
  <si>
    <t>360.629.1280</t>
  </si>
  <si>
    <t>Utsalady Elementary</t>
  </si>
  <si>
    <t>608 ARROWHEAD RD</t>
  </si>
  <si>
    <t>CAMANO ISLAND</t>
  </si>
  <si>
    <t>98282-0000</t>
  </si>
  <si>
    <t>COLLEEN  KELLER</t>
  </si>
  <si>
    <t>ckeller@stanwood.wednet.edu</t>
  </si>
  <si>
    <t>360.629.1260</t>
  </si>
  <si>
    <t>Elger Bay Elementary</t>
  </si>
  <si>
    <t>1810 ELGER BAY RD</t>
  </si>
  <si>
    <t>VICTOR  HANZELI</t>
  </si>
  <si>
    <t>vhanzeli@stanwood.wednet.edu</t>
  </si>
  <si>
    <t>360.629.1290</t>
  </si>
  <si>
    <t>A-3 Multiagency Adolescent Prog</t>
  </si>
  <si>
    <t>1807 N. Washington</t>
  </si>
  <si>
    <t>David  Crump</t>
  </si>
  <si>
    <t>DavidCr@spokaneschools.org</t>
  </si>
  <si>
    <t>509.458.7458</t>
  </si>
  <si>
    <t>Alternative Northeast Community Center Preschool</t>
  </si>
  <si>
    <t>4001 N Cook</t>
  </si>
  <si>
    <t>99207-5880</t>
  </si>
  <si>
    <t>Michelle  Gwinn</t>
  </si>
  <si>
    <t>MichelleG@spokaneschools.org</t>
  </si>
  <si>
    <t>509.533.8816</t>
  </si>
  <si>
    <t>Pratt Academy</t>
  </si>
  <si>
    <t>6903 E 4th Ave</t>
  </si>
  <si>
    <t>Lisa  Pacheco</t>
  </si>
  <si>
    <t>LisaPa@SpokaneSchools.org</t>
  </si>
  <si>
    <t>509.354.7100</t>
  </si>
  <si>
    <t>Daybreak Alternative School</t>
  </si>
  <si>
    <t>628 S Cowley St</t>
  </si>
  <si>
    <t>99202-2695</t>
  </si>
  <si>
    <t>DavidCr@SpokaneSchools.org</t>
  </si>
  <si>
    <t>509.354.7946</t>
  </si>
  <si>
    <t>Alternative Tamarack School</t>
  </si>
  <si>
    <t>W 2901 Ft George Wright</t>
  </si>
  <si>
    <t>99224-5253</t>
  </si>
  <si>
    <t>509.326.8100</t>
  </si>
  <si>
    <t>SCCP Images</t>
  </si>
  <si>
    <t>1810 N Greene St</t>
  </si>
  <si>
    <t>99217-5399</t>
  </si>
  <si>
    <t>509.533.7326</t>
  </si>
  <si>
    <t>The Healing Lodge</t>
  </si>
  <si>
    <t>5600 E 8Th Ave</t>
  </si>
  <si>
    <t>99212-0220</t>
  </si>
  <si>
    <t>Pam  Austin</t>
  </si>
  <si>
    <t>PamAu@SpokaneSchools.org</t>
  </si>
  <si>
    <t>509.354.6910</t>
  </si>
  <si>
    <t>Shrine Hospital</t>
  </si>
  <si>
    <t>911 W 5Th Ave</t>
  </si>
  <si>
    <t>99204-1571</t>
  </si>
  <si>
    <t>Erin  Jordan</t>
  </si>
  <si>
    <t>ErinJ@SpokaneSchools.org</t>
  </si>
  <si>
    <t>509.354.5900</t>
  </si>
  <si>
    <t>Holmes Elementary</t>
  </si>
  <si>
    <t>2600 W Sharp Ave</t>
  </si>
  <si>
    <t>99201-2996</t>
  </si>
  <si>
    <t>Stephanie  Lundberg</t>
  </si>
  <si>
    <t>StephanieLu@SpokaneSchools.org</t>
  </si>
  <si>
    <t>509.354.2990</t>
  </si>
  <si>
    <t>Roosevelt Elementary</t>
  </si>
  <si>
    <t>333 W 14Th Ave</t>
  </si>
  <si>
    <t>99204-3627</t>
  </si>
  <si>
    <t>Matthew  Henshaw</t>
  </si>
  <si>
    <t>MatthewH@SpokaneSchools.org</t>
  </si>
  <si>
    <t>509.354.4040</t>
  </si>
  <si>
    <t>Regal Elementary</t>
  </si>
  <si>
    <t>2707 E Rich Ave</t>
  </si>
  <si>
    <t>99207-5827</t>
  </si>
  <si>
    <t>Tricia  Kannberg</t>
  </si>
  <si>
    <t>TriciaK@SpokaneSchools.org</t>
  </si>
  <si>
    <t>509.354.3900</t>
  </si>
  <si>
    <t>North Central High School</t>
  </si>
  <si>
    <t>1600 N Howard St</t>
  </si>
  <si>
    <t>99205-4798</t>
  </si>
  <si>
    <t>Steve  Fisk</t>
  </si>
  <si>
    <t>SteveF@SpokaneSchools.org</t>
  </si>
  <si>
    <t>509.354.6300</t>
  </si>
  <si>
    <t>Stevens Elementary</t>
  </si>
  <si>
    <t>1717 E Sinto Ave</t>
  </si>
  <si>
    <t>99202-2653</t>
  </si>
  <si>
    <t>Dan  Jenkins</t>
  </si>
  <si>
    <t>DanJ@SpokaneSchools.org</t>
  </si>
  <si>
    <t>509.354.4200</t>
  </si>
  <si>
    <t>Willard Elementary</t>
  </si>
  <si>
    <t>500 W Longfellow Ave</t>
  </si>
  <si>
    <t>99205-1140</t>
  </si>
  <si>
    <t>Matt  Truitt</t>
  </si>
  <si>
    <t>MattT@SpokaneSchools.org</t>
  </si>
  <si>
    <t>509.354.4444</t>
  </si>
  <si>
    <t>Sheridan Elementary</t>
  </si>
  <si>
    <t>3737 E 5Th Ave</t>
  </si>
  <si>
    <t>99202-5099</t>
  </si>
  <si>
    <t>Larry  Quisano</t>
  </si>
  <si>
    <t>LarryQ@SpokaneSchools.org</t>
  </si>
  <si>
    <t>509.354.4538</t>
  </si>
  <si>
    <t>123 E. 37th Ave</t>
  </si>
  <si>
    <t>99203-2693</t>
  </si>
  <si>
    <t>Nikki  Golden</t>
  </si>
  <si>
    <t>NicoleG@SpokaneSchools.org</t>
  </si>
  <si>
    <t>509.354.3200</t>
  </si>
  <si>
    <t>2627 E 17Th Ave</t>
  </si>
  <si>
    <t>99223-5100</t>
  </si>
  <si>
    <t>Edward  Hollingsworth</t>
  </si>
  <si>
    <t>BuzH@SpokaneSchools.org</t>
  </si>
  <si>
    <t>509.354.2620</t>
  </si>
  <si>
    <t>2020 W Carlisle Ave</t>
  </si>
  <si>
    <t>99205-3794</t>
  </si>
  <si>
    <t>Kimberly   Stretch</t>
  </si>
  <si>
    <t>KimberlySt@SpokaneSchools.org</t>
  </si>
  <si>
    <t>509.354.2140</t>
  </si>
  <si>
    <t>Cooper Elementary</t>
  </si>
  <si>
    <t>3200 N Ferrall St</t>
  </si>
  <si>
    <t>99217-6999</t>
  </si>
  <si>
    <t>Katie  Stone</t>
  </si>
  <si>
    <t>KatieS@SpokaneSchools.org</t>
  </si>
  <si>
    <t>509.354.2500</t>
  </si>
  <si>
    <t>Bemiss Elementary</t>
  </si>
  <si>
    <t>2323 E Bridgeport Ave</t>
  </si>
  <si>
    <t>99207-5799</t>
  </si>
  <si>
    <t>Rachel  Sherwood</t>
  </si>
  <si>
    <t>RachelSh@SpokaneSchools.org</t>
  </si>
  <si>
    <t>509.354.2300</t>
  </si>
  <si>
    <t>Adams Elementary</t>
  </si>
  <si>
    <t>2909-E 37 Ave</t>
  </si>
  <si>
    <t>99223-4500</t>
  </si>
  <si>
    <t>Beth  Nye</t>
  </si>
  <si>
    <t>BethN@SpokaneSchools.org</t>
  </si>
  <si>
    <t>509.354.2000</t>
  </si>
  <si>
    <t>Lewis &amp; Clark High School</t>
  </si>
  <si>
    <t>521 W 4Th Ave</t>
  </si>
  <si>
    <t>99204-2692</t>
  </si>
  <si>
    <t>MaryBeth  Smith</t>
  </si>
  <si>
    <t>MarybethSm@SpokaneSchools.org</t>
  </si>
  <si>
    <t>509.354.7000</t>
  </si>
  <si>
    <t>Whitman Elementary</t>
  </si>
  <si>
    <t>5400 N Helena St</t>
  </si>
  <si>
    <t>99207-4000</t>
  </si>
  <si>
    <t>Jody  Schmidt</t>
  </si>
  <si>
    <t>JodyS@SpokaneSchools.org</t>
  </si>
  <si>
    <t>509.354.4320</t>
  </si>
  <si>
    <t>Browne Elementary</t>
  </si>
  <si>
    <t>5102 N Driscoll Blvd</t>
  </si>
  <si>
    <t>99205-6099</t>
  </si>
  <si>
    <t>Julia R Lockwood</t>
  </si>
  <si>
    <t>julial@spokaneschools.org</t>
  </si>
  <si>
    <t>509.354.2400</t>
  </si>
  <si>
    <t>Hutton Elementary</t>
  </si>
  <si>
    <t>908 E 24Th Ave</t>
  </si>
  <si>
    <t>99203-3300</t>
  </si>
  <si>
    <t>Chuck  Demarest</t>
  </si>
  <si>
    <t>chuckde@spokaneschools.org</t>
  </si>
  <si>
    <t>509.354.3030</t>
  </si>
  <si>
    <t>Wilson Elementary</t>
  </si>
  <si>
    <t>911 W 25Th Ave</t>
  </si>
  <si>
    <t>99203-1200</t>
  </si>
  <si>
    <t>Ken  Hermanson</t>
  </si>
  <si>
    <t>KenH@spokaneschools.org</t>
  </si>
  <si>
    <t>509.354.4500</t>
  </si>
  <si>
    <t>Finch Elementary</t>
  </si>
  <si>
    <t>3717 N Milton St</t>
  </si>
  <si>
    <t>99205-2399</t>
  </si>
  <si>
    <t>Shane  O'Doherty</t>
  </si>
  <si>
    <t>ShaneO@SpokaneSchools.org</t>
  </si>
  <si>
    <t>509.354.2600</t>
  </si>
  <si>
    <t>Arlington Elementary</t>
  </si>
  <si>
    <t>6363 N Smith St</t>
  </si>
  <si>
    <t>99217-7626</t>
  </si>
  <si>
    <t>Susan  R Unruh</t>
  </si>
  <si>
    <t>sueu@spokaneschools.org</t>
  </si>
  <si>
    <t>509.354.2096</t>
  </si>
  <si>
    <t>Libby Center</t>
  </si>
  <si>
    <t>2900 E 1St Ave</t>
  </si>
  <si>
    <t>99202-3992</t>
  </si>
  <si>
    <t>Debra  DeWitt</t>
  </si>
  <si>
    <t>DebraDe@SpokaneSchools.org</t>
  </si>
  <si>
    <t>509.354.7500</t>
  </si>
  <si>
    <t>1622 E Wellesley Ave</t>
  </si>
  <si>
    <t>99207-4299</t>
  </si>
  <si>
    <t>Lori  Wyborney</t>
  </si>
  <si>
    <t>LoriWy@spokaneschools.org</t>
  </si>
  <si>
    <t>509.354.6535</t>
  </si>
  <si>
    <t>319 W Nebraska Ave</t>
  </si>
  <si>
    <t>99205-6299</t>
  </si>
  <si>
    <t>Heather  Jordan</t>
  </si>
  <si>
    <t>HeatherJo@SpokaneSchools.org</t>
  </si>
  <si>
    <t>509.354.3600</t>
  </si>
  <si>
    <t>Ridgeview Elementary</t>
  </si>
  <si>
    <t>5610 N. Maple</t>
  </si>
  <si>
    <t>99205-6798</t>
  </si>
  <si>
    <t>Melinda  Keberle</t>
  </si>
  <si>
    <t>MelindaKe@SpokaneSchools.org</t>
  </si>
  <si>
    <t>509.354.4000</t>
  </si>
  <si>
    <t>Lincoln Heights Elementary</t>
  </si>
  <si>
    <t>3322 E 22Nd Ave</t>
  </si>
  <si>
    <t>99223-3900</t>
  </si>
  <si>
    <t>Meghan  Anderson</t>
  </si>
  <si>
    <t>MeghanAn@SpokaneSchools.org</t>
  </si>
  <si>
    <t>509.354.3300</t>
  </si>
  <si>
    <t>Lidgerwood Elementary</t>
  </si>
  <si>
    <t>5510 N Lidgerwood</t>
  </si>
  <si>
    <t>Steve  Barnes</t>
  </si>
  <si>
    <t>SteveBar@SpokaneSchools.org</t>
  </si>
  <si>
    <t>509.354.3225</t>
  </si>
  <si>
    <t>Hamblen Elementary</t>
  </si>
  <si>
    <t>2121 E Thurston Ave</t>
  </si>
  <si>
    <t>99203-4100</t>
  </si>
  <si>
    <t>Stefanie  Heinen</t>
  </si>
  <si>
    <t>StefanieH@SpokaneSchools.org</t>
  </si>
  <si>
    <t>509.354.2902</t>
  </si>
  <si>
    <t>Bryant Center</t>
  </si>
  <si>
    <t>N 910 Ash St</t>
  </si>
  <si>
    <t>99201-1811</t>
  </si>
  <si>
    <t>Suzanne  Smith</t>
  </si>
  <si>
    <t>SuzanneS@SpokaneSchools.org</t>
  </si>
  <si>
    <t>509.354.7810</t>
  </si>
  <si>
    <t>Westview Elementary</t>
  </si>
  <si>
    <t>3520 W. Bismark</t>
  </si>
  <si>
    <t>99205-7498</t>
  </si>
  <si>
    <t>Cathy  Comfort</t>
  </si>
  <si>
    <t>CatherineC@spokaneschools.org</t>
  </si>
  <si>
    <t>509.354.4300</t>
  </si>
  <si>
    <t>Shadle Park High School</t>
  </si>
  <si>
    <t>4327 N Ash St</t>
  </si>
  <si>
    <t>99205-1498</t>
  </si>
  <si>
    <t>Julie S Lee</t>
  </si>
  <si>
    <t>JulieL@SpokaneSchools.org</t>
  </si>
  <si>
    <t>509.354.6700</t>
  </si>
  <si>
    <t>Linwood Elementary</t>
  </si>
  <si>
    <t>906 W Weile Ave</t>
  </si>
  <si>
    <t>99208-6278</t>
  </si>
  <si>
    <t>Gina  L  Naccarato-Keele</t>
  </si>
  <si>
    <t>GinaN@spokaneschools.org</t>
  </si>
  <si>
    <t>509.354.3357</t>
  </si>
  <si>
    <t>Shaw Middle School</t>
  </si>
  <si>
    <t>4106 N Cook St</t>
  </si>
  <si>
    <t>99207-5892</t>
  </si>
  <si>
    <t>Jon  Swett</t>
  </si>
  <si>
    <t>JonS@SpokaneSchools.org</t>
  </si>
  <si>
    <t>509.354.5800</t>
  </si>
  <si>
    <t>Glover Middle School</t>
  </si>
  <si>
    <t>2404 W Longfellow Ave</t>
  </si>
  <si>
    <t>99205-1547</t>
  </si>
  <si>
    <t>Mark  Lund</t>
  </si>
  <si>
    <t>MarkLu@SpokaneSchools.org</t>
  </si>
  <si>
    <t>509.354.5400</t>
  </si>
  <si>
    <t>401 E 33Rd Ave</t>
  </si>
  <si>
    <t>99203-2696</t>
  </si>
  <si>
    <t>Jeremy  Ochse</t>
  </si>
  <si>
    <t>JeremyO@SpokaneSchools.org</t>
  </si>
  <si>
    <t>509.354.5500</t>
  </si>
  <si>
    <t>Balboa Elementary</t>
  </si>
  <si>
    <t>3010 W Holyoke Ave</t>
  </si>
  <si>
    <t>99208-4699</t>
  </si>
  <si>
    <t>Brenda  Lollis</t>
  </si>
  <si>
    <t>BrendaL@SpokaneSchools.org</t>
  </si>
  <si>
    <t>509.354.2220</t>
  </si>
  <si>
    <t>Ferris High School</t>
  </si>
  <si>
    <t>3020 E 37Th Ave</t>
  </si>
  <si>
    <t>99223-4598</t>
  </si>
  <si>
    <t>Ken  Schutz</t>
  </si>
  <si>
    <t>KenS@SpokaneSchools.org</t>
  </si>
  <si>
    <t>509.354.6000</t>
  </si>
  <si>
    <t>Salk Middle School</t>
  </si>
  <si>
    <t>6411 N Alberta St</t>
  </si>
  <si>
    <t>99208-4499</t>
  </si>
  <si>
    <t>Matthew E McFarland</t>
  </si>
  <si>
    <t>MatthewMc@SpokaneSchools.org</t>
  </si>
  <si>
    <t>509.354.5600</t>
  </si>
  <si>
    <t>Indian Trail Elementary</t>
  </si>
  <si>
    <t>4102 W Woodside Ave</t>
  </si>
  <si>
    <t>99208-5099</t>
  </si>
  <si>
    <t>Brian D Ormsby</t>
  </si>
  <si>
    <t>brianO@spokaneschools.org</t>
  </si>
  <si>
    <t>509.354.3100</t>
  </si>
  <si>
    <t>800 E Providence Ave</t>
  </si>
  <si>
    <t>99207-2900</t>
  </si>
  <si>
    <t>Adam  Oakley</t>
  </si>
  <si>
    <t>AdamO@SpokaneSchools.org</t>
  </si>
  <si>
    <t>509.354.3500</t>
  </si>
  <si>
    <t>Logan Elementary</t>
  </si>
  <si>
    <t>1001 E Montgomery Ave</t>
  </si>
  <si>
    <t>99207-2674</t>
  </si>
  <si>
    <t>Brent  Perdue</t>
  </si>
  <si>
    <t>BrentP@SpokaneSchools.org</t>
  </si>
  <si>
    <t>509.354.3434</t>
  </si>
  <si>
    <t>Garfield Elementary</t>
  </si>
  <si>
    <t>222 W Knox Ave</t>
  </si>
  <si>
    <t>99205-4880</t>
  </si>
  <si>
    <t>Jollene  Vining</t>
  </si>
  <si>
    <t>JolleneV@SpokaneSchools.org</t>
  </si>
  <si>
    <t>509.354.2700</t>
  </si>
  <si>
    <t>1300 E 9Th Ave</t>
  </si>
  <si>
    <t>99202-2499</t>
  </si>
  <si>
    <t>Ivan  Corley</t>
  </si>
  <si>
    <t>IvanC@SpokaneSchools.org</t>
  </si>
  <si>
    <t>509.354.2800</t>
  </si>
  <si>
    <t>Garry Middle School</t>
  </si>
  <si>
    <t>725 E Joseph Ave</t>
  </si>
  <si>
    <t>99207-3499</t>
  </si>
  <si>
    <t>Wendy  Watson</t>
  </si>
  <si>
    <t>WendyW@SpokaneSchools.org</t>
  </si>
  <si>
    <t>509.354.5200</t>
  </si>
  <si>
    <t>Excelsior Youth Center School</t>
  </si>
  <si>
    <t>3754 W Indian Trail Rd</t>
  </si>
  <si>
    <t>99208-4736</t>
  </si>
  <si>
    <t>Carol  Stines</t>
  </si>
  <si>
    <t>Carol.Stines@4eyc.org</t>
  </si>
  <si>
    <t>509.328.7041</t>
  </si>
  <si>
    <t>Mullan Road Elementary</t>
  </si>
  <si>
    <t>2616 E 63Rd Ave</t>
  </si>
  <si>
    <t>99223-7410</t>
  </si>
  <si>
    <t>Matthew  Beal</t>
  </si>
  <si>
    <t>MattBe@SpokaneSchools.org</t>
  </si>
  <si>
    <t>509.354.3800</t>
  </si>
  <si>
    <t xml:space="preserve">Spokane Area Professional-Technical Skills Center </t>
  </si>
  <si>
    <t>N 4141 Regal Street</t>
  </si>
  <si>
    <t>99207-5828</t>
  </si>
  <si>
    <t>Karene  Duffy</t>
  </si>
  <si>
    <t>KareneD@SpokaneSchools.org</t>
  </si>
  <si>
    <t>509.354.7420</t>
  </si>
  <si>
    <t>5100 W Shawnee Ave</t>
  </si>
  <si>
    <t>99208-8651</t>
  </si>
  <si>
    <t>Kale  Colyar</t>
  </si>
  <si>
    <t>KaleC@SpokaneSchools.org</t>
  </si>
  <si>
    <t>509.354.4600</t>
  </si>
  <si>
    <t>Sacred Heart Hospital</t>
  </si>
  <si>
    <t>W 101 8Th Ave</t>
  </si>
  <si>
    <t>99204-2396</t>
  </si>
  <si>
    <t>Rebecca  Doughty</t>
  </si>
  <si>
    <t>RebeccaDo@SpokaneSchools.org</t>
  </si>
  <si>
    <t>509.354.6401</t>
  </si>
  <si>
    <t>Moran Prairie Elementary</t>
  </si>
  <si>
    <t>4224 E 57Th Ave</t>
  </si>
  <si>
    <t>99223-7897</t>
  </si>
  <si>
    <t>Clinton  Price</t>
  </si>
  <si>
    <t>ClintP@SpokaneSchools.org</t>
  </si>
  <si>
    <t>509.354.3700</t>
  </si>
  <si>
    <t>Chase Middle School</t>
  </si>
  <si>
    <t>4747 E 37Th Ave</t>
  </si>
  <si>
    <t>99223-1206</t>
  </si>
  <si>
    <t>John  O'Dell</t>
  </si>
  <si>
    <t>JohnOd@SpokaneSchools.org</t>
  </si>
  <si>
    <t>Orchard Prairie School District</t>
  </si>
  <si>
    <t>Orchard Prairie Elementary</t>
  </si>
  <si>
    <t>7626 N. Orchard Prairie Rd.</t>
  </si>
  <si>
    <t>99217-9766</t>
  </si>
  <si>
    <t>Duane   Reidenbach</t>
  </si>
  <si>
    <t>dreidenbach@orchardprairie.org</t>
  </si>
  <si>
    <t>509-467-9517</t>
  </si>
  <si>
    <t>Great Northern School District</t>
  </si>
  <si>
    <t>Great Northern Elementary</t>
  </si>
  <si>
    <t>3115 N SPOTTED RD</t>
  </si>
  <si>
    <t>SPOKANE</t>
  </si>
  <si>
    <t>99224-0000</t>
  </si>
  <si>
    <t>Glenn K Frizzell</t>
  </si>
  <si>
    <t>gfrizz@aol.com</t>
  </si>
  <si>
    <t>(509)747-7714</t>
  </si>
  <si>
    <t>Nine Mile Falls Elementary</t>
  </si>
  <si>
    <t>10102 W. Charles Rd</t>
  </si>
  <si>
    <t>99026-9624</t>
  </si>
  <si>
    <t>Peter  Elzey</t>
  </si>
  <si>
    <t>pelzey@9mile.org</t>
  </si>
  <si>
    <t>509.340.4010</t>
  </si>
  <si>
    <t>Lake Spokane Elementary</t>
  </si>
  <si>
    <t>6015 Hwy 291</t>
  </si>
  <si>
    <t>99026-9579</t>
  </si>
  <si>
    <t>Tim  Smith</t>
  </si>
  <si>
    <t>tsmith@9mile.org</t>
  </si>
  <si>
    <t>509.340.4040</t>
  </si>
  <si>
    <t>Lakeside High School</t>
  </si>
  <si>
    <t>5909 Hwy 291</t>
  </si>
  <si>
    <t>99026-0000</t>
  </si>
  <si>
    <t>Brent  Osborn</t>
  </si>
  <si>
    <t>Lakeside Middle School</t>
  </si>
  <si>
    <t>6169 Highway 291</t>
  </si>
  <si>
    <t>Keith  Browning</t>
  </si>
  <si>
    <t>keithbrowning@9mile.org</t>
  </si>
  <si>
    <t>509.340.4100</t>
  </si>
  <si>
    <t>Medical Lake School District</t>
  </si>
  <si>
    <t>Medical Lake High School</t>
  </si>
  <si>
    <t>Medical Lake</t>
  </si>
  <si>
    <t>99022-0128</t>
  </si>
  <si>
    <t>Christopher  Spring</t>
  </si>
  <si>
    <t>cspring@mlsd.org</t>
  </si>
  <si>
    <t>509.565.3200</t>
  </si>
  <si>
    <t>Martin Hall Detention Ctr</t>
  </si>
  <si>
    <t>201 S. Pine St.</t>
  </si>
  <si>
    <t>(509) 447-2451</t>
  </si>
  <si>
    <t>Medical Lake Middle School</t>
  </si>
  <si>
    <t>Sylvia  Campbell</t>
  </si>
  <si>
    <t>scampbell@mlsd.org</t>
  </si>
  <si>
    <t>509.565.3300</t>
  </si>
  <si>
    <t>Hallett Elementary</t>
  </si>
  <si>
    <t>KRISTIN  KUSTER</t>
  </si>
  <si>
    <t>kkuster@mlsd.org</t>
  </si>
  <si>
    <t>509.565.3400</t>
  </si>
  <si>
    <t>Mead Education Partnership Prog</t>
  </si>
  <si>
    <t>8621 N FIVE MILE ROAD</t>
  </si>
  <si>
    <t>BRUCE  OLGARD</t>
  </si>
  <si>
    <t>bruce.olgard@mead354.org</t>
  </si>
  <si>
    <t>509.465.7400</t>
  </si>
  <si>
    <t>Mead Senior High School</t>
  </si>
  <si>
    <t>302 W HASTINGS RD</t>
  </si>
  <si>
    <t>99218-2598</t>
  </si>
  <si>
    <t>Teresa  Laher</t>
  </si>
  <si>
    <t>teresa.laher@mead354.org</t>
  </si>
  <si>
    <t>509.465.7000</t>
  </si>
  <si>
    <t>Mountainside Middle School</t>
  </si>
  <si>
    <t>4717 E Day Mt. Spokane Rd</t>
  </si>
  <si>
    <t>COLBERT</t>
  </si>
  <si>
    <t>CRAIG  BUSCH</t>
  </si>
  <si>
    <t>craig.busch@mead354.org</t>
  </si>
  <si>
    <t>215 W EDDY</t>
  </si>
  <si>
    <t>99208-5908</t>
  </si>
  <si>
    <t>Michael  Danford</t>
  </si>
  <si>
    <t>michael.danford@mead354.org</t>
  </si>
  <si>
    <t>509.465.6400</t>
  </si>
  <si>
    <t>Colbert Elementary School</t>
  </si>
  <si>
    <t>4625 E GREENBLUFF RD</t>
  </si>
  <si>
    <t>99005-9654</t>
  </si>
  <si>
    <t>Rob  Haugen</t>
  </si>
  <si>
    <t>rob.haugen@mead354.org</t>
  </si>
  <si>
    <t>509.465.6300</t>
  </si>
  <si>
    <t>Brentwood Elementary School</t>
  </si>
  <si>
    <t>406 W REGINA AVE</t>
  </si>
  <si>
    <t>99218-2898</t>
  </si>
  <si>
    <t>Justiin  Valentine</t>
  </si>
  <si>
    <t>Justin.valentine@mead354.org</t>
  </si>
  <si>
    <t>509.465.6200</t>
  </si>
  <si>
    <t>Farwell Elementary School</t>
  </si>
  <si>
    <t>13005 N CRESTLINE</t>
  </si>
  <si>
    <t>99208-9598</t>
  </si>
  <si>
    <t>BARB  PYBUS</t>
  </si>
  <si>
    <t>barb.pybus@mead354.org</t>
  </si>
  <si>
    <t>509.465.6500</t>
  </si>
  <si>
    <t>12908 N PITTSBURG ST</t>
  </si>
  <si>
    <t>99208-9505</t>
  </si>
  <si>
    <t>DAVE  STENERSEN</t>
  </si>
  <si>
    <t>dave.stenersen@mead354.org</t>
  </si>
  <si>
    <t>509.465.7500</t>
  </si>
  <si>
    <t>821 E MIDWAY RD</t>
  </si>
  <si>
    <t>99005-9612</t>
  </si>
  <si>
    <t>Josh  Westermann</t>
  </si>
  <si>
    <t>josh.westermann@mead354.org</t>
  </si>
  <si>
    <t>509.465.6700</t>
  </si>
  <si>
    <t>Shiloh Hills Elementary</t>
  </si>
  <si>
    <t>13120 N PITTSBURG ST</t>
  </si>
  <si>
    <t>99208-5747</t>
  </si>
  <si>
    <t>Laura  Duchow</t>
  </si>
  <si>
    <t>laura.duchow@mead354.org</t>
  </si>
  <si>
    <t>509.465.6800</t>
  </si>
  <si>
    <t>Meadow Ridge Elementary</t>
  </si>
  <si>
    <t>15601 N FREYA ST</t>
  </si>
  <si>
    <t>MEAD</t>
  </si>
  <si>
    <t>99021-9342</t>
  </si>
  <si>
    <t>Shawn  Worstell</t>
  </si>
  <si>
    <t>shawn.worstell@mead354.org</t>
  </si>
  <si>
    <t>509.465.6600</t>
  </si>
  <si>
    <t>Mt Spokane High School</t>
  </si>
  <si>
    <t>6015 E MT. SPOKANE PARK DR</t>
  </si>
  <si>
    <t>99021-9468</t>
  </si>
  <si>
    <t>Darren  Nelson</t>
  </si>
  <si>
    <t>darren.nelson@mead354.org</t>
  </si>
  <si>
    <t>509.465.7210</t>
  </si>
  <si>
    <t>Opportunity Elementary</t>
  </si>
  <si>
    <t>1109 S Wilbur Rd</t>
  </si>
  <si>
    <t>99206-5459</t>
  </si>
  <si>
    <t>Mandi  Larson</t>
  </si>
  <si>
    <t>malarson@cvsd.org</t>
  </si>
  <si>
    <t>509.558.3552</t>
  </si>
  <si>
    <t>Greenacres Elementary</t>
  </si>
  <si>
    <t>17915 E 4th Ave</t>
  </si>
  <si>
    <t>99016-9740</t>
  </si>
  <si>
    <t>Lindsay  Kent</t>
  </si>
  <si>
    <t>lkent@cvsd.org</t>
  </si>
  <si>
    <t>509.558.4202</t>
  </si>
  <si>
    <t>North Pines Middle School</t>
  </si>
  <si>
    <t>701 N Pines Rd</t>
  </si>
  <si>
    <t>99206-4995</t>
  </si>
  <si>
    <t>Lora  Jackson</t>
  </si>
  <si>
    <t>lojackson@cvsd.org</t>
  </si>
  <si>
    <t>509.558.5022</t>
  </si>
  <si>
    <t>Broadway Elementary</t>
  </si>
  <si>
    <t>11016 E Broadway Ave</t>
  </si>
  <si>
    <t>99206-5006</t>
  </si>
  <si>
    <t>Lori  Johnson</t>
  </si>
  <si>
    <t>lojohnson@cvsd.org</t>
  </si>
  <si>
    <t>509.558.4102</t>
  </si>
  <si>
    <t>Progress Elementary School</t>
  </si>
  <si>
    <t>710 N Progress Rd</t>
  </si>
  <si>
    <t>99037-9585</t>
  </si>
  <si>
    <t>Matthew  Chisholm</t>
  </si>
  <si>
    <t>mchisholm@cvsd.org</t>
  </si>
  <si>
    <t>509.558.4502</t>
  </si>
  <si>
    <t>University Elementary School</t>
  </si>
  <si>
    <t>1613 S University Rd</t>
  </si>
  <si>
    <t>99206-5699</t>
  </si>
  <si>
    <t>Josh  Wolcott</t>
  </si>
  <si>
    <t>jwolcott@cvsd.org</t>
  </si>
  <si>
    <t>509.558.4652</t>
  </si>
  <si>
    <t>Central Valley High School</t>
  </si>
  <si>
    <t>821 S Sullivan Rd</t>
  </si>
  <si>
    <t>99037-8826</t>
  </si>
  <si>
    <t>Kerri  Ames</t>
  </si>
  <si>
    <t>kames@cvsd.org</t>
  </si>
  <si>
    <t>509.558.5102</t>
  </si>
  <si>
    <t>McDonald Elementary School</t>
  </si>
  <si>
    <t>1512 S McDonald Rd</t>
  </si>
  <si>
    <t>99216-0530</t>
  </si>
  <si>
    <t>Scott  Krentel</t>
  </si>
  <si>
    <t>skrentel@cvsd.org</t>
  </si>
  <si>
    <t>509.558.5394</t>
  </si>
  <si>
    <t>14707 E 8th Ave</t>
  </si>
  <si>
    <t>99037-9670</t>
  </si>
  <si>
    <t>Nicole   Karaus</t>
  </si>
  <si>
    <t>nkaraus@cvsd.org</t>
  </si>
  <si>
    <t>509.558.4002</t>
  </si>
  <si>
    <t>Bowdish Middle School</t>
  </si>
  <si>
    <t>2109 S Skipworth Rd</t>
  </si>
  <si>
    <t>99206-5661</t>
  </si>
  <si>
    <t>509.558.4702</t>
  </si>
  <si>
    <t>South Pines Elementary</t>
  </si>
  <si>
    <t>12021 E 24th Ave</t>
  </si>
  <si>
    <t>99206-5798</t>
  </si>
  <si>
    <t>Stan  Koep</t>
  </si>
  <si>
    <t>skoep@cvsd.org</t>
  </si>
  <si>
    <t>509.558.4402</t>
  </si>
  <si>
    <t>University High School</t>
  </si>
  <si>
    <t>12420 E 32nd Ave</t>
  </si>
  <si>
    <t>99216-0140</t>
  </si>
  <si>
    <t>Keven  Frandsen</t>
  </si>
  <si>
    <t>kfrandsen@cvsd.org</t>
  </si>
  <si>
    <t>509.558.6051</t>
  </si>
  <si>
    <t>Summit School</t>
  </si>
  <si>
    <t>13313 E Broadway Ave</t>
  </si>
  <si>
    <t>99216-1007</t>
  </si>
  <si>
    <t>Walt  Clemons</t>
  </si>
  <si>
    <t>wclemons@cvsd.org</t>
  </si>
  <si>
    <t>509.558.4252</t>
  </si>
  <si>
    <t>Greenacres Middle School</t>
  </si>
  <si>
    <t>17409 E Sprague Ave</t>
  </si>
  <si>
    <t>99016-9315</t>
  </si>
  <si>
    <t>Vern  DiGiovanni</t>
  </si>
  <si>
    <t>vdigiovanni@cvsd.org</t>
  </si>
  <si>
    <t>509.558.4862</t>
  </si>
  <si>
    <t>14221 E. 16th Avenue</t>
  </si>
  <si>
    <t>99037-8629</t>
  </si>
  <si>
    <t>Mike   Syron</t>
  </si>
  <si>
    <t>msyron@cvsd.org</t>
  </si>
  <si>
    <t>509.558.3717</t>
  </si>
  <si>
    <t>Mica Peak High School</t>
  </si>
  <si>
    <t>15111 E Sprague Ave</t>
  </si>
  <si>
    <t>99037-8579</t>
  </si>
  <si>
    <t>Kamiel  Youseph</t>
  </si>
  <si>
    <t>kyouseph@cvsd.org</t>
  </si>
  <si>
    <t>509.558.5952</t>
  </si>
  <si>
    <t>Chester Elementary School</t>
  </si>
  <si>
    <t>3525 S. Pines Road</t>
  </si>
  <si>
    <t>99206-5930</t>
  </si>
  <si>
    <t>Cindy  Sothen</t>
  </si>
  <si>
    <t>csothen@cvsd.org</t>
  </si>
  <si>
    <t>509.558.3152</t>
  </si>
  <si>
    <t>Ponderosa Elementary</t>
  </si>
  <si>
    <t>10105 E Cimmaron Dr</t>
  </si>
  <si>
    <t>99206-9670</t>
  </si>
  <si>
    <t>Sasha  Deyarmin</t>
  </si>
  <si>
    <t>sdeyarmin@cvsd.org</t>
  </si>
  <si>
    <t>509.558.6452</t>
  </si>
  <si>
    <t>10304 E 9th Ave</t>
  </si>
  <si>
    <t>99206-3574</t>
  </si>
  <si>
    <t>Sue  McCollum</t>
  </si>
  <si>
    <t>smccollum@cvsd.org</t>
  </si>
  <si>
    <t>509.558.3602</t>
  </si>
  <si>
    <t>Horizon Middle School</t>
  </si>
  <si>
    <t>3915 S Pines Rd</t>
  </si>
  <si>
    <t>99206-5926</t>
  </si>
  <si>
    <t>Jesse  Hardt</t>
  </si>
  <si>
    <t>jhardt@cvsd.org</t>
  </si>
  <si>
    <t>509.558.4942</t>
  </si>
  <si>
    <t>Liberty Lake Elementary</t>
  </si>
  <si>
    <t>23606 E Boone Ave</t>
  </si>
  <si>
    <t>99019-9719</t>
  </si>
  <si>
    <t>Jennifer  Tesky</t>
  </si>
  <si>
    <t>jtesky@cvsd.org</t>
  </si>
  <si>
    <t>509.558.4302</t>
  </si>
  <si>
    <t>Freeman School District</t>
  </si>
  <si>
    <t>Freeman High School</t>
  </si>
  <si>
    <t>S 14626 Jackson</t>
  </si>
  <si>
    <t>Rockford</t>
  </si>
  <si>
    <t>99030-9755</t>
  </si>
  <si>
    <t>Jim  Straw</t>
  </si>
  <si>
    <t>jstraw@freemansd.org</t>
  </si>
  <si>
    <t>509.291.3721 ext.200</t>
  </si>
  <si>
    <t>Freeman Elementary School</t>
  </si>
  <si>
    <t>14917 S Jackson Road</t>
  </si>
  <si>
    <t>Lisa A Phelan</t>
  </si>
  <si>
    <t>lphelan@freemansd.org</t>
  </si>
  <si>
    <t>509.291.4791</t>
  </si>
  <si>
    <t>Three Springs High School</t>
  </si>
  <si>
    <t>520 FOURTH STREET</t>
  </si>
  <si>
    <t>CHENEY</t>
  </si>
  <si>
    <t>99004-1616</t>
  </si>
  <si>
    <t>Troy   Heuett</t>
  </si>
  <si>
    <t>509.559.4006</t>
  </si>
  <si>
    <t>Cheney Middle School</t>
  </si>
  <si>
    <t>740 Betz</t>
  </si>
  <si>
    <t>99004-2181</t>
  </si>
  <si>
    <t>Mike  Stark</t>
  </si>
  <si>
    <t>mstark@cheneysd.org</t>
  </si>
  <si>
    <t>509.559.4409</t>
  </si>
  <si>
    <t>12824 W 12th St</t>
  </si>
  <si>
    <t>AIRWAY HEIGHTS</t>
  </si>
  <si>
    <t>99001-1869</t>
  </si>
  <si>
    <t>Ty  McGregor</t>
  </si>
  <si>
    <t>tmcgregor@cheneysd.org</t>
  </si>
  <si>
    <t>509.559.4601</t>
  </si>
  <si>
    <t>Betz Elementary</t>
  </si>
  <si>
    <t>317 N 7TH</t>
  </si>
  <si>
    <t>Carla  Hudson</t>
  </si>
  <si>
    <t>chudson@cheneysd.org</t>
  </si>
  <si>
    <t>509.559.4801</t>
  </si>
  <si>
    <t>Windsor Elementary</t>
  </si>
  <si>
    <t>5504 W HALLETT RD</t>
  </si>
  <si>
    <t>99224-5625</t>
  </si>
  <si>
    <t>Vince  Songaylo</t>
  </si>
  <si>
    <t>vsongaylo@cheneysd.org</t>
  </si>
  <si>
    <t>509.559.4201</t>
  </si>
  <si>
    <t>Cheney High School</t>
  </si>
  <si>
    <t>460 N SIXTH ST</t>
  </si>
  <si>
    <t>99004-2297</t>
  </si>
  <si>
    <t>509.559.4001</t>
  </si>
  <si>
    <t>Salnave Elementary</t>
  </si>
  <si>
    <t>1015 SALNAVE ROAD</t>
  </si>
  <si>
    <t>99004-1299</t>
  </si>
  <si>
    <t>Celina  Brennan</t>
  </si>
  <si>
    <t>cbrennan@cheneysd.org</t>
  </si>
  <si>
    <t>509.559.4701</t>
  </si>
  <si>
    <t>Continuous Curriculum School</t>
  </si>
  <si>
    <t>16924 E Wellesley</t>
  </si>
  <si>
    <t>99216-1558</t>
  </si>
  <si>
    <t>Steve  Pointer</t>
  </si>
  <si>
    <t>pointers@evsd.org</t>
  </si>
  <si>
    <t>509.241.5500</t>
  </si>
  <si>
    <t>Trent School</t>
  </si>
  <si>
    <t>3303 N PINES RD</t>
  </si>
  <si>
    <t>SPOKANE VALLEY</t>
  </si>
  <si>
    <t>99206-4612</t>
  </si>
  <si>
    <t>Brandon  Dunn</t>
  </si>
  <si>
    <t>dunnb@evsd.org</t>
  </si>
  <si>
    <t>509.241.5600</t>
  </si>
  <si>
    <t>Otis Orchards School</t>
  </si>
  <si>
    <t>22000 E WELLESLEY AVE</t>
  </si>
  <si>
    <t>OTIS ORCHARDS</t>
  </si>
  <si>
    <t>99027-9235</t>
  </si>
  <si>
    <t>Cheryl  Henjum</t>
  </si>
  <si>
    <t>henjumc@evsd.org</t>
  </si>
  <si>
    <t>509.924.9823</t>
  </si>
  <si>
    <t>Trentwood School</t>
  </si>
  <si>
    <t>14701 E WELLESLEY AVE</t>
  </si>
  <si>
    <t>99216-1419</t>
  </si>
  <si>
    <t>Barbara  Cruse</t>
  </si>
  <si>
    <t>cruseb@evsd.org</t>
  </si>
  <si>
    <t>509.927.3215</t>
  </si>
  <si>
    <t>East Valley High School</t>
  </si>
  <si>
    <t>15711 E Wellesley Ave</t>
  </si>
  <si>
    <t>99216-1596</t>
  </si>
  <si>
    <t>East Farms STEAM School</t>
  </si>
  <si>
    <t>26203 E Rowan</t>
  </si>
  <si>
    <t>Newman Lake</t>
  </si>
  <si>
    <t>99025-9632</t>
  </si>
  <si>
    <t>Rachel  Schuerman</t>
  </si>
  <si>
    <t>schuermanr@evsd.org</t>
  </si>
  <si>
    <t>509.226.3039</t>
  </si>
  <si>
    <t>Liberty School District</t>
  </si>
  <si>
    <t>Liberty High School</t>
  </si>
  <si>
    <t>6404 E SPANGLE-WAVERLY RD</t>
  </si>
  <si>
    <t>SPANGLE</t>
  </si>
  <si>
    <t>99031-9797</t>
  </si>
  <si>
    <t>Aaron  Fletcher</t>
  </si>
  <si>
    <t>afletcher@liberty.wednet.edu</t>
  </si>
  <si>
    <t>509.245.3229</t>
  </si>
  <si>
    <t>Liberty Jr High &amp; Elementary</t>
  </si>
  <si>
    <t>29818 S NORTH PINE CREEK RD</t>
  </si>
  <si>
    <t>Brett  Baum</t>
  </si>
  <si>
    <t>Bbaum@libertysd.us</t>
  </si>
  <si>
    <t>509.624.4415</t>
  </si>
  <si>
    <t>Dishman Hills High School</t>
  </si>
  <si>
    <t>115 S University</t>
  </si>
  <si>
    <t>99206-0000</t>
  </si>
  <si>
    <t>Lauren  House</t>
  </si>
  <si>
    <t>lauren.house@wvsd.org</t>
  </si>
  <si>
    <t>509.927.1100</t>
  </si>
  <si>
    <t>West Valley City School</t>
  </si>
  <si>
    <t>8920 E VALLEYWAY</t>
  </si>
  <si>
    <t>99212-0000</t>
  </si>
  <si>
    <t>Dusty  Andres</t>
  </si>
  <si>
    <t>dusty.andres@wvsd.org</t>
  </si>
  <si>
    <t>509.921.2836</t>
  </si>
  <si>
    <t>Spokane Valley High School</t>
  </si>
  <si>
    <t>2011 N HUTCHINSON</t>
  </si>
  <si>
    <t>Larry  Bush</t>
  </si>
  <si>
    <t>larry.bush@wvsd.org</t>
  </si>
  <si>
    <t>509.922.5475</t>
  </si>
  <si>
    <t>Spokane Valley Transition School</t>
  </si>
  <si>
    <t>2011 N HUTCHINSON RD</t>
  </si>
  <si>
    <t>Millwood Kindergarten Center</t>
  </si>
  <si>
    <t>8818 E GRACE</t>
  </si>
  <si>
    <t>Lisa  Skay</t>
  </si>
  <si>
    <t>lisa.skay@wvsd.org</t>
  </si>
  <si>
    <t>Seth Woodard Elementary</t>
  </si>
  <si>
    <t>7401 E MISSION</t>
  </si>
  <si>
    <t>Mike  Lollar</t>
  </si>
  <si>
    <t>mike.lollar@wvsd.org</t>
  </si>
  <si>
    <t>509.921.2160</t>
  </si>
  <si>
    <t>Orchard Center Elementary</t>
  </si>
  <si>
    <t>7519 E BUCKEYE</t>
  </si>
  <si>
    <t>Barb  Knauss</t>
  </si>
  <si>
    <t>barb.knauss@wvsd.org</t>
  </si>
  <si>
    <t>509.922.5473</t>
  </si>
  <si>
    <t>Pasadena Park Elementary</t>
  </si>
  <si>
    <t>8508 E UPRIVER DRIVE</t>
  </si>
  <si>
    <t>Brad  Liberg</t>
  </si>
  <si>
    <t>brad.liberg@wvsd.org</t>
  </si>
  <si>
    <t>509.922.5480</t>
  </si>
  <si>
    <t>West Valley High School</t>
  </si>
  <si>
    <t>8301 E BUCKEYE</t>
  </si>
  <si>
    <t>John  Custer</t>
  </si>
  <si>
    <t>john.custer@wvsd.org</t>
  </si>
  <si>
    <t>509.922.5488</t>
  </si>
  <si>
    <t>Ness Elementary</t>
  </si>
  <si>
    <t>9612 E CATALDO</t>
  </si>
  <si>
    <t>Theresa  Kendall</t>
  </si>
  <si>
    <t>theresa.kendall@wvsd.org</t>
  </si>
  <si>
    <t>509.922.5470</t>
  </si>
  <si>
    <t>915 N ELLA RD</t>
  </si>
  <si>
    <t>Karen  Bromps</t>
  </si>
  <si>
    <t>karen.bromps@wvsd.org</t>
  </si>
  <si>
    <t>509.922.5482</t>
  </si>
  <si>
    <t>Deer Park School District</t>
  </si>
  <si>
    <t>Deer Park Home Link Program</t>
  </si>
  <si>
    <t>N. 428 Main Street</t>
  </si>
  <si>
    <t>Deer Park</t>
  </si>
  <si>
    <t>99006-0000</t>
  </si>
  <si>
    <t>Molly  Murphy</t>
  </si>
  <si>
    <t>molly.murphy@dpsdmail.org</t>
  </si>
  <si>
    <t>509.468.3357</t>
  </si>
  <si>
    <t>Arcadia Elementary</t>
  </si>
  <si>
    <t>E. 1120 "D" Street</t>
  </si>
  <si>
    <t>P.O. Box 610</t>
  </si>
  <si>
    <t>99006-0610</t>
  </si>
  <si>
    <t>Michele  Miller</t>
  </si>
  <si>
    <t>michele.miller@dpsdmail.org</t>
  </si>
  <si>
    <t>509.464.5700</t>
  </si>
  <si>
    <t>Deer Park Elementary</t>
  </si>
  <si>
    <t>E. 1500 "D" Street</t>
  </si>
  <si>
    <t>99006-0609</t>
  </si>
  <si>
    <t>Russ  Lodge</t>
  </si>
  <si>
    <t>russ.lodge@dpsdmail.org</t>
  </si>
  <si>
    <t>509.464.5600</t>
  </si>
  <si>
    <t>Deer Park Middle School</t>
  </si>
  <si>
    <t>S. 347 Colville Ave.</t>
  </si>
  <si>
    <t>99006-0882</t>
  </si>
  <si>
    <t>Tim  Olietti</t>
  </si>
  <si>
    <t>tim.olietti@dpsdmail.org</t>
  </si>
  <si>
    <t>509.464.5800</t>
  </si>
  <si>
    <t>Deer Park High School</t>
  </si>
  <si>
    <t>S. 800 Weber Road</t>
  </si>
  <si>
    <t>99006-0550</t>
  </si>
  <si>
    <t>Joe  Feist</t>
  </si>
  <si>
    <t>joe.feist@dpsdmail.org</t>
  </si>
  <si>
    <t>509.468.3507</t>
  </si>
  <si>
    <t>Riverside School District</t>
  </si>
  <si>
    <t>Chattaroy Elementary</t>
  </si>
  <si>
    <t>25717 N. Yale Rd.</t>
  </si>
  <si>
    <t>Chattaroy</t>
  </si>
  <si>
    <t>99003-9643</t>
  </si>
  <si>
    <t>Travis  Cross</t>
  </si>
  <si>
    <t>travis.cross@rsdmail.org</t>
  </si>
  <si>
    <t>509.464.8250</t>
  </si>
  <si>
    <t>Riverside Middle School</t>
  </si>
  <si>
    <t>3814 E. Deer Park/Milan Rd.</t>
  </si>
  <si>
    <t>99003-9733</t>
  </si>
  <si>
    <t>Phil  Johnson</t>
  </si>
  <si>
    <t>phil.johnson@rsdmail.org</t>
  </si>
  <si>
    <t>509.464.8450</t>
  </si>
  <si>
    <t>Riverside Elementary</t>
  </si>
  <si>
    <t>3802 East Deer Park-Milan Rd.</t>
  </si>
  <si>
    <t>Samantha  Griggs</t>
  </si>
  <si>
    <t>samantha.griggs@rsdmail.org</t>
  </si>
  <si>
    <t>509.464.8350</t>
  </si>
  <si>
    <t>Riverside High School</t>
  </si>
  <si>
    <t>4120 East Deer Park-Milan Rd.</t>
  </si>
  <si>
    <t>John  McCoy</t>
  </si>
  <si>
    <t>John.McCoy@rsdmail.org</t>
  </si>
  <si>
    <t>509.464.8552</t>
  </si>
  <si>
    <t>Onion Creek School District</t>
  </si>
  <si>
    <t>Onion Creek Elementary</t>
  </si>
  <si>
    <t>2006 Lotze Creek Rd</t>
  </si>
  <si>
    <t>99114-0000</t>
  </si>
  <si>
    <t>Rebekah   Angus</t>
  </si>
  <si>
    <t>rangus@ocsd30.org</t>
  </si>
  <si>
    <t>509.732.4240</t>
  </si>
  <si>
    <t>Quartzite Learning</t>
  </si>
  <si>
    <t>P.O. Box 47</t>
  </si>
  <si>
    <t>99109-0000</t>
  </si>
  <si>
    <t>509.685.6800 ext. 82129</t>
  </si>
  <si>
    <t>Jenkins Junior/Senior High</t>
  </si>
  <si>
    <t>P.O. Box 138</t>
  </si>
  <si>
    <t>Shawn   Anderson</t>
  </si>
  <si>
    <t>sanderson@chewelahk12.us</t>
  </si>
  <si>
    <t>509.685.6800 ext. 82001</t>
  </si>
  <si>
    <t>Gess Elementary</t>
  </si>
  <si>
    <t>P.O. Box 7</t>
  </si>
  <si>
    <t>99109-0007</t>
  </si>
  <si>
    <t>Julie   Price</t>
  </si>
  <si>
    <t>jprice@chewelahk12.us</t>
  </si>
  <si>
    <t>509.685.6800 ext. 84001</t>
  </si>
  <si>
    <t>Wellpinit High School</t>
  </si>
  <si>
    <t>99040-0390</t>
  </si>
  <si>
    <t>Kim  Ewing</t>
  </si>
  <si>
    <t>kewing@wellpinit.org</t>
  </si>
  <si>
    <t>509.258.4535</t>
  </si>
  <si>
    <t>Wellpinit Middle School</t>
  </si>
  <si>
    <t>99040-0204</t>
  </si>
  <si>
    <t>Valley School</t>
  </si>
  <si>
    <t>3034 Huffman Road</t>
  </si>
  <si>
    <t>Todd  Smith</t>
  </si>
  <si>
    <t>Todd.Smith@valleysd.org</t>
  </si>
  <si>
    <t>509.937.2827</t>
  </si>
  <si>
    <t>Panorama School</t>
  </si>
  <si>
    <t>225 South Hofstetter</t>
  </si>
  <si>
    <t>99114-3239</t>
  </si>
  <si>
    <t>kknight@colsd.org</t>
  </si>
  <si>
    <t>509.684.7840</t>
  </si>
  <si>
    <t>Hofstetter Elementary</t>
  </si>
  <si>
    <t>640 N Hofstetter St</t>
  </si>
  <si>
    <t>99114-9472</t>
  </si>
  <si>
    <t>Ann   McKern</t>
  </si>
  <si>
    <t>amckern@colsd.org</t>
  </si>
  <si>
    <t>509.684.7690</t>
  </si>
  <si>
    <t>Colville Senior High School</t>
  </si>
  <si>
    <t>154 Highway 20 E</t>
  </si>
  <si>
    <t>99114-9246</t>
  </si>
  <si>
    <t>Kevin  Knight</t>
  </si>
  <si>
    <t>509.684.7800</t>
  </si>
  <si>
    <t>Colville Junior High School</t>
  </si>
  <si>
    <t>990 S Cedar St</t>
  </si>
  <si>
    <t>99114-2632</t>
  </si>
  <si>
    <t>Chris   Burch</t>
  </si>
  <si>
    <t>chris.burch@colsd.org</t>
  </si>
  <si>
    <t>509.684.7820</t>
  </si>
  <si>
    <t>Fort Colville Elementary</t>
  </si>
  <si>
    <t>1212 E Ivy Ave</t>
  </si>
  <si>
    <t>99114-3400</t>
  </si>
  <si>
    <t>Brian   Cecil</t>
  </si>
  <si>
    <t>bcecil@colsd.org</t>
  </si>
  <si>
    <t>509.684.7830</t>
  </si>
  <si>
    <t>Loon Lake School District</t>
  </si>
  <si>
    <t>Loon Lake Elementary School</t>
  </si>
  <si>
    <t>4001 Maple Street</t>
  </si>
  <si>
    <t>Loon Lake</t>
  </si>
  <si>
    <t>99148-9761</t>
  </si>
  <si>
    <t>Bradley F Van Dyne</t>
  </si>
  <si>
    <t>bvandyne32@gmail.com</t>
  </si>
  <si>
    <t>509.233.2212</t>
  </si>
  <si>
    <t>Summit Valley School District</t>
  </si>
  <si>
    <t>Summit Valley School</t>
  </si>
  <si>
    <t>2360 Addy-Gifford Road</t>
  </si>
  <si>
    <t>Addy</t>
  </si>
  <si>
    <t>99101-0000</t>
  </si>
  <si>
    <t>William  Glidewell</t>
  </si>
  <si>
    <t>bglidewell@svalley.k12.wa.us</t>
  </si>
  <si>
    <t>(509) 935-6362</t>
  </si>
  <si>
    <t>Evergreen School District (Stevens)</t>
  </si>
  <si>
    <t>Evergreen School</t>
  </si>
  <si>
    <t>3342 Addy-Gifford Rd</t>
  </si>
  <si>
    <t>Gifford</t>
  </si>
  <si>
    <t>99131-9701</t>
  </si>
  <si>
    <t>Windy  Esvelt</t>
  </si>
  <si>
    <t>(509) 722-6384</t>
  </si>
  <si>
    <t>Columbia (Stevens) School District</t>
  </si>
  <si>
    <t>Columbia High And Elementary</t>
  </si>
  <si>
    <t>PO Box 7</t>
  </si>
  <si>
    <t>Hunters</t>
  </si>
  <si>
    <t>99137-0007</t>
  </si>
  <si>
    <t>Mindi  Hammill</t>
  </si>
  <si>
    <t>mhammill@columbia206.net</t>
  </si>
  <si>
    <t>509.722.3311</t>
  </si>
  <si>
    <t>Springdale Elementary</t>
  </si>
  <si>
    <t>99173-0159</t>
  </si>
  <si>
    <t>Dwayne  Watts</t>
  </si>
  <si>
    <t>dwatts@marywalker.org</t>
  </si>
  <si>
    <t>509.258.7357</t>
  </si>
  <si>
    <t>Mary Walker High School</t>
  </si>
  <si>
    <t>Matthew L Cobb</t>
  </si>
  <si>
    <t>mcobb@mwsd.k12.wa.us</t>
  </si>
  <si>
    <t>509.258.4533</t>
  </si>
  <si>
    <t>Springdale Middle School</t>
  </si>
  <si>
    <t>Northport School District</t>
  </si>
  <si>
    <t>Northport Elementary School</t>
  </si>
  <si>
    <t>PO Box 1280</t>
  </si>
  <si>
    <t>Northport</t>
  </si>
  <si>
    <t>99157-1280</t>
  </si>
  <si>
    <t>Donald  Baribault</t>
  </si>
  <si>
    <t>509.732.4251</t>
  </si>
  <si>
    <t>Northport High School</t>
  </si>
  <si>
    <t>Don  Baribault</t>
  </si>
  <si>
    <t>dbaribault@northportschools.org</t>
  </si>
  <si>
    <t>Kettle Falls Elementary School</t>
  </si>
  <si>
    <t>KETTLE FALLS</t>
  </si>
  <si>
    <t>Valerie  McKern</t>
  </si>
  <si>
    <t>vmckern@kfschools.org</t>
  </si>
  <si>
    <t>509.738.6725</t>
  </si>
  <si>
    <t>Kettle Falls Middle School</t>
  </si>
  <si>
    <t>Tracy  Vining</t>
  </si>
  <si>
    <t>tvining@kfschools.org</t>
  </si>
  <si>
    <t>509.738.6014</t>
  </si>
  <si>
    <t>Kettle Falls High School</t>
  </si>
  <si>
    <t>Curtis  Corvino</t>
  </si>
  <si>
    <t>ccorvino@kfschools.org</t>
  </si>
  <si>
    <t>Yelm School District</t>
  </si>
  <si>
    <t>Yelm Extension School</t>
  </si>
  <si>
    <t>PO Box 476</t>
  </si>
  <si>
    <t>Yelm</t>
  </si>
  <si>
    <t>98597-0476</t>
  </si>
  <si>
    <t>LAURA  CONKLIN</t>
  </si>
  <si>
    <t>LAURA_CONKLIN@YCS.WEDNET.EDU</t>
  </si>
  <si>
    <t>360.458.7777</t>
  </si>
  <si>
    <t>McKenna Elementary</t>
  </si>
  <si>
    <t>KARI  MARTIN</t>
  </si>
  <si>
    <t>KARI_MARTIN@YCS.WEDNET.EDU</t>
  </si>
  <si>
    <t>360.458.2400</t>
  </si>
  <si>
    <t>Yelm Middle School</t>
  </si>
  <si>
    <t>STEPHEN  ROOD</t>
  </si>
  <si>
    <t>STEPHEN_ROOD@YCS.WEDNET.EDU</t>
  </si>
  <si>
    <t>360.458.3600</t>
  </si>
  <si>
    <t>Yelm High School 12</t>
  </si>
  <si>
    <t>JOHN  JOHNSON</t>
  </si>
  <si>
    <t>JOHN_JOHNSON@YCS.WEDNET.EDU</t>
  </si>
  <si>
    <t>Southworth Elementary</t>
  </si>
  <si>
    <t>CHARLES  COOK</t>
  </si>
  <si>
    <t>CHARLES_COOK@YCS.WEDNET.EDU</t>
  </si>
  <si>
    <t>360.458.2500</t>
  </si>
  <si>
    <t>Yelm Prairie Elementary</t>
  </si>
  <si>
    <t>PO BOX 476</t>
  </si>
  <si>
    <t>98597-9638</t>
  </si>
  <si>
    <t>Debbie  McLaren</t>
  </si>
  <si>
    <t>deborah_mclaren@ycs.wednet.edu</t>
  </si>
  <si>
    <t>360.458.3700</t>
  </si>
  <si>
    <t>Fort Stevens Elementary</t>
  </si>
  <si>
    <t>LISA  CROWELL</t>
  </si>
  <si>
    <t>LISA_CROWELL@YCS.WEDNET.EDU</t>
  </si>
  <si>
    <t>360.458.4800</t>
  </si>
  <si>
    <t>Mill Pond Elementary School</t>
  </si>
  <si>
    <t>JERI  LIPE</t>
  </si>
  <si>
    <t>JERI_LIPE@YCS.WEDNET.EDU</t>
  </si>
  <si>
    <t>360.458.3400</t>
  </si>
  <si>
    <t>South Bay Elementary</t>
  </si>
  <si>
    <t>3845 Sleater Kinney Rd NE</t>
  </si>
  <si>
    <t>98506-2699</t>
  </si>
  <si>
    <t>Amelia  Richardson</t>
  </si>
  <si>
    <t>arichardson@nthurston.k12.wa.us</t>
  </si>
  <si>
    <t>360.412.4640</t>
  </si>
  <si>
    <t>North Thurston High School</t>
  </si>
  <si>
    <t>600 Sleater Kinney Rd NE</t>
  </si>
  <si>
    <t>98506-5257</t>
  </si>
  <si>
    <t>Charles Nick Greenwell</t>
  </si>
  <si>
    <t>ngreenwell@nthurston.k12.wa.us</t>
  </si>
  <si>
    <t>360.412.4805</t>
  </si>
  <si>
    <t>1900 College St SE</t>
  </si>
  <si>
    <t>98503-7099</t>
  </si>
  <si>
    <t>Heather  McCarthy</t>
  </si>
  <si>
    <t>hmccarthy@nthurston.k12.wa.us</t>
  </si>
  <si>
    <t>360.412.4630</t>
  </si>
  <si>
    <t>Lydia Hawk Elementary</t>
  </si>
  <si>
    <t>7600 5th Ave SE</t>
  </si>
  <si>
    <t>98503-1598</t>
  </si>
  <si>
    <t>Kathleen  Delpino</t>
  </si>
  <si>
    <t>kdelpino@nthurston.k12.wa.us</t>
  </si>
  <si>
    <t>360.412.4610</t>
  </si>
  <si>
    <t>4301 6th Ave NE</t>
  </si>
  <si>
    <t>98516-6398</t>
  </si>
  <si>
    <t>Kirsten  Rue</t>
  </si>
  <si>
    <t>krue@nthurston.k12.wa.us</t>
  </si>
  <si>
    <t>360.412.4760</t>
  </si>
  <si>
    <t>Lakes Elementary School</t>
  </si>
  <si>
    <t>6211 Mullen Rd SE</t>
  </si>
  <si>
    <t>98503-7198</t>
  </si>
  <si>
    <t>Jami  Roberts</t>
  </si>
  <si>
    <t>jroberts@nthurston.k12.wa.us</t>
  </si>
  <si>
    <t>360.412.4600</t>
  </si>
  <si>
    <t>Nisqually Middle School</t>
  </si>
  <si>
    <t>8100 Steilacoom Rd SE</t>
  </si>
  <si>
    <t>98503-1998</t>
  </si>
  <si>
    <t>David   Crane</t>
  </si>
  <si>
    <t>dcrane@nthurston.k12.wa.us</t>
  </si>
  <si>
    <t>360.412.4770</t>
  </si>
  <si>
    <t>Lacey Elementary</t>
  </si>
  <si>
    <t>1800 Homann Dr SE</t>
  </si>
  <si>
    <t>98503-2844</t>
  </si>
  <si>
    <t>Sharon  McGourty</t>
  </si>
  <si>
    <t>smcgourty@nthurston.k12.wa.us</t>
  </si>
  <si>
    <t>360.412.4650</t>
  </si>
  <si>
    <t>Olympic View Elementary</t>
  </si>
  <si>
    <t>1330 Horne Ave NE</t>
  </si>
  <si>
    <t>98516-5672</t>
  </si>
  <si>
    <t>Jason  Greer</t>
  </si>
  <si>
    <t>jgreer@nthurston.k12.wa.us</t>
  </si>
  <si>
    <t>360.412.4660</t>
  </si>
  <si>
    <t>Timberline High School</t>
  </si>
  <si>
    <t>6120 Mullen Rd SE</t>
  </si>
  <si>
    <t>98503-7199</t>
  </si>
  <si>
    <t>Paul  Dean</t>
  </si>
  <si>
    <t>pdean@nthurston.k12.wa.us</t>
  </si>
  <si>
    <t>360.412.4860</t>
  </si>
  <si>
    <t>Evergreen Forest Elementary</t>
  </si>
  <si>
    <t>3025 Marvin Rd SE</t>
  </si>
  <si>
    <t>98503-4255</t>
  </si>
  <si>
    <t>Stephanie  Hollinger</t>
  </si>
  <si>
    <t>shollinger@nthurston.k12.wa.us</t>
  </si>
  <si>
    <t>360.412.4670</t>
  </si>
  <si>
    <t>4630 Carpenter Rd SE</t>
  </si>
  <si>
    <t>98503-4499</t>
  </si>
  <si>
    <t>Casey  Crawford</t>
  </si>
  <si>
    <t>ccrawford1@nthurston.k12.wa.us</t>
  </si>
  <si>
    <t>360.412.4680</t>
  </si>
  <si>
    <t>Meadows Elementary</t>
  </si>
  <si>
    <t>836 Deerbrush Dr SE</t>
  </si>
  <si>
    <t>98513-2174</t>
  </si>
  <si>
    <t>Angie  DeAguiar</t>
  </si>
  <si>
    <t>adeaguiar@nthurston.k12.wa.us</t>
  </si>
  <si>
    <t>360.412.4690</t>
  </si>
  <si>
    <t>Pleasant Glade Elementary</t>
  </si>
  <si>
    <t>1920 Abernethy Rd NE</t>
  </si>
  <si>
    <t>98516-3776</t>
  </si>
  <si>
    <t>Andrew  Pitman</t>
  </si>
  <si>
    <t>apitman@nthurston.k12.wa.us</t>
  </si>
  <si>
    <t>360.412.4620</t>
  </si>
  <si>
    <t>South Sound High School</t>
  </si>
  <si>
    <t>411 College St NE</t>
  </si>
  <si>
    <t>Angela  Grizzle</t>
  </si>
  <si>
    <t>agrizzle@nthurston.k12.wa.us</t>
  </si>
  <si>
    <t>360.412.4880</t>
  </si>
  <si>
    <t>Seven Oaks Elementary</t>
  </si>
  <si>
    <t>1800 Seven Oaks Dr SE</t>
  </si>
  <si>
    <t>98503-7300</t>
  </si>
  <si>
    <t>Rebecca  Lee</t>
  </si>
  <si>
    <t>rlee@nthurston.k12.wa.us</t>
  </si>
  <si>
    <t>360.412.4700</t>
  </si>
  <si>
    <t>Horizons Elementary</t>
  </si>
  <si>
    <t>4601 67th Ave SE</t>
  </si>
  <si>
    <t>98513-4905</t>
  </si>
  <si>
    <t>Nate  Grygorewicz</t>
  </si>
  <si>
    <t>ngrygorcewicz@nthurston.k12.wa.us</t>
  </si>
  <si>
    <t>360.412.4710</t>
  </si>
  <si>
    <t>Komachin Middle School</t>
  </si>
  <si>
    <t>3650 College St SE</t>
  </si>
  <si>
    <t>98503-3530</t>
  </si>
  <si>
    <t>Deborah  Sarver</t>
  </si>
  <si>
    <t>dsarver@nthurston.k12.wa.us</t>
  </si>
  <si>
    <t>360.412.4740</t>
  </si>
  <si>
    <t>River Ridge High School</t>
  </si>
  <si>
    <t>350 River Ridge Drive SE</t>
  </si>
  <si>
    <t>Serenity  Malloy</t>
  </si>
  <si>
    <t>smalloy@nthurston.k12.wa.us</t>
  </si>
  <si>
    <t>360.412.4820</t>
  </si>
  <si>
    <t>Tumwater School District</t>
  </si>
  <si>
    <t>Cascadia High School</t>
  </si>
  <si>
    <t>7741 Littlerock Road SW</t>
  </si>
  <si>
    <t>98512-0000</t>
  </si>
  <si>
    <t>Dave  Meyers</t>
  </si>
  <si>
    <t>dave.meyers@tumwater.k12.wa.us</t>
  </si>
  <si>
    <t>360.709.7760</t>
  </si>
  <si>
    <t>Michael T Simmons Elementary</t>
  </si>
  <si>
    <t>1205 2nd Avenue SW</t>
  </si>
  <si>
    <t>Elliott  Hedin</t>
  </si>
  <si>
    <t>eliott.hedin@tumwater.k12.wa.us</t>
  </si>
  <si>
    <t>360.709.7100</t>
  </si>
  <si>
    <t>Littlerock Elementary School</t>
  </si>
  <si>
    <t>12710 Littlerock Rd SW</t>
  </si>
  <si>
    <t>Glenn  Spinnie</t>
  </si>
  <si>
    <t>glenn.spinnie@tumwater.k12.wa.us</t>
  </si>
  <si>
    <t>360.709.7250</t>
  </si>
  <si>
    <t>Peter G Schmidt Elementary</t>
  </si>
  <si>
    <t>237 Dennis Street SE</t>
  </si>
  <si>
    <t>98501-0000</t>
  </si>
  <si>
    <t>Kimberly  Doughty</t>
  </si>
  <si>
    <t>kim.doughty@tumwater.k12.wa.us</t>
  </si>
  <si>
    <t>360.709.7200</t>
  </si>
  <si>
    <t>Tumwater High School</t>
  </si>
  <si>
    <t>700 Israel Road</t>
  </si>
  <si>
    <t>Jeff  Broome</t>
  </si>
  <si>
    <t>jeff.broome@tumwater.k12.wa.us</t>
  </si>
  <si>
    <t>360.709.7600</t>
  </si>
  <si>
    <t>Tumwater Middle School</t>
  </si>
  <si>
    <t>6335 Littlerock Road SW</t>
  </si>
  <si>
    <t>Jon  Wilcox</t>
  </si>
  <si>
    <t>jon.wilcox@tumwater.k12.wa.us</t>
  </si>
  <si>
    <t>360.709.7500</t>
  </si>
  <si>
    <t>Thurs Co Juv Det/Tumwater West E</t>
  </si>
  <si>
    <t>2801 32nd Avenue SW</t>
  </si>
  <si>
    <t>98512-6178</t>
  </si>
  <si>
    <t>Tammie  Jensen-Tabor</t>
  </si>
  <si>
    <t>tammie.jensen-tabor@tumwater.k12.wa.us</t>
  </si>
  <si>
    <t>360.709.7040</t>
  </si>
  <si>
    <t>Black Lake Elementary</t>
  </si>
  <si>
    <t>6345 Belmore-Black Lake Road</t>
  </si>
  <si>
    <t>Misty  Hinkle</t>
  </si>
  <si>
    <t>misty.hinkle@tumwater.k12.wa.us</t>
  </si>
  <si>
    <t>360.709.7350</t>
  </si>
  <si>
    <t>New Market Skills Center</t>
  </si>
  <si>
    <t>7299 New Market Street</t>
  </si>
  <si>
    <t>Kris  Blum</t>
  </si>
  <si>
    <t>kris.blum@newmarketskills.com</t>
  </si>
  <si>
    <t>360.570.4500</t>
  </si>
  <si>
    <t>East Olympia Elementary</t>
  </si>
  <si>
    <t>8700 Rich Road</t>
  </si>
  <si>
    <t>Patricia  Kilmer</t>
  </si>
  <si>
    <t>patty.kilmer@tumwater.k12.wa.us</t>
  </si>
  <si>
    <t>360.709.7150</t>
  </si>
  <si>
    <t>Tumwater Hill Elementary</t>
  </si>
  <si>
    <t>3120 Ridgeview St SW</t>
  </si>
  <si>
    <t>Mandy  Jessee</t>
  </si>
  <si>
    <t>mandy.jessee@tumwater.k12.wa.us</t>
  </si>
  <si>
    <t>360.709.7300</t>
  </si>
  <si>
    <t>George Washington Bush Middle Sch</t>
  </si>
  <si>
    <t>2120 83rd Avenue SW</t>
  </si>
  <si>
    <t>Linda   O'Shaughnessy</t>
  </si>
  <si>
    <t>linda.oshaughnessy@tumwater.k12.wa.us</t>
  </si>
  <si>
    <t>360.709.7400</t>
  </si>
  <si>
    <t>A G West Black Hills High School</t>
  </si>
  <si>
    <t>Dave  Myers</t>
  </si>
  <si>
    <t>dave.myers@tumwater.k12.wa.us</t>
  </si>
  <si>
    <t>360.709.7800</t>
  </si>
  <si>
    <t>Olympia School District</t>
  </si>
  <si>
    <t>Avanti High School</t>
  </si>
  <si>
    <t>1113 LEGION WAY SE</t>
  </si>
  <si>
    <t>OLYMPIA</t>
  </si>
  <si>
    <t>98501-1652</t>
  </si>
  <si>
    <t>Michael Sean Velasquez</t>
  </si>
  <si>
    <t>mvelasquez@osd.wednet.edu</t>
  </si>
  <si>
    <t>360.596.7900</t>
  </si>
  <si>
    <t>213 21ST AVE SE</t>
  </si>
  <si>
    <t>98501-2927</t>
  </si>
  <si>
    <t>Marcella  Abadi</t>
  </si>
  <si>
    <t>mabadi@osd.wednet.edu</t>
  </si>
  <si>
    <t>360.596.6400</t>
  </si>
  <si>
    <t>325 PLYMOUTH ST NW</t>
  </si>
  <si>
    <t>98502-4986</t>
  </si>
  <si>
    <t>Brendon E Chertok</t>
  </si>
  <si>
    <t>bchertok@osd.wednet.edu</t>
  </si>
  <si>
    <t>360.596.6900</t>
  </si>
  <si>
    <t>Boston Harbor Elementary</t>
  </si>
  <si>
    <t>7300 ZANGLE RD NE</t>
  </si>
  <si>
    <t>98506-9799</t>
  </si>
  <si>
    <t>Jennifer S Brotherton</t>
  </si>
  <si>
    <t>jbrotherton@osd.wednet.edu</t>
  </si>
  <si>
    <t>360.596.6200</t>
  </si>
  <si>
    <t>McLane Elementary School</t>
  </si>
  <si>
    <t>200 DELPHI RD SW</t>
  </si>
  <si>
    <t>98502-9497</t>
  </si>
  <si>
    <t>Anthony  Brock</t>
  </si>
  <si>
    <t>abrock@osd.wednet.edu</t>
  </si>
  <si>
    <t>360.596.6600</t>
  </si>
  <si>
    <t>1417 SAN FRANCISCO AVE NE</t>
  </si>
  <si>
    <t>98506-4399</t>
  </si>
  <si>
    <t>Sean Michael Shaughnessy</t>
  </si>
  <si>
    <t>sshaughnessy@osd.wednet.edu</t>
  </si>
  <si>
    <t>360.596.6700</t>
  </si>
  <si>
    <t>Madison Elementary School</t>
  </si>
  <si>
    <t>1225 LEGION WAY SE</t>
  </si>
  <si>
    <t>98501-1654</t>
  </si>
  <si>
    <t>Domenico  Spatola Knoll</t>
  </si>
  <si>
    <t>dsknoll@osd.wednet.edu</t>
  </si>
  <si>
    <t>360.596.6300</t>
  </si>
  <si>
    <t>Olympia High School</t>
  </si>
  <si>
    <t>1302 NORTH ST SE</t>
  </si>
  <si>
    <t>98501-3697</t>
  </si>
  <si>
    <t>Matthew H Grant</t>
  </si>
  <si>
    <t>mgrant@osd.wednet.edu</t>
  </si>
  <si>
    <t>360.596.7000</t>
  </si>
  <si>
    <t>Jefferson Middle School</t>
  </si>
  <si>
    <t>2200 CONGER AVE NW</t>
  </si>
  <si>
    <t>98502-4589</t>
  </si>
  <si>
    <t>Michael Lewis Cimino</t>
  </si>
  <si>
    <t>mcimino@osd.wednet.edu</t>
  </si>
  <si>
    <t>360.596.3200</t>
  </si>
  <si>
    <t>Leland P Brown Elementary</t>
  </si>
  <si>
    <t>2000 26TH AVE NW</t>
  </si>
  <si>
    <t>98502-3906</t>
  </si>
  <si>
    <t>Charleen  Hayes</t>
  </si>
  <si>
    <t>chayes@osd.wednet.edu</t>
  </si>
  <si>
    <t>360.596.6800</t>
  </si>
  <si>
    <t>Reeves Middle School</t>
  </si>
  <si>
    <t>2200 QUINCE ST NE</t>
  </si>
  <si>
    <t>98506-3299</t>
  </si>
  <si>
    <t>Aaron  Davis</t>
  </si>
  <si>
    <t>gparks@osd.wednet.edu</t>
  </si>
  <si>
    <t>360.596.3400</t>
  </si>
  <si>
    <t>1655 CARLYON AVE SE</t>
  </si>
  <si>
    <t>98501-3624</t>
  </si>
  <si>
    <t>Joel  Lang</t>
  </si>
  <si>
    <t>jlang@osd.wednet.edu</t>
  </si>
  <si>
    <t>360.596.6500</t>
  </si>
  <si>
    <t>3100 CAIN RD SE</t>
  </si>
  <si>
    <t>98501-3899</t>
  </si>
  <si>
    <t>Paul A Anders</t>
  </si>
  <si>
    <t>panders@osd.wednet.edu</t>
  </si>
  <si>
    <t>360.596.3000</t>
  </si>
  <si>
    <t>Capital High School</t>
  </si>
  <si>
    <t>2707 CONGER AVE NW</t>
  </si>
  <si>
    <t>98502-4590</t>
  </si>
  <si>
    <t>Curtis  Cleveringa</t>
  </si>
  <si>
    <t>Ccleveringa@osd.wednet.edu</t>
  </si>
  <si>
    <t>360.596.8000</t>
  </si>
  <si>
    <t>Centennial Elementary Olympia</t>
  </si>
  <si>
    <t>2637 45TH AVE SE</t>
  </si>
  <si>
    <t>98501-4864</t>
  </si>
  <si>
    <t>Shannon L Ritter</t>
  </si>
  <si>
    <t>sritter@osd.wednet.edu</t>
  </si>
  <si>
    <t>McKenny Elementary</t>
  </si>
  <si>
    <t>3250 MORSE MERRYMAN RD SE</t>
  </si>
  <si>
    <t>98501-5934</t>
  </si>
  <si>
    <t>Michael R Havens</t>
  </si>
  <si>
    <t>mhavens@osd.wednet.edu</t>
  </si>
  <si>
    <t>360.596.8400</t>
  </si>
  <si>
    <t>Julia Butler Hansen Elementary</t>
  </si>
  <si>
    <t>1919 ROAD SIXTY FIVE NW</t>
  </si>
  <si>
    <t>98502-8511</t>
  </si>
  <si>
    <t>William "Billy"  Harris</t>
  </si>
  <si>
    <t>wiharris@osd.wednet.edu</t>
  </si>
  <si>
    <t>360.596.7400</t>
  </si>
  <si>
    <t>Thurgood Marshall Middle School</t>
  </si>
  <si>
    <t>3939 20TH AVE NW</t>
  </si>
  <si>
    <t>98502-8542</t>
  </si>
  <si>
    <t>Condee L Wood</t>
  </si>
  <si>
    <t>cowood@osd.wednet.edu</t>
  </si>
  <si>
    <t>360.596.7600</t>
  </si>
  <si>
    <t>Rainier School District</t>
  </si>
  <si>
    <t>PO Box 98</t>
  </si>
  <si>
    <t>Rainier</t>
  </si>
  <si>
    <t>98576-0098</t>
  </si>
  <si>
    <t>John  Beckman</t>
  </si>
  <si>
    <t>beckmanj@rainier.wednet.edu</t>
  </si>
  <si>
    <t>360.446.2206</t>
  </si>
  <si>
    <t>Rainier Senior High School</t>
  </si>
  <si>
    <t>360.446.2205</t>
  </si>
  <si>
    <t>P.O. Box 98</t>
  </si>
  <si>
    <t>Rita  Meldrum</t>
  </si>
  <si>
    <t>meldrumr@rainier.wednet.edu</t>
  </si>
  <si>
    <t>360.446.4020</t>
  </si>
  <si>
    <t>Griffin School District</t>
  </si>
  <si>
    <t>Griffin School</t>
  </si>
  <si>
    <t>6530 33rd Ave NW</t>
  </si>
  <si>
    <t>98502-8846</t>
  </si>
  <si>
    <t>Doug  Anderson</t>
  </si>
  <si>
    <t>danderson@griffinschool.us</t>
  </si>
  <si>
    <t>360.866.5904</t>
  </si>
  <si>
    <t>Rochester School District</t>
  </si>
  <si>
    <t>H.e.a.r.t. High School</t>
  </si>
  <si>
    <t>10140 Highway 12 SW</t>
  </si>
  <si>
    <t>Rochester</t>
  </si>
  <si>
    <t>98579-8621</t>
  </si>
  <si>
    <t>Matt  Ishler</t>
  </si>
  <si>
    <t>mishler@rochester.wednet.edu</t>
  </si>
  <si>
    <t>360.273.5536</t>
  </si>
  <si>
    <t>Rochester Primary School</t>
  </si>
  <si>
    <t>7440 James Rd</t>
  </si>
  <si>
    <t>98579-9356</t>
  </si>
  <si>
    <t>Amy  Roney</t>
  </si>
  <si>
    <t>aroney@rochester.wednet.edu</t>
  </si>
  <si>
    <t>360.273.5161</t>
  </si>
  <si>
    <t>Rochester Middle School</t>
  </si>
  <si>
    <t>9937 Highway 12 SW</t>
  </si>
  <si>
    <t>98579-0398</t>
  </si>
  <si>
    <t>William  Maus</t>
  </si>
  <si>
    <t>wmaus@rochester.wednet.edu</t>
  </si>
  <si>
    <t>360.273.5958</t>
  </si>
  <si>
    <t>Grand Mound Elementary</t>
  </si>
  <si>
    <t>7710 James Rd SW</t>
  </si>
  <si>
    <t>98579-9355</t>
  </si>
  <si>
    <t>Kelley Lynn Bremgartner</t>
  </si>
  <si>
    <t>kbremgartner@rochester.wednet.edu</t>
  </si>
  <si>
    <t>360.273.5512</t>
  </si>
  <si>
    <t>Rochester High School</t>
  </si>
  <si>
    <t>19800 Carper Rd SW</t>
  </si>
  <si>
    <t>98579-8601</t>
  </si>
  <si>
    <t>Tenino School District</t>
  </si>
  <si>
    <t>PO Box 4024</t>
  </si>
  <si>
    <t>Tenino</t>
  </si>
  <si>
    <t>98589-4024</t>
  </si>
  <si>
    <t>Brock  Williams</t>
  </si>
  <si>
    <t>williamsb@tenino.k12.wa.us</t>
  </si>
  <si>
    <t>360.264.3800</t>
  </si>
  <si>
    <t>Tenino High School</t>
  </si>
  <si>
    <t>Garry  Cameron</t>
  </si>
  <si>
    <t>camerong@tenino.k12.wa.us</t>
  </si>
  <si>
    <t>360.264.3500</t>
  </si>
  <si>
    <t>Tenino Middle School</t>
  </si>
  <si>
    <t>John  Neal</t>
  </si>
  <si>
    <t>nealj@tenino.k12.wa.us</t>
  </si>
  <si>
    <t>360.264.3600</t>
  </si>
  <si>
    <t>Tenino Elementary School</t>
  </si>
  <si>
    <t>Charly  Harrington</t>
  </si>
  <si>
    <t>harringtonc@tenino.k12.wa.us</t>
  </si>
  <si>
    <t>360.264.3720</t>
  </si>
  <si>
    <t>Wahkiakum School District</t>
  </si>
  <si>
    <t>Julius A Wendt Elementary/John C Thomas Middle School</t>
  </si>
  <si>
    <t>PO Box 398</t>
  </si>
  <si>
    <t>CATHLAMET</t>
  </si>
  <si>
    <t>98612-0398</t>
  </si>
  <si>
    <t>Nikkole  Reese</t>
  </si>
  <si>
    <t>nreese@wahksd.k12.wa.us</t>
  </si>
  <si>
    <t>360.795.3261</t>
  </si>
  <si>
    <t>Wahkiakum High School</t>
  </si>
  <si>
    <t>Stephanie  Leitz</t>
  </si>
  <si>
    <t>sleitz@wahksd.k12.wa.us</t>
  </si>
  <si>
    <t>360.795.3271</t>
  </si>
  <si>
    <t>Dixie School District</t>
  </si>
  <si>
    <t>Dixie Elementary School</t>
  </si>
  <si>
    <t>PO BOX 40</t>
  </si>
  <si>
    <t>DIXIE</t>
  </si>
  <si>
    <t>99329-0040</t>
  </si>
  <si>
    <t>Matt  Bona</t>
  </si>
  <si>
    <t>mbona@dixiesd.org</t>
  </si>
  <si>
    <t>509.525.5339</t>
  </si>
  <si>
    <t>Berney Elementary School</t>
  </si>
  <si>
    <t>1718 PLEASANT ST</t>
  </si>
  <si>
    <t>99362-3799</t>
  </si>
  <si>
    <t>Paula Michelle Carpenter</t>
  </si>
  <si>
    <t>mcarpenter@wwps.org</t>
  </si>
  <si>
    <t>509.526.8534</t>
  </si>
  <si>
    <t>Green Park Elementary School</t>
  </si>
  <si>
    <t>1105 E ISAACS AVE</t>
  </si>
  <si>
    <t>99362-2199</t>
  </si>
  <si>
    <t>Rick James Kline</t>
  </si>
  <si>
    <t>rkline@wwps.org</t>
  </si>
  <si>
    <t>509.527.3077</t>
  </si>
  <si>
    <t>Prospect Point Elementary</t>
  </si>
  <si>
    <t>55 RESER RD</t>
  </si>
  <si>
    <t>99362-8871</t>
  </si>
  <si>
    <t>Barbara Lynne Casey</t>
  </si>
  <si>
    <t>bcasey@wwps.org</t>
  </si>
  <si>
    <t>509.527.3088</t>
  </si>
  <si>
    <t>Edison Elementary School - Walla Walla</t>
  </si>
  <si>
    <t>1315 E ALDER ST</t>
  </si>
  <si>
    <t>99362-3598</t>
  </si>
  <si>
    <t>Jenny Rainwater Foster</t>
  </si>
  <si>
    <t>jfoster@wwps.org</t>
  </si>
  <si>
    <t>509.527.3072</t>
  </si>
  <si>
    <t>450 BRIDGE ST</t>
  </si>
  <si>
    <t>99362-3599</t>
  </si>
  <si>
    <t>Kristina Y Duncan</t>
  </si>
  <si>
    <t>kduncan@wwps.org</t>
  </si>
  <si>
    <t>509.527.3050</t>
  </si>
  <si>
    <t>Walla Walla County Juvenile Detention</t>
  </si>
  <si>
    <t>455 W. Rose Street</t>
  </si>
  <si>
    <t>99362-0000</t>
  </si>
  <si>
    <t>Carol  Pacheco</t>
  </si>
  <si>
    <t>(509)547-8441</t>
  </si>
  <si>
    <t>Walla Walla High School</t>
  </si>
  <si>
    <t>800 ABBOTT RD</t>
  </si>
  <si>
    <t>99362-9300</t>
  </si>
  <si>
    <t>Ronald Steven Higgins</t>
  </si>
  <si>
    <t>rhiggins@wwps.org</t>
  </si>
  <si>
    <t>509.527.3020</t>
  </si>
  <si>
    <t>Garrison Middle School</t>
  </si>
  <si>
    <t>906 CHASE ST</t>
  </si>
  <si>
    <t>99362-3996</t>
  </si>
  <si>
    <t>Kimberle Annette Doepker</t>
  </si>
  <si>
    <t>kdoepker@wwps.org</t>
  </si>
  <si>
    <t>509.527.3040</t>
  </si>
  <si>
    <t>Sharpstein Elementary School</t>
  </si>
  <si>
    <t>410 HOWARD ST</t>
  </si>
  <si>
    <t>99362-3294</t>
  </si>
  <si>
    <t>Maria Anderson Garcia</t>
  </si>
  <si>
    <t>mgarcia@wwps.org</t>
  </si>
  <si>
    <t>509.526.1696</t>
  </si>
  <si>
    <t>421 S. 4TH AVE</t>
  </si>
  <si>
    <t>99362-2907</t>
  </si>
  <si>
    <t>Marci Lynelle Knauft</t>
  </si>
  <si>
    <t>mknauft@wwps.org</t>
  </si>
  <si>
    <t>509.527.3083</t>
  </si>
  <si>
    <t>Blue Ridge Elementary</t>
  </si>
  <si>
    <t>1150 W CHESTNUT ST</t>
  </si>
  <si>
    <t>99362-3971</t>
  </si>
  <si>
    <t>Davis Elementary</t>
  </si>
  <si>
    <t>31 SE ASH STREET</t>
  </si>
  <si>
    <t>COLLEGE PLACE</t>
  </si>
  <si>
    <t>99324-1771</t>
  </si>
  <si>
    <t>Mark  Allen Ferraro</t>
  </si>
  <si>
    <t>mferraro@cpps.org</t>
  </si>
  <si>
    <t>509.525.5110</t>
  </si>
  <si>
    <t>John Sager Middle School</t>
  </si>
  <si>
    <t>1775 SOUTH COLLEGE AVENUE</t>
  </si>
  <si>
    <t>Scott Andrew Kasenga</t>
  </si>
  <si>
    <t>skasenga@cpps.org</t>
  </si>
  <si>
    <t>509.525.5300</t>
  </si>
  <si>
    <t>Touchet School District</t>
  </si>
  <si>
    <t>Touchet Elem &amp; High School</t>
  </si>
  <si>
    <t>PO Box 135</t>
  </si>
  <si>
    <t>TOUCHET</t>
  </si>
  <si>
    <t>99360-0135</t>
  </si>
  <si>
    <t>John H Holcomb</t>
  </si>
  <si>
    <t>jholcomb@touchet.k12.wa.us</t>
  </si>
  <si>
    <t>509.394.2352</t>
  </si>
  <si>
    <t>Columbia (Walla Walla) School District</t>
  </si>
  <si>
    <t>Columbia Middle School</t>
  </si>
  <si>
    <t>755 Maple Street</t>
  </si>
  <si>
    <t>BURBANK</t>
  </si>
  <si>
    <t>99323-0000</t>
  </si>
  <si>
    <t>Mike  Taylor</t>
  </si>
  <si>
    <t>mike.taylor@csd400.org</t>
  </si>
  <si>
    <t>509.545.8571</t>
  </si>
  <si>
    <t>Ian  Yale</t>
  </si>
  <si>
    <t>ian.yale@csd400.org</t>
  </si>
  <si>
    <t>509.547.9393</t>
  </si>
  <si>
    <t>Kyle  Miller</t>
  </si>
  <si>
    <t>kyle.miller@csd400.org</t>
  </si>
  <si>
    <t>509.545.8573</t>
  </si>
  <si>
    <t>Waitsburg School District</t>
  </si>
  <si>
    <t>Preston Hall Middle School</t>
  </si>
  <si>
    <t>P O Box 217</t>
  </si>
  <si>
    <t>Waitsburg</t>
  </si>
  <si>
    <t>99361-0217</t>
  </si>
  <si>
    <t>Stephanie  Wooderchak</t>
  </si>
  <si>
    <t>swooderchak@waitsburgsd.org</t>
  </si>
  <si>
    <t>509.337.9474</t>
  </si>
  <si>
    <t>Waitsburg High School</t>
  </si>
  <si>
    <t>509.337.6351</t>
  </si>
  <si>
    <t>Waitsburg Elementary School</t>
  </si>
  <si>
    <t>Mark  Pickel</t>
  </si>
  <si>
    <t>mpickel@waitsburgsd.org</t>
  </si>
  <si>
    <t>509.337.6461</t>
  </si>
  <si>
    <t>Prescott School District</t>
  </si>
  <si>
    <t>Prescott Elementary School</t>
  </si>
  <si>
    <t>PO BOX 65</t>
  </si>
  <si>
    <t>207 SOUTH A ST</t>
  </si>
  <si>
    <t>PRESCOTT</t>
  </si>
  <si>
    <t>99348-0065</t>
  </si>
  <si>
    <t>Jodi N Thew</t>
  </si>
  <si>
    <t>jthew@prescott.k12.wa.us</t>
  </si>
  <si>
    <t>509.849.2217</t>
  </si>
  <si>
    <t>Prescott Jr Sr High</t>
  </si>
  <si>
    <t>207 SOUTH A STREET</t>
  </si>
  <si>
    <t>JODI N THEW</t>
  </si>
  <si>
    <t>Options High School</t>
  </si>
  <si>
    <t>2015 Franklin St</t>
  </si>
  <si>
    <t>98225-5909</t>
  </si>
  <si>
    <t>Byron  Gerard</t>
  </si>
  <si>
    <t>byron.gerard@bellinghamschools.org</t>
  </si>
  <si>
    <t>360.647.6871</t>
  </si>
  <si>
    <t>Visions (Seamar Youth Center)</t>
  </si>
  <si>
    <t>2015 Franklin Street</t>
  </si>
  <si>
    <t>Steve  Clarke</t>
  </si>
  <si>
    <t>steve.clarke@bellinghamschools.org</t>
  </si>
  <si>
    <t>360.676.6510</t>
  </si>
  <si>
    <t>Fairhaven Middle School</t>
  </si>
  <si>
    <t>110 Park Ridge Rd</t>
  </si>
  <si>
    <t>98225-7907</t>
  </si>
  <si>
    <t>Steven  Ruthford</t>
  </si>
  <si>
    <t>steven.ruthford@bellinghamschools.org</t>
  </si>
  <si>
    <t>360.676.6450</t>
  </si>
  <si>
    <t>2900 Yew St</t>
  </si>
  <si>
    <t>98226-6127</t>
  </si>
  <si>
    <t>Thomas  Gresham</t>
  </si>
  <si>
    <t>Tom.gresham@bellinghamschools.org</t>
  </si>
  <si>
    <t>360.676.6440</t>
  </si>
  <si>
    <t>Whatcom Middle School</t>
  </si>
  <si>
    <t>810 Halleck St</t>
  </si>
  <si>
    <t>98225-3243</t>
  </si>
  <si>
    <t>Jeffrey  Coulter</t>
  </si>
  <si>
    <t>jeffrey.coulter@bellinghamschools.org</t>
  </si>
  <si>
    <t>360.676.6460</t>
  </si>
  <si>
    <t>Silver Beach Elementary School</t>
  </si>
  <si>
    <t>4101 Academy St</t>
  </si>
  <si>
    <t>98226-4443</t>
  </si>
  <si>
    <t>Nicole  Talley</t>
  </si>
  <si>
    <t>nicole.talley@bellinghamschools.org</t>
  </si>
  <si>
    <t>360.676.6443</t>
  </si>
  <si>
    <t xml:space="preserve">Lowell Elementary School </t>
  </si>
  <si>
    <t>935 14th St</t>
  </si>
  <si>
    <t>98225-6305</t>
  </si>
  <si>
    <t>Mary  Sepler</t>
  </si>
  <si>
    <t>mary.sepler@bellinghamschools.org</t>
  </si>
  <si>
    <t>360.676.6430</t>
  </si>
  <si>
    <t>Geneva Elementary School</t>
  </si>
  <si>
    <t>1401 Geneva St</t>
  </si>
  <si>
    <t>98229-5218</t>
  </si>
  <si>
    <t>Sharece  Steinkamp</t>
  </si>
  <si>
    <t>sharece.steinkamp@bellinghamschools.org</t>
  </si>
  <si>
    <t>360.676.6416</t>
  </si>
  <si>
    <t>2508 Utter St</t>
  </si>
  <si>
    <t>98225-2799</t>
  </si>
  <si>
    <t>Aaron  Darragh</t>
  </si>
  <si>
    <t>aaron.darragh@bellinghamschools.org</t>
  </si>
  <si>
    <t>360.676.6413</t>
  </si>
  <si>
    <t>Sunnyland Elementary School</t>
  </si>
  <si>
    <t>2800 James St</t>
  </si>
  <si>
    <t>98225-2639</t>
  </si>
  <si>
    <t>Lynn  Heimsoth</t>
  </si>
  <si>
    <t>lynn.heimsoth@bellinghamschools.org</t>
  </si>
  <si>
    <t>360.676.6446</t>
  </si>
  <si>
    <t>Birchwood Elementary School</t>
  </si>
  <si>
    <t>3200 Pinewood Ave</t>
  </si>
  <si>
    <t>98225-1436</t>
  </si>
  <si>
    <t>Matthew  Whitten</t>
  </si>
  <si>
    <t>matthew.whitten@bellinghamschools.org</t>
  </si>
  <si>
    <t>Bellingham High School</t>
  </si>
  <si>
    <t>2020 Cornwall Ave</t>
  </si>
  <si>
    <t>98225-3648</t>
  </si>
  <si>
    <t>Linda  Miller</t>
  </si>
  <si>
    <t>linda.miller@bellinghamschools.org</t>
  </si>
  <si>
    <t>360.676.6575</t>
  </si>
  <si>
    <t>Carl Cozier Elementary School</t>
  </si>
  <si>
    <t>1330 Lincoln St</t>
  </si>
  <si>
    <t>98229-6238</t>
  </si>
  <si>
    <t>Arionda  Feeney</t>
  </si>
  <si>
    <t>arionda.feeney@bellinghamschools.org</t>
  </si>
  <si>
    <t>360.676.6410</t>
  </si>
  <si>
    <t>Happy Valley Elementary School</t>
  </si>
  <si>
    <t>1041 24th St</t>
  </si>
  <si>
    <t>98225-8603</t>
  </si>
  <si>
    <t>Nick  Hayes</t>
  </si>
  <si>
    <t>nick.hayes@bellinghamschools.org</t>
  </si>
  <si>
    <t>360.676.6420</t>
  </si>
  <si>
    <t>Alderwood Elementary School</t>
  </si>
  <si>
    <t>3400 Hollywood Ave</t>
  </si>
  <si>
    <t>98225-1134</t>
  </si>
  <si>
    <t>Micah  Smith</t>
  </si>
  <si>
    <t>micah.smith@bellinghamschools.org</t>
  </si>
  <si>
    <t>360.676.6404</t>
  </si>
  <si>
    <t>Shuksan Middle School</t>
  </si>
  <si>
    <t>2717 Alderwood Ave</t>
  </si>
  <si>
    <t>98225-1222</t>
  </si>
  <si>
    <t>Amy  Carder</t>
  </si>
  <si>
    <t>amy.carder@bellinghamschools.org</t>
  </si>
  <si>
    <t>360.676.6454</t>
  </si>
  <si>
    <t>Parkview Elementary School</t>
  </si>
  <si>
    <t>3033 Coolidge Dr</t>
  </si>
  <si>
    <t>98225-1803</t>
  </si>
  <si>
    <t>Mylo   Allen</t>
  </si>
  <si>
    <t>mylo.allen@bellinghamschools.org</t>
  </si>
  <si>
    <t>360.676.6433</t>
  </si>
  <si>
    <t>Whatcom Co Detention Center</t>
  </si>
  <si>
    <t>311 GRAND AVE 6TH FL</t>
  </si>
  <si>
    <t>BELLINGHAM</t>
  </si>
  <si>
    <t>98225-4046</t>
  </si>
  <si>
    <t>Sehome High School</t>
  </si>
  <si>
    <t>2700 Bill McDonald Pkwy</t>
  </si>
  <si>
    <t>Michelle  Kuss-Cybula</t>
  </si>
  <si>
    <t>michelle.kuss-cybula@bellinghamschools.org</t>
  </si>
  <si>
    <t>360.676.6481</t>
  </si>
  <si>
    <t>Kulshan Middle School</t>
  </si>
  <si>
    <t>1250 Kenoyer Dr</t>
  </si>
  <si>
    <t>98229-2346</t>
  </si>
  <si>
    <t>Meagan  Dawson</t>
  </si>
  <si>
    <t>meagan.dawson@bellinghamschools.org</t>
  </si>
  <si>
    <t>360.676.4886</t>
  </si>
  <si>
    <t>Squalicum High School</t>
  </si>
  <si>
    <t>3773 E McLeod Rd</t>
  </si>
  <si>
    <t>98226-7728</t>
  </si>
  <si>
    <t>Miguel  Perez</t>
  </si>
  <si>
    <t>miguel.perez@bellinghamschools.org</t>
  </si>
  <si>
    <t>360.676.6471</t>
  </si>
  <si>
    <t>Northern Heights Elementary Schl</t>
  </si>
  <si>
    <t>4000 Magrath Rd</t>
  </si>
  <si>
    <t>98226-1729</t>
  </si>
  <si>
    <t>Pamela   Pottle</t>
  </si>
  <si>
    <t>pamela.pottle@bellinghamschools.org</t>
  </si>
  <si>
    <t>360.647.6820</t>
  </si>
  <si>
    <t>Beach Elem</t>
  </si>
  <si>
    <t>3786 Centerview Road</t>
  </si>
  <si>
    <t>Lummi Island</t>
  </si>
  <si>
    <t>98262-0000</t>
  </si>
  <si>
    <t>Mark   Hall</t>
  </si>
  <si>
    <t>mark.hall@ferndalesd.org</t>
  </si>
  <si>
    <t>360.383.9440</t>
  </si>
  <si>
    <t>P.O. Box 187</t>
  </si>
  <si>
    <t>98248-0068</t>
  </si>
  <si>
    <t>Joel  Francik</t>
  </si>
  <si>
    <t>joel.francik@ferndalesd.org</t>
  </si>
  <si>
    <t>360.383.9600</t>
  </si>
  <si>
    <t>Ferndale High School</t>
  </si>
  <si>
    <t>P.O. Box 428</t>
  </si>
  <si>
    <t>98248-0428</t>
  </si>
  <si>
    <t>Jeremy  Vincent</t>
  </si>
  <si>
    <t>jeremy.vincent@ferndalesd.org</t>
  </si>
  <si>
    <t>360.383.9243</t>
  </si>
  <si>
    <t>Custer Elem</t>
  </si>
  <si>
    <t>7660 Custer School Road</t>
  </si>
  <si>
    <t>Custer</t>
  </si>
  <si>
    <t>98240-0125</t>
  </si>
  <si>
    <t>Kimberly  Hawes</t>
  </si>
  <si>
    <t>kim.hawes@ferndalesd.org</t>
  </si>
  <si>
    <t>360.383.9500</t>
  </si>
  <si>
    <t>Vista Middle School</t>
  </si>
  <si>
    <t>P.O. Box 1328</t>
  </si>
  <si>
    <t>98248-1328</t>
  </si>
  <si>
    <t>Heather   Leighton</t>
  </si>
  <si>
    <t>heather.leighton@ferndalesd.org</t>
  </si>
  <si>
    <t>360.383.9371</t>
  </si>
  <si>
    <t>Skyline Elementary School</t>
  </si>
  <si>
    <t>P.O. Box 905</t>
  </si>
  <si>
    <t>Obadiah  DeWeber</t>
  </si>
  <si>
    <t>obadiah.deweber@ferndalesd.org</t>
  </si>
  <si>
    <t>360.383.9451</t>
  </si>
  <si>
    <t>Eagleridge Elementary</t>
  </si>
  <si>
    <t>P.O. Box 1127</t>
  </si>
  <si>
    <t>98248-0000</t>
  </si>
  <si>
    <t>Mischa  Burnett</t>
  </si>
  <si>
    <t>mischa.burnett@ferndalesd.org</t>
  </si>
  <si>
    <t>360.383.9704</t>
  </si>
  <si>
    <t>P.O. Box 1769</t>
  </si>
  <si>
    <t>Faye  Britt</t>
  </si>
  <si>
    <t>faye.britt@ferndalesd.org</t>
  </si>
  <si>
    <t>360.383.9850</t>
  </si>
  <si>
    <t>Blaine Elementary School</t>
  </si>
  <si>
    <t>836 MITCHELL AVE</t>
  </si>
  <si>
    <t>BLAINE</t>
  </si>
  <si>
    <t>98230-0000</t>
  </si>
  <si>
    <t>Craig  Baldwin</t>
  </si>
  <si>
    <t>cbaldwin@blainesd.org</t>
  </si>
  <si>
    <t>360.332.5213</t>
  </si>
  <si>
    <t>Blaine High School</t>
  </si>
  <si>
    <t>1055 H STREET</t>
  </si>
  <si>
    <t>scott_ellis@blainesd.org</t>
  </si>
  <si>
    <t>Blaine Middle School</t>
  </si>
  <si>
    <t>975 H STREET</t>
  </si>
  <si>
    <t>Darren  Benson</t>
  </si>
  <si>
    <t>dbenson@blainesd.org</t>
  </si>
  <si>
    <t>360.332.8226</t>
  </si>
  <si>
    <t>Point Roberts Primary</t>
  </si>
  <si>
    <t>PT. ROBERTS PRIMARY</t>
  </si>
  <si>
    <t>2050 BENSON RD</t>
  </si>
  <si>
    <t>POINT ROBERTS</t>
  </si>
  <si>
    <t>98281-0000</t>
  </si>
  <si>
    <t>Stacy  Thomas</t>
  </si>
  <si>
    <t>sthomas@blainesd.org</t>
  </si>
  <si>
    <t>360.332.5881</t>
  </si>
  <si>
    <t>Blaine Primary School</t>
  </si>
  <si>
    <t>820 BOBLETT ST</t>
  </si>
  <si>
    <t>Jordan  Radke</t>
  </si>
  <si>
    <t>jradke@blainesd.org</t>
  </si>
  <si>
    <t>360.332.1300</t>
  </si>
  <si>
    <t>Lynden Middle School</t>
  </si>
  <si>
    <t>8750 LINE RD</t>
  </si>
  <si>
    <t>LYNDEN</t>
  </si>
  <si>
    <t>98264-0000</t>
  </si>
  <si>
    <t>Molly  Mitchell-Mumma</t>
  </si>
  <si>
    <t>mitchell-mummam@lynden.wednet.edu</t>
  </si>
  <si>
    <t>360.354.2952</t>
  </si>
  <si>
    <t>Fisher Elementary School</t>
  </si>
  <si>
    <t>501 N 14TH ST</t>
  </si>
  <si>
    <t>Courtney E Ross</t>
  </si>
  <si>
    <t>rossco@lynden.wednet.edu</t>
  </si>
  <si>
    <t>360.354.4291</t>
  </si>
  <si>
    <t>Lynden High School</t>
  </si>
  <si>
    <t>1201 BRADLEY RD</t>
  </si>
  <si>
    <t>Ian   Freeman</t>
  </si>
  <si>
    <t>freemani@lynden.wednet.edu</t>
  </si>
  <si>
    <t>Isom Elementary School</t>
  </si>
  <si>
    <t>8461 BENSON RD</t>
  </si>
  <si>
    <t>Patrick   McClure</t>
  </si>
  <si>
    <t>mcclurep@lynden.wednet.edu</t>
  </si>
  <si>
    <t>360.354.1992</t>
  </si>
  <si>
    <t>Vossbeck Elementary School</t>
  </si>
  <si>
    <t>1301 BRIDGEVIEW DR</t>
  </si>
  <si>
    <t>Michelle  Nilsen</t>
  </si>
  <si>
    <t>nilsenm@lynden.wednet.edu</t>
  </si>
  <si>
    <t>360.354.0488</t>
  </si>
  <si>
    <t>Meridian Special Programs</t>
  </si>
  <si>
    <t>214 W LAUREL ROAD</t>
  </si>
  <si>
    <t>98226-0000</t>
  </si>
  <si>
    <t>Aaron  Jacoby</t>
  </si>
  <si>
    <t>ajacoby@meridian.wednet.edu</t>
  </si>
  <si>
    <t>360.398.7111</t>
  </si>
  <si>
    <t>Meridian High School</t>
  </si>
  <si>
    <t>194 W LAUREL ROAD</t>
  </si>
  <si>
    <t>360.398.8111</t>
  </si>
  <si>
    <t>Irene Reither Elementary School</t>
  </si>
  <si>
    <t>954 E. Hemmi Road</t>
  </si>
  <si>
    <t>Everson</t>
  </si>
  <si>
    <t>PATTI  FOUTS</t>
  </si>
  <si>
    <t>pfouts@meridian.wednet.edu</t>
  </si>
  <si>
    <t>360.398.2111</t>
  </si>
  <si>
    <t>861 TEN MILE ROAD</t>
  </si>
  <si>
    <t>JERRY  SANDERSON</t>
  </si>
  <si>
    <t>gsanders@meridian.wednet.edu</t>
  </si>
  <si>
    <t>360.398.2291</t>
  </si>
  <si>
    <t>Nooksack Valley Special Services</t>
  </si>
  <si>
    <t>3326 E. Badger Road</t>
  </si>
  <si>
    <t>98247-0000</t>
  </si>
  <si>
    <t>Megan  Vigre</t>
  </si>
  <si>
    <t>megan.vigre@nv.k12.wa.us</t>
  </si>
  <si>
    <t>360.988.9423</t>
  </si>
  <si>
    <t>Nooksack Valley High School</t>
  </si>
  <si>
    <t>3326 East Badger Road</t>
  </si>
  <si>
    <t>Sumas Elementary</t>
  </si>
  <si>
    <t>1024 Lawson St</t>
  </si>
  <si>
    <t>Sumas</t>
  </si>
  <si>
    <t>98295-0000</t>
  </si>
  <si>
    <t>Kathy  Winslow</t>
  </si>
  <si>
    <t>kathy.winslow@nv.k12.wa.us</t>
  </si>
  <si>
    <t>(360) 988-9423</t>
  </si>
  <si>
    <t>Nooksack Valley Middle School</t>
  </si>
  <si>
    <t>404 W. Columbia St.</t>
  </si>
  <si>
    <t>Joel  VanderYacht</t>
  </si>
  <si>
    <t>joel.vanderyacht@nooksackschools.org</t>
  </si>
  <si>
    <t>360.966.7561</t>
  </si>
  <si>
    <t>Everson Elementary</t>
  </si>
  <si>
    <t>216 Everson Goshen Rd.</t>
  </si>
  <si>
    <t>Kevin  DeVere</t>
  </si>
  <si>
    <t>kevin.devere@nv.k12.wa.us</t>
  </si>
  <si>
    <t>(360) 966-2030</t>
  </si>
  <si>
    <t>Nooksack Elementary</t>
  </si>
  <si>
    <t>3333 Breckenridge Rd.</t>
  </si>
  <si>
    <t>Katie  Brown</t>
  </si>
  <si>
    <t>katie.brown@nv.k12.wa.us</t>
  </si>
  <si>
    <t>360.966.3321</t>
  </si>
  <si>
    <t>Mount Baker School District</t>
  </si>
  <si>
    <t>Mount Baker Senior High</t>
  </si>
  <si>
    <t>4936 DEMING RD</t>
  </si>
  <si>
    <t>PO BOX 95</t>
  </si>
  <si>
    <t>DEMING</t>
  </si>
  <si>
    <t>98244-0095</t>
  </si>
  <si>
    <t>Matt  Durand</t>
  </si>
  <si>
    <t>mdurand@mtbaker.wednet.edu</t>
  </si>
  <si>
    <t>360.383.2015</t>
  </si>
  <si>
    <t>Acme Elementary</t>
  </si>
  <si>
    <t>5200 TURKINGTON RD</t>
  </si>
  <si>
    <t>PO BOX 9</t>
  </si>
  <si>
    <t>ACME</t>
  </si>
  <si>
    <t>98220-0000</t>
  </si>
  <si>
    <t>Carly  Takata</t>
  </si>
  <si>
    <t>ctakata@mtbaker.wednet.edu</t>
  </si>
  <si>
    <t>360.383.2045</t>
  </si>
  <si>
    <t>Mount Baker Junior High</t>
  </si>
  <si>
    <t>Harmony Elementary</t>
  </si>
  <si>
    <t>5060 SAND ROAD</t>
  </si>
  <si>
    <t>Todd  Mathews</t>
  </si>
  <si>
    <t>tmathews@mtbaker.wednet.edu</t>
  </si>
  <si>
    <t>360.383.2050</t>
  </si>
  <si>
    <t>Kendall Elementary</t>
  </si>
  <si>
    <t>7547 KENDALL RD</t>
  </si>
  <si>
    <t>MAPLE FALLS</t>
  </si>
  <si>
    <t>98266-0000</t>
  </si>
  <si>
    <t>Sue  Gribble</t>
  </si>
  <si>
    <t>sgribble@mtbaker.wednet.edu</t>
  </si>
  <si>
    <t>360.383.2055</t>
  </si>
  <si>
    <t>LaCrosse School District</t>
  </si>
  <si>
    <t>Lacrosse Elementary School</t>
  </si>
  <si>
    <t>111 Hill Ave</t>
  </si>
  <si>
    <t>LaCrosse</t>
  </si>
  <si>
    <t>99143-9702</t>
  </si>
  <si>
    <t>Doug Arthur Curtis</t>
  </si>
  <si>
    <t>dcurtis@lacrossesd.k12.wa.us</t>
  </si>
  <si>
    <t>509.549.3591</t>
  </si>
  <si>
    <t>Lacrosse High School</t>
  </si>
  <si>
    <t>111 Hill Avenue</t>
  </si>
  <si>
    <t>99143-0218</t>
  </si>
  <si>
    <t>dcurtis@lax.wednet.edu</t>
  </si>
  <si>
    <t>(509) 549-3591</t>
  </si>
  <si>
    <t>Lamont School District</t>
  </si>
  <si>
    <t>Lamont Middle School</t>
  </si>
  <si>
    <t>602 Main Street</t>
  </si>
  <si>
    <t>Lamont</t>
  </si>
  <si>
    <t>99017-8769</t>
  </si>
  <si>
    <t>Todd  Spear</t>
  </si>
  <si>
    <t>tspear@lamont.wednet.edu</t>
  </si>
  <si>
    <t>509.257.2463</t>
  </si>
  <si>
    <t>Tekoa School District</t>
  </si>
  <si>
    <t>Tekoa Elementary School</t>
  </si>
  <si>
    <t>PO Box 869</t>
  </si>
  <si>
    <t>TEKOA</t>
  </si>
  <si>
    <t>99033-0869</t>
  </si>
  <si>
    <t>Mark  Heid</t>
  </si>
  <si>
    <t>mheid@tekoasd.org</t>
  </si>
  <si>
    <t>509.284.3281</t>
  </si>
  <si>
    <t>Tekoa High School</t>
  </si>
  <si>
    <t>Dan  Hutton</t>
  </si>
  <si>
    <t>dhutton@tekoasd.org</t>
  </si>
  <si>
    <t>509.284.3401</t>
  </si>
  <si>
    <t>Pullman High School</t>
  </si>
  <si>
    <t>510 NW Greyhound Way</t>
  </si>
  <si>
    <t>99163-3585</t>
  </si>
  <si>
    <t>Juston  Pollestad</t>
  </si>
  <si>
    <t>jpollestad@psd267.org</t>
  </si>
  <si>
    <t>509.332.1551</t>
  </si>
  <si>
    <t>850 SE Klemgard</t>
  </si>
  <si>
    <t>99163-5447</t>
  </si>
  <si>
    <t>1150 NW Bryant</t>
  </si>
  <si>
    <t>99163-3361</t>
  </si>
  <si>
    <t>Jim  Bruce</t>
  </si>
  <si>
    <t>jbruce@psd267.org</t>
  </si>
  <si>
    <t>509.332.2617</t>
  </si>
  <si>
    <t>315 SE Crestview</t>
  </si>
  <si>
    <t>99163-2298</t>
  </si>
  <si>
    <t>Cameron  Grow</t>
  </si>
  <si>
    <t>cgrow@psd267.wednet.edu</t>
  </si>
  <si>
    <t>509.334.3411</t>
  </si>
  <si>
    <t>425 SW Shirley</t>
  </si>
  <si>
    <t>99163-2763</t>
  </si>
  <si>
    <t>Pam  Brantner</t>
  </si>
  <si>
    <t>pbrantner@psd267.org</t>
  </si>
  <si>
    <t>509.334.1800</t>
  </si>
  <si>
    <t>Colfax School District</t>
  </si>
  <si>
    <t>Leonard M Jennings Elementary</t>
  </si>
  <si>
    <t>1207 N. Morton Street</t>
  </si>
  <si>
    <t>Colfax</t>
  </si>
  <si>
    <t>99111-2133</t>
  </si>
  <si>
    <t>Travis  Howell</t>
  </si>
  <si>
    <t>travis.howell@csd300.com</t>
  </si>
  <si>
    <t>509.397.2181</t>
  </si>
  <si>
    <t>Colfax High School</t>
  </si>
  <si>
    <t>1110 N. Morton Street</t>
  </si>
  <si>
    <t>David  Gibb</t>
  </si>
  <si>
    <t>david.gibb@csd300.com</t>
  </si>
  <si>
    <t>509.830.2347</t>
  </si>
  <si>
    <t>Palouse School District</t>
  </si>
  <si>
    <t>Palouse Elementary</t>
  </si>
  <si>
    <t>600 E Alder Street</t>
  </si>
  <si>
    <t>Palouse</t>
  </si>
  <si>
    <t>99161-8780</t>
  </si>
  <si>
    <t>Mike  Jones</t>
  </si>
  <si>
    <t>mjones@garpal.net</t>
  </si>
  <si>
    <t>509.878.1921</t>
  </si>
  <si>
    <t>Palouse High School</t>
  </si>
  <si>
    <t>600 East Alder Street</t>
  </si>
  <si>
    <t>Garfield School District</t>
  </si>
  <si>
    <t>POB 398</t>
  </si>
  <si>
    <t>Garfield</t>
  </si>
  <si>
    <t>99130-0398</t>
  </si>
  <si>
    <t>Zane  Wells</t>
  </si>
  <si>
    <t>zwells@garpal.wednet.edu</t>
  </si>
  <si>
    <t>509.635.1331</t>
  </si>
  <si>
    <t>Garfield Middle School</t>
  </si>
  <si>
    <t>Steptoe School District</t>
  </si>
  <si>
    <t>Steptoe Elementary School</t>
  </si>
  <si>
    <t>PO Box 138</t>
  </si>
  <si>
    <t>Steptoe</t>
  </si>
  <si>
    <t>99174-3138</t>
  </si>
  <si>
    <t>Eric  Patton</t>
  </si>
  <si>
    <t>ericp@steptoe.k12.wa.us</t>
  </si>
  <si>
    <t>509.397.3119</t>
  </si>
  <si>
    <t>Colton School District</t>
  </si>
  <si>
    <t>Colton School</t>
  </si>
  <si>
    <t>706 Union</t>
  </si>
  <si>
    <t>Colton</t>
  </si>
  <si>
    <t>99113-0000</t>
  </si>
  <si>
    <t>Tim  Casey</t>
  </si>
  <si>
    <t>tcasey@colton.k12.wa.us</t>
  </si>
  <si>
    <t>509.229.3386</t>
  </si>
  <si>
    <t>Endicott School District</t>
  </si>
  <si>
    <t>Endicott/St John Elem and Middle</t>
  </si>
  <si>
    <t>308 School Dr</t>
  </si>
  <si>
    <t>Endicott</t>
  </si>
  <si>
    <t>99125-0000</t>
  </si>
  <si>
    <t>Bruce  Porubek</t>
  </si>
  <si>
    <t>bporubek@endicott.wednet.edu</t>
  </si>
  <si>
    <t>509.657.3523</t>
  </si>
  <si>
    <t>Rosalia School District</t>
  </si>
  <si>
    <t>Rosalia Elementary &amp; Secondary School</t>
  </si>
  <si>
    <t>916 South Josephine</t>
  </si>
  <si>
    <t>Rosalia</t>
  </si>
  <si>
    <t>Matthew  McLain</t>
  </si>
  <si>
    <t>mmclain@rosaliaschools.org</t>
  </si>
  <si>
    <t>509.523.3061</t>
  </si>
  <si>
    <t>St. John School District</t>
  </si>
  <si>
    <t>St John/Endicott High</t>
  </si>
  <si>
    <t>W 301 Nob Hill</t>
  </si>
  <si>
    <t>Saint John</t>
  </si>
  <si>
    <t>99171-0058</t>
  </si>
  <si>
    <t>Mark  Purvine</t>
  </si>
  <si>
    <t>mpurvine@stjohn.wednet.edu</t>
  </si>
  <si>
    <t>509.648.3336</t>
  </si>
  <si>
    <t>St John Elementary</t>
  </si>
  <si>
    <t>Oakesdale School District</t>
  </si>
  <si>
    <t>Oakesdale High School</t>
  </si>
  <si>
    <t>P.O. Box 228</t>
  </si>
  <si>
    <t>Oakesdale</t>
  </si>
  <si>
    <t>99158-0228</t>
  </si>
  <si>
    <t>Jake  Dingman</t>
  </si>
  <si>
    <t>jdingman@gonighthawks.net</t>
  </si>
  <si>
    <t>509.285.5296</t>
  </si>
  <si>
    <t>Oakesdale Elementary School</t>
  </si>
  <si>
    <t>Union Gap School District</t>
  </si>
  <si>
    <t>Union Gap School</t>
  </si>
  <si>
    <t>3201 4th Street</t>
  </si>
  <si>
    <t>Union Gap</t>
  </si>
  <si>
    <t>98903-1894</t>
  </si>
  <si>
    <t>Patrick  Vincent</t>
  </si>
  <si>
    <t>pvincent@uniongap.org</t>
  </si>
  <si>
    <t>509.248.3966</t>
  </si>
  <si>
    <t>Naches Valley High School</t>
  </si>
  <si>
    <t>98937-0000</t>
  </si>
  <si>
    <t>Rich  Rouleau</t>
  </si>
  <si>
    <t>rrouleau@nvsd.org</t>
  </si>
  <si>
    <t>509.457.8781</t>
  </si>
  <si>
    <t>Naches Valley Middle School</t>
  </si>
  <si>
    <t>Todd A. Hilmes</t>
  </si>
  <si>
    <t>thilmes@nvsd.org</t>
  </si>
  <si>
    <t>509.452.4604</t>
  </si>
  <si>
    <t>Davis High School</t>
  </si>
  <si>
    <t>212 S 6th Ave</t>
  </si>
  <si>
    <t>98902-3303</t>
  </si>
  <si>
    <t>Ryan  McDaniel</t>
  </si>
  <si>
    <t>mcdaniel.ryan@yakimaschools.org</t>
  </si>
  <si>
    <t>509.573.2501</t>
  </si>
  <si>
    <t>612 N 6th Ave</t>
  </si>
  <si>
    <t>98902-2197</t>
  </si>
  <si>
    <t>Steve  Brownlow</t>
  </si>
  <si>
    <t>brownlow.steve@yakimaschools.org</t>
  </si>
  <si>
    <t>509.573.5701</t>
  </si>
  <si>
    <t>Mckinley Elementary School</t>
  </si>
  <si>
    <t>621 S 13th Ave</t>
  </si>
  <si>
    <t>98902-4320</t>
  </si>
  <si>
    <t>Amanda  Voorhees</t>
  </si>
  <si>
    <t>Voorhees.Amanda@yakimaschools.org</t>
  </si>
  <si>
    <t>509.573.1401</t>
  </si>
  <si>
    <t>510 S 9th St</t>
  </si>
  <si>
    <t>98901-4617</t>
  </si>
  <si>
    <t>William  Hilton</t>
  </si>
  <si>
    <t>Hilton.William@yakimaschools.org</t>
  </si>
  <si>
    <t>509.573.2301</t>
  </si>
  <si>
    <t>Franklin Middle School</t>
  </si>
  <si>
    <t>410 S 19th Ave</t>
  </si>
  <si>
    <t>98902-3898</t>
  </si>
  <si>
    <t>Sherry  Anderson</t>
  </si>
  <si>
    <t>Anderson.Sherry@yakimaschools.org</t>
  </si>
  <si>
    <t>509.573.2101</t>
  </si>
  <si>
    <t>609 W Washington Ave</t>
  </si>
  <si>
    <t>98903-1310</t>
  </si>
  <si>
    <t>K.C.  Mitchell</t>
  </si>
  <si>
    <t>mitchel.k.c@yakimaschools.org</t>
  </si>
  <si>
    <t>509.573.1801</t>
  </si>
  <si>
    <t>120 N 16th Ave</t>
  </si>
  <si>
    <t>98902-2926</t>
  </si>
  <si>
    <t>Nancy  Smith</t>
  </si>
  <si>
    <t>smith.nancy@yakimaschools.org</t>
  </si>
  <si>
    <t>509.573.1701</t>
  </si>
  <si>
    <t>723 S 8th St</t>
  </si>
  <si>
    <t>98901-3322</t>
  </si>
  <si>
    <t>Douglas  Kaplicky</t>
  </si>
  <si>
    <t>kaplicky.douglas@ysd7.org</t>
  </si>
  <si>
    <t>509.573.5101</t>
  </si>
  <si>
    <t>Hoover Elementary School</t>
  </si>
  <si>
    <t>400 W Viola Ave</t>
  </si>
  <si>
    <t>98902-5697</t>
  </si>
  <si>
    <t>Julio  Sanchez</t>
  </si>
  <si>
    <t>sanchez.julio@yakimaschools.org</t>
  </si>
  <si>
    <t>509.573.5901</t>
  </si>
  <si>
    <t>Gilbert Elementary School</t>
  </si>
  <si>
    <t>4400 Douglas Dr</t>
  </si>
  <si>
    <t>98908-2699</t>
  </si>
  <si>
    <t>Stephanie  Rosbach</t>
  </si>
  <si>
    <t>rosbach.stephanie@yakimaschools.org</t>
  </si>
  <si>
    <t>509.573.5801</t>
  </si>
  <si>
    <t>Nob Hill Elementary School</t>
  </si>
  <si>
    <t>801 S 34th Ave</t>
  </si>
  <si>
    <t>98902-3999</t>
  </si>
  <si>
    <t>Erin  Thomas</t>
  </si>
  <si>
    <t>thomas.erin@yakimaschools.org</t>
  </si>
  <si>
    <t>509.573.1501</t>
  </si>
  <si>
    <t>Mcclure Elementary School Yakima</t>
  </si>
  <si>
    <t>1222 S 22nd Ave</t>
  </si>
  <si>
    <t>98902-5117</t>
  </si>
  <si>
    <t>Deb  Lavis</t>
  </si>
  <si>
    <t>lavis.deb@yakimaschools.org</t>
  </si>
  <si>
    <t>509.573.1301</t>
  </si>
  <si>
    <t>Discovery Lab School</t>
  </si>
  <si>
    <t>2810 Castlevale Rd</t>
  </si>
  <si>
    <t>98902-7330</t>
  </si>
  <si>
    <t>Phil  Vasquez</t>
  </si>
  <si>
    <t>vasquez.phil@yakimaschools.org</t>
  </si>
  <si>
    <t>509.573.5401</t>
  </si>
  <si>
    <t>Barge-Lincoln Elementary School</t>
  </si>
  <si>
    <t>219 E I St</t>
  </si>
  <si>
    <t>98901-1999</t>
  </si>
  <si>
    <t>Hector  Mendez</t>
  </si>
  <si>
    <t>mendez.hector@yakimaschools.org</t>
  </si>
  <si>
    <t>509.573.5201</t>
  </si>
  <si>
    <t>Eisenhower High School</t>
  </si>
  <si>
    <t>611 South 44th Avenue</t>
  </si>
  <si>
    <t>98908-3399</t>
  </si>
  <si>
    <t>John Eric Diener</t>
  </si>
  <si>
    <t>diener.john@yakimaschools.org</t>
  </si>
  <si>
    <t>509.573.2601</t>
  </si>
  <si>
    <t>Robertson Elementary</t>
  </si>
  <si>
    <t>2807 W Lincoln Ave</t>
  </si>
  <si>
    <t>98902-2344</t>
  </si>
  <si>
    <t>Mark  Hummel</t>
  </si>
  <si>
    <t>hummel.mark@yakimaschools.org</t>
  </si>
  <si>
    <t>509.573.1601</t>
  </si>
  <si>
    <t>Whitney Elementary Yakima</t>
  </si>
  <si>
    <t>4411 W Nob Hill Blvd</t>
  </si>
  <si>
    <t>98908-3740</t>
  </si>
  <si>
    <t>Kimberlee  Newell</t>
  </si>
  <si>
    <t>Newell.Kimberlee@yakimaschools.org</t>
  </si>
  <si>
    <t>509.573.1901</t>
  </si>
  <si>
    <t>Wilson Middle School</t>
  </si>
  <si>
    <t>902 S 44th Ave</t>
  </si>
  <si>
    <t>98908-3838</t>
  </si>
  <si>
    <t>Ernesto  Araiza</t>
  </si>
  <si>
    <t>Araiza.Ernesto@yakimaschools.org</t>
  </si>
  <si>
    <t>509.573.2401</t>
  </si>
  <si>
    <t>Lewis &amp; Clark Middle School</t>
  </si>
  <si>
    <t>1114 W Pierce St</t>
  </si>
  <si>
    <t>98902-5823</t>
  </si>
  <si>
    <t>Victor  Nourani</t>
  </si>
  <si>
    <t>Nourani.Victor@yakimaschools.org</t>
  </si>
  <si>
    <t>509.573.2201</t>
  </si>
  <si>
    <t>Martin Luther King Jr Elementary</t>
  </si>
  <si>
    <t>2000 S 18th St</t>
  </si>
  <si>
    <t>98903-3941</t>
  </si>
  <si>
    <t>Maria  Villalovos</t>
  </si>
  <si>
    <t>villalovos.maria@yakimaschools.org</t>
  </si>
  <si>
    <t>509.573.1101</t>
  </si>
  <si>
    <t>Juvenile Detention Center</t>
  </si>
  <si>
    <t>1728 JEROME AVE</t>
  </si>
  <si>
    <t>98902-0000</t>
  </si>
  <si>
    <t>Menard.Lois@yakimaschools.org</t>
  </si>
  <si>
    <t>509.573.5580</t>
  </si>
  <si>
    <t>Stanton Academy</t>
  </si>
  <si>
    <t>802 River Rd</t>
  </si>
  <si>
    <t>Dave  Chaplin</t>
  </si>
  <si>
    <t>Chaplin.Dave@yakimaschools.org</t>
  </si>
  <si>
    <t>509.573.1201</t>
  </si>
  <si>
    <t>East Valley School District (Yakima)</t>
  </si>
  <si>
    <t>1900 Beaudry Road</t>
  </si>
  <si>
    <t>98901-8012</t>
  </si>
  <si>
    <t>Kayla  Monroe</t>
  </si>
  <si>
    <t>monroe.kayla@evsd90.org</t>
  </si>
  <si>
    <t>509.573.7420</t>
  </si>
  <si>
    <t>Moxee Elementary</t>
  </si>
  <si>
    <t>Moxee</t>
  </si>
  <si>
    <t>Elizabeth  Hockens</t>
  </si>
  <si>
    <t>hockens.elizabeth@evsd90.org</t>
  </si>
  <si>
    <t>509.573.7720</t>
  </si>
  <si>
    <t>Terrace Heights Elementary</t>
  </si>
  <si>
    <t>101 N 41ST ST</t>
  </si>
  <si>
    <t>98901-0000</t>
  </si>
  <si>
    <t>TAMI  SCRIVNER</t>
  </si>
  <si>
    <t>scrivner.tami@evsd90.org</t>
  </si>
  <si>
    <t>509.573.7820</t>
  </si>
  <si>
    <t>East Valley Central Middle School</t>
  </si>
  <si>
    <t>2010 BEAUDRY RD</t>
  </si>
  <si>
    <t>98901-8082</t>
  </si>
  <si>
    <t>Matthew  Toth</t>
  </si>
  <si>
    <t>toth.matthew@evsd90.org</t>
  </si>
  <si>
    <t>509.573.7520</t>
  </si>
  <si>
    <t>East Valley Elementary</t>
  </si>
  <si>
    <t>1951 Beaudry Road</t>
  </si>
  <si>
    <t>Colleen  Crowston</t>
  </si>
  <si>
    <t>crowston.colleen@evsd90.org</t>
  </si>
  <si>
    <t>509.573.7620</t>
  </si>
  <si>
    <t>Selah High School</t>
  </si>
  <si>
    <t>801 North First Street</t>
  </si>
  <si>
    <t>98942-0000</t>
  </si>
  <si>
    <t>Todd   Hilberg</t>
  </si>
  <si>
    <t>ToddHilberg@selahschools.org</t>
  </si>
  <si>
    <t>509.698.8505</t>
  </si>
  <si>
    <t>Selah Academy Online</t>
  </si>
  <si>
    <t>JOE  COSCARART</t>
  </si>
  <si>
    <t>509.698.8063</t>
  </si>
  <si>
    <t>Artz Fox Elementary</t>
  </si>
  <si>
    <t>98935-0040</t>
  </si>
  <si>
    <t>Joe  West</t>
  </si>
  <si>
    <t>westj@msd120.org</t>
  </si>
  <si>
    <t>509.894.4941</t>
  </si>
  <si>
    <t>Contract Learning Center</t>
  </si>
  <si>
    <t>98930-0000</t>
  </si>
  <si>
    <t>Jose  Rivera</t>
  </si>
  <si>
    <t>jrivera@gsd200.org</t>
  </si>
  <si>
    <t>509.882.8523</t>
  </si>
  <si>
    <t>Mcclure Elementary School</t>
  </si>
  <si>
    <t>811 W 2nd ST</t>
  </si>
  <si>
    <t>Elyse  Walker</t>
  </si>
  <si>
    <t>emwalker@gsd200.org</t>
  </si>
  <si>
    <t>509.882.7100</t>
  </si>
  <si>
    <t>Grandview High School</t>
  </si>
  <si>
    <t>1601 W 5th ST</t>
  </si>
  <si>
    <t>Kimberly  Casey</t>
  </si>
  <si>
    <t>kkcasey@gsd200.org</t>
  </si>
  <si>
    <t>509.882.8750</t>
  </si>
  <si>
    <t>Thompson Elementary School</t>
  </si>
  <si>
    <t>1105 W 2nd ST</t>
  </si>
  <si>
    <t>JULIE  WYSONG</t>
  </si>
  <si>
    <t>jwysong@gsd200.org</t>
  </si>
  <si>
    <t>509.882.8550</t>
  </si>
  <si>
    <t>Smith Elementary School</t>
  </si>
  <si>
    <t>205 Fir Ave</t>
  </si>
  <si>
    <t>Jared  Lind</t>
  </si>
  <si>
    <t>jlind@gsd200.org</t>
  </si>
  <si>
    <t>509.882.8683</t>
  </si>
  <si>
    <t>Grandview Middle School</t>
  </si>
  <si>
    <t>1401 W 2nd ST</t>
  </si>
  <si>
    <t>James  Heinle</t>
  </si>
  <si>
    <t>jjheinle@gsd200.org</t>
  </si>
  <si>
    <t>509.882.8710</t>
  </si>
  <si>
    <t>Outlook Elementary School</t>
  </si>
  <si>
    <t>1110 S. 6th Street</t>
  </si>
  <si>
    <t>98944-2197</t>
  </si>
  <si>
    <t>Maria  Hernandez</t>
  </si>
  <si>
    <t>maria.hernandez@sunnysideschools.org</t>
  </si>
  <si>
    <t>509.837.3352</t>
  </si>
  <si>
    <t>Gwyn  Trull</t>
  </si>
  <si>
    <t>gwyn.trull@sunnysideschools.org</t>
  </si>
  <si>
    <t>509.837.3641</t>
  </si>
  <si>
    <t>Sunnyside High School</t>
  </si>
  <si>
    <t>Ryan  Maxwell</t>
  </si>
  <si>
    <t>ryan.maxwell@sunnysideschools.org</t>
  </si>
  <si>
    <t>Harrison Middle School</t>
  </si>
  <si>
    <t>1110 S 6th St</t>
  </si>
  <si>
    <t>Robert  Bowman</t>
  </si>
  <si>
    <t>robert.bowman@sunnysideschools.org</t>
  </si>
  <si>
    <t>509.836.4151</t>
  </si>
  <si>
    <t>Chief Kamiakin Elementary School</t>
  </si>
  <si>
    <t>Kim  Frank</t>
  </si>
  <si>
    <t>kim.frank@sunnysideschools.org</t>
  </si>
  <si>
    <t>509.837.6444</t>
  </si>
  <si>
    <t>Kristine  Diddens</t>
  </si>
  <si>
    <t>kris.diddens@sunnysideschools.org</t>
  </si>
  <si>
    <t>509.836.2200</t>
  </si>
  <si>
    <t>Toppenish School District</t>
  </si>
  <si>
    <t>Computer Academy Toppenish High School</t>
  </si>
  <si>
    <t>143 WARD RD</t>
  </si>
  <si>
    <t>TOPPENISH</t>
  </si>
  <si>
    <t>98948-1000</t>
  </si>
  <si>
    <t>Daniel  Sanchez</t>
  </si>
  <si>
    <t>dsanchez@toppenish.wednet.edu</t>
  </si>
  <si>
    <t>509.865.3377</t>
  </si>
  <si>
    <t>Toppenish Pre School</t>
  </si>
  <si>
    <t>407 S. JUNIPER ST</t>
  </si>
  <si>
    <t>98948-1194</t>
  </si>
  <si>
    <t>Anastasia  Sanchez</t>
  </si>
  <si>
    <t>sancheza@toppenish.wednet.edu</t>
  </si>
  <si>
    <t>509.865.8267</t>
  </si>
  <si>
    <t>Toppenish Middle School</t>
  </si>
  <si>
    <t>104 GOLDENDALE AVENUE</t>
  </si>
  <si>
    <t>98948-1280</t>
  </si>
  <si>
    <t>Ruben  Saldivar</t>
  </si>
  <si>
    <t>rsaldivar@toppenish.wednet.edu</t>
  </si>
  <si>
    <t>509.865.2730</t>
  </si>
  <si>
    <t>505 MADISON AVE</t>
  </si>
  <si>
    <t>98948-1173</t>
  </si>
  <si>
    <t>Melissa  Brackney</t>
  </si>
  <si>
    <t>mbrackney@toppenish.wednet.edu</t>
  </si>
  <si>
    <t>509.865.4575</t>
  </si>
  <si>
    <t>309 NORTH ALDER STREET</t>
  </si>
  <si>
    <t>98948-1623</t>
  </si>
  <si>
    <t>Patricia  Diaz</t>
  </si>
  <si>
    <t>pdiaz@toppenish.wednet.edu</t>
  </si>
  <si>
    <t>509.865.4555</t>
  </si>
  <si>
    <t>Toppenish High School</t>
  </si>
  <si>
    <t>141 WARD ROAD</t>
  </si>
  <si>
    <t>98948-9100</t>
  </si>
  <si>
    <t>Cindy  Nichols</t>
  </si>
  <si>
    <t>nicholsc@toppenish.wednet.edu</t>
  </si>
  <si>
    <t>509.865.3370</t>
  </si>
  <si>
    <t>Kirkwood Elementary School</t>
  </si>
  <si>
    <t>403 SOUTH JUNIPER STREET</t>
  </si>
  <si>
    <t>98948-1017</t>
  </si>
  <si>
    <t>Enrique  Romero</t>
  </si>
  <si>
    <t>eromero@toppenish.wednet.edu</t>
  </si>
  <si>
    <t>509.865.4750</t>
  </si>
  <si>
    <t>Highland Junior High School</t>
  </si>
  <si>
    <t>PO Box 38</t>
  </si>
  <si>
    <t>Cowiche</t>
  </si>
  <si>
    <t>98923-9719</t>
  </si>
  <si>
    <t>Don  Strother</t>
  </si>
  <si>
    <t>dstrother@highland.wednet.edu</t>
  </si>
  <si>
    <t>509.678.8806</t>
  </si>
  <si>
    <t>Marcus Whitman-Cowiche Elementary</t>
  </si>
  <si>
    <t>1181 Thompson Rd</t>
  </si>
  <si>
    <t>98923-9758</t>
  </si>
  <si>
    <t>Mindy  Schultz</t>
  </si>
  <si>
    <t>mschultz@highland.wednet.edu</t>
  </si>
  <si>
    <t>509.678.8903</t>
  </si>
  <si>
    <t>Tieton Intermediate School</t>
  </si>
  <si>
    <t>PO Box 6</t>
  </si>
  <si>
    <t>Tieton</t>
  </si>
  <si>
    <t>98947-9504</t>
  </si>
  <si>
    <t>Kelly  Thorson</t>
  </si>
  <si>
    <t>kthorson@highland.wednet.edu</t>
  </si>
  <si>
    <t>509.678.8703</t>
  </si>
  <si>
    <t>Highland High School</t>
  </si>
  <si>
    <t>Brandon  Jensen</t>
  </si>
  <si>
    <t>bjensen@highland.wednet.edu</t>
  </si>
  <si>
    <t>509.678.8805</t>
  </si>
  <si>
    <t>Granger School District</t>
  </si>
  <si>
    <t>Granger Middle School</t>
  </si>
  <si>
    <t>701 E Avenue</t>
  </si>
  <si>
    <t>Granger</t>
  </si>
  <si>
    <t>98932-0400</t>
  </si>
  <si>
    <t>Stephanie  Funk</t>
  </si>
  <si>
    <t>funks@gsd.wednet.edu</t>
  </si>
  <si>
    <t>509.854.1003 ext.2110</t>
  </si>
  <si>
    <t>Granger High School</t>
  </si>
  <si>
    <t>Michael  Carlson</t>
  </si>
  <si>
    <t>carlsonm@gsd.wednet.edu</t>
  </si>
  <si>
    <t>509.854.1115</t>
  </si>
  <si>
    <t>Ann  Bohrnsen-Thola</t>
  </si>
  <si>
    <t>bohrnsena@gsd.wednet.edu</t>
  </si>
  <si>
    <t>509.854.1420</t>
  </si>
  <si>
    <t>Zillah School District</t>
  </si>
  <si>
    <t>Zillah High School</t>
  </si>
  <si>
    <t>1602 Second Avenue</t>
  </si>
  <si>
    <t>Zillah</t>
  </si>
  <si>
    <t>98953-9682</t>
  </si>
  <si>
    <t>Mike  Torres</t>
  </si>
  <si>
    <t>mike.torres@zillahschools.org</t>
  </si>
  <si>
    <t>509.829.5565</t>
  </si>
  <si>
    <t>Hilton Elementary School</t>
  </si>
  <si>
    <t>211 Fourth Avenue</t>
  </si>
  <si>
    <t>98953-9533</t>
  </si>
  <si>
    <t>Ryne  Phillips</t>
  </si>
  <si>
    <t>ryne.phillips@zillahschools.org</t>
  </si>
  <si>
    <t>509.829.5400</t>
  </si>
  <si>
    <t>Zillah Intermediate School</t>
  </si>
  <si>
    <t>303 Second Avenue</t>
  </si>
  <si>
    <t>98953-9543</t>
  </si>
  <si>
    <t>Paula  Dasso</t>
  </si>
  <si>
    <t>paula.dasso@zillahschools.org</t>
  </si>
  <si>
    <t>509.829.5555</t>
  </si>
  <si>
    <t>Zillah Middle School</t>
  </si>
  <si>
    <t>1301 Cutler Way</t>
  </si>
  <si>
    <t>98953-9119</t>
  </si>
  <si>
    <t>Jeff  Charbonneau</t>
  </si>
  <si>
    <t>jeff.charbonneau@zillahschools.org</t>
  </si>
  <si>
    <t>509.829.5511</t>
  </si>
  <si>
    <t>Wapato Middle School</t>
  </si>
  <si>
    <t>1309 Kateri Lane</t>
  </si>
  <si>
    <t>98951-0038</t>
  </si>
  <si>
    <t>Scott E Wells</t>
  </si>
  <si>
    <t>ScottW@wapatosd.org</t>
  </si>
  <si>
    <t>509.877.2173</t>
  </si>
  <si>
    <t>Satus Elementary</t>
  </si>
  <si>
    <t>910 S. Camas Avenue</t>
  </si>
  <si>
    <t>98951-1479</t>
  </si>
  <si>
    <t>Luz  Juarez-Stump</t>
  </si>
  <si>
    <t>luzst@wapatosd.org</t>
  </si>
  <si>
    <t>509.877.2177</t>
  </si>
  <si>
    <t>Wapato High School</t>
  </si>
  <si>
    <t>1202 South Camas Avenue</t>
  </si>
  <si>
    <t>David  Blakney</t>
  </si>
  <si>
    <t>DavidB@wapatosd.org</t>
  </si>
  <si>
    <t>509.877.3138</t>
  </si>
  <si>
    <t>Pace Alternative High School</t>
  </si>
  <si>
    <t>310 S. Wasco Avenue</t>
  </si>
  <si>
    <t>98951-1357</t>
  </si>
  <si>
    <t>Paul  Zagelow</t>
  </si>
  <si>
    <t>PaulZ@wapatosd.org</t>
  </si>
  <si>
    <t>509.877.6138</t>
  </si>
  <si>
    <t>1309 S Camas Ave</t>
  </si>
  <si>
    <t>98951-9790</t>
  </si>
  <si>
    <t>BENJAMIN THOMAS NEWELL</t>
  </si>
  <si>
    <t>BenNe@wapatosd.org</t>
  </si>
  <si>
    <t>509.877.4180</t>
  </si>
  <si>
    <t>Wide Hollow Elementary</t>
  </si>
  <si>
    <t>1000 S 72nd Ave</t>
  </si>
  <si>
    <t>98908-1857</t>
  </si>
  <si>
    <t>RICHARD  FERGUSON</t>
  </si>
  <si>
    <t>fergusonr@wvsd208.org</t>
  </si>
  <si>
    <t>509.972.5550</t>
  </si>
  <si>
    <t>Mountainview Elementary</t>
  </si>
  <si>
    <t>830 Stone Rd</t>
  </si>
  <si>
    <t>98908-9115</t>
  </si>
  <si>
    <t>NICHOLAS  HARTMAN</t>
  </si>
  <si>
    <t>hartmann@wvsd208.org</t>
  </si>
  <si>
    <t>509.972.5530</t>
  </si>
  <si>
    <t>Ahtanum Valley Elementary</t>
  </si>
  <si>
    <t>3006 S Wiley Rd</t>
  </si>
  <si>
    <t>98908-9743</t>
  </si>
  <si>
    <t>Richard D Pryor</t>
  </si>
  <si>
    <t>pryorr@wvsd208.org</t>
  </si>
  <si>
    <t>509.965.2031</t>
  </si>
  <si>
    <t>98908-9243</t>
  </si>
  <si>
    <t>BEN  MCMURRY</t>
  </si>
  <si>
    <t>mcmurryb@wvsd208.org</t>
  </si>
  <si>
    <t>509.972.5906</t>
  </si>
  <si>
    <t>Summitview Elementary</t>
  </si>
  <si>
    <t>6305 W Chestnut Ave</t>
  </si>
  <si>
    <t>98908-3131</t>
  </si>
  <si>
    <t>EVA  Lust-Wright</t>
  </si>
  <si>
    <t>luste@wvsd208.org</t>
  </si>
  <si>
    <t>509.972.5540</t>
  </si>
  <si>
    <t>Apple Valley Elementary</t>
  </si>
  <si>
    <t>7 N 88th Avenue</t>
  </si>
  <si>
    <t>98908-1408</t>
  </si>
  <si>
    <t>Heidi Sue Sutton</t>
  </si>
  <si>
    <t>suttonh@wvsd208.org</t>
  </si>
  <si>
    <t>509.965.2060</t>
  </si>
  <si>
    <t>West Valley Jr High</t>
  </si>
  <si>
    <t>7505 Zier Rd</t>
  </si>
  <si>
    <t>98908-2077</t>
  </si>
  <si>
    <t>RUSS  TUMAN</t>
  </si>
  <si>
    <t>tumanr@wvsd208.org</t>
  </si>
  <si>
    <t>509.972.5800</t>
  </si>
  <si>
    <t>1041 S 96th Ave</t>
  </si>
  <si>
    <t>98908-9746</t>
  </si>
  <si>
    <t>STACEY  DRAKE</t>
  </si>
  <si>
    <t>drakes@wvsd208.org</t>
  </si>
  <si>
    <t>509.972.5520</t>
  </si>
  <si>
    <t>West Valley Middle School</t>
  </si>
  <si>
    <t>1500 S 75th Ave</t>
  </si>
  <si>
    <t>98908-5726</t>
  </si>
  <si>
    <t>Russ  Tuman</t>
  </si>
  <si>
    <t>509.972.5700</t>
  </si>
  <si>
    <t>Mount Adams School District</t>
  </si>
  <si>
    <t>Mount Adams Middle School</t>
  </si>
  <si>
    <t>P.O. Box 578</t>
  </si>
  <si>
    <t>White Swan</t>
  </si>
  <si>
    <t>98952-0578</t>
  </si>
  <si>
    <t>Tracey  Smith</t>
  </si>
  <si>
    <t>tsmith@masd209.org</t>
  </si>
  <si>
    <t>509.874.2324</t>
  </si>
  <si>
    <t>Harrah Elementary School</t>
  </si>
  <si>
    <t>P.O. Box 159</t>
  </si>
  <si>
    <t>Harrah</t>
  </si>
  <si>
    <t>98933-9998</t>
  </si>
  <si>
    <t>Robert  McCracken</t>
  </si>
  <si>
    <t>rmccracken@masd209.org</t>
  </si>
  <si>
    <t>509.848.5700</t>
  </si>
  <si>
    <t>White Swan High School</t>
  </si>
  <si>
    <t>Loon Lake Homelink Program</t>
  </si>
  <si>
    <t>Brad  Van Dyne</t>
  </si>
  <si>
    <t>bvandyne@loonlakeschool.org</t>
  </si>
  <si>
    <t>509.233.8185</t>
  </si>
  <si>
    <t>Marysville SD Special</t>
  </si>
  <si>
    <t>4220 80th St NE</t>
  </si>
  <si>
    <t>Ginger  Merkel</t>
  </si>
  <si>
    <t>ginger_merkel@msd25.org</t>
  </si>
  <si>
    <t>360.965.0174</t>
  </si>
  <si>
    <t>Independent Scholar</t>
  </si>
  <si>
    <t>34515 N. Newport Highway</t>
  </si>
  <si>
    <t>99003-9734</t>
  </si>
  <si>
    <t>Kristy  Misiaszek</t>
  </si>
  <si>
    <t>kristy.misiaszek@rsdmail.org</t>
  </si>
  <si>
    <t>509.464.8478</t>
  </si>
  <si>
    <t>Parent Partnership</t>
  </si>
  <si>
    <t>525 13th Street</t>
  </si>
  <si>
    <t>Millennium Elementary School</t>
  </si>
  <si>
    <t>11919 SE 270th ST</t>
  </si>
  <si>
    <t>98030-8638</t>
  </si>
  <si>
    <t>Tracie  Watson</t>
  </si>
  <si>
    <t>Tracie.Watson@kent.k12.wa.us</t>
  </si>
  <si>
    <t>253.373.3900</t>
  </si>
  <si>
    <t>Columbia Virtual Academy</t>
  </si>
  <si>
    <t>Dave  Vail</t>
  </si>
  <si>
    <t>Dave.Vail@cva.org</t>
  </si>
  <si>
    <t>509.937.2753</t>
  </si>
  <si>
    <t>Loowit High School</t>
  </si>
  <si>
    <t>2001 Allen St</t>
  </si>
  <si>
    <t>rob.birdsell@kelsosd.org</t>
  </si>
  <si>
    <t>360.501.1840</t>
  </si>
  <si>
    <t>Eagle Harbor High School</t>
  </si>
  <si>
    <t>Wellpinit Elementary School</t>
  </si>
  <si>
    <t>Home Choice Academy</t>
  </si>
  <si>
    <t>98682-8091</t>
  </si>
  <si>
    <t>360.604.4032</t>
  </si>
  <si>
    <t>Trojan Alternative School</t>
  </si>
  <si>
    <t>98572-0368</t>
  </si>
  <si>
    <t>F. Patrick Meehan</t>
  </si>
  <si>
    <t>pmeehan@peell.k12.wa.us</t>
  </si>
  <si>
    <t>(360) 291-3244</t>
  </si>
  <si>
    <t>800 E K St</t>
  </si>
  <si>
    <t>Carey  Murray</t>
  </si>
  <si>
    <t>cmurray@sheltonschools.org</t>
  </si>
  <si>
    <t>360.462.6671</t>
  </si>
  <si>
    <t>Angelo Giaudrone Middle School</t>
  </si>
  <si>
    <t>4902 S Alaska St</t>
  </si>
  <si>
    <t>William  Harris</t>
  </si>
  <si>
    <t>wharri1@tacoma.k12.wa.us</t>
  </si>
  <si>
    <t>253.571.5811</t>
  </si>
  <si>
    <t>Burlington-Edison Alternative School</t>
  </si>
  <si>
    <t>301 N Burlington Blvd</t>
  </si>
  <si>
    <t>98233-2298</t>
  </si>
  <si>
    <t>360.965.3000</t>
  </si>
  <si>
    <t>York Elementary School</t>
  </si>
  <si>
    <t>9301 NE 152nd Avenue</t>
  </si>
  <si>
    <t>98682-2744</t>
  </si>
  <si>
    <t>Dawn  Harris</t>
  </si>
  <si>
    <t>Dawn.Harris@evergreenps.org</t>
  </si>
  <si>
    <t>360.604.3975</t>
  </si>
  <si>
    <t>Interagency Detention School</t>
  </si>
  <si>
    <t>1211 E ALDER  MS 1-F</t>
  </si>
  <si>
    <t>98122-5553</t>
  </si>
  <si>
    <t>Spokane Juvenile Detention School</t>
  </si>
  <si>
    <t>1208 Mallen St.</t>
  </si>
  <si>
    <t>99205-0128</t>
  </si>
  <si>
    <t>Structural Alt Confinement School</t>
  </si>
  <si>
    <t>1208 W. Mallen St.</t>
  </si>
  <si>
    <t>99205-0320</t>
  </si>
  <si>
    <t>Bridgeport Aurora High School</t>
  </si>
  <si>
    <t>P.O. BOX 1060</t>
  </si>
  <si>
    <t>Tamra  Jacskon</t>
  </si>
  <si>
    <t>Port Gardner</t>
  </si>
  <si>
    <t>Lynden Special Services</t>
  </si>
  <si>
    <t>205 S BC AVE STE 115</t>
  </si>
  <si>
    <t>Tim   Metz</t>
  </si>
  <si>
    <t>metzt@lynden.wednet.edu</t>
  </si>
  <si>
    <t>360.354.2893</t>
  </si>
  <si>
    <t>502 4TH ST NE</t>
  </si>
  <si>
    <t>98002-5020</t>
  </si>
  <si>
    <t>Tami  Petrina</t>
  </si>
  <si>
    <t>tpetrina@auburn.wednet.edu</t>
  </si>
  <si>
    <t>253.931.4927</t>
  </si>
  <si>
    <t>Educational Resource Center</t>
  </si>
  <si>
    <t>4888 DEMING RD</t>
  </si>
  <si>
    <t>Ian  Linterman</t>
  </si>
  <si>
    <t>ilinterman@mtbaker.wednet.edu</t>
  </si>
  <si>
    <t>360.383.2012</t>
  </si>
  <si>
    <t>Cougar Creek Elementary School</t>
  </si>
  <si>
    <t>P.O. Box 128</t>
  </si>
  <si>
    <t>98259-0128</t>
  </si>
  <si>
    <t>William  Landry</t>
  </si>
  <si>
    <t>blandry@lwsd.wednet.edu</t>
  </si>
  <si>
    <t>360.652.4517</t>
  </si>
  <si>
    <t>Columbia Junior High School</t>
  </si>
  <si>
    <t>2901 54th Avenue E</t>
  </si>
  <si>
    <t>98424-2110</t>
  </si>
  <si>
    <t>Mark  Robinson</t>
  </si>
  <si>
    <t>mrobinson@fifeschools.com</t>
  </si>
  <si>
    <t>253.517.1600</t>
  </si>
  <si>
    <t>Children First</t>
  </si>
  <si>
    <t>12325 E GRACE AVE</t>
  </si>
  <si>
    <t>99216-0000</t>
  </si>
  <si>
    <t>Maureen  Lyden</t>
  </si>
  <si>
    <t>lydenm@evsd.org</t>
  </si>
  <si>
    <t>509.924.1830</t>
  </si>
  <si>
    <t>Student Link</t>
  </si>
  <si>
    <t>9600 SW 204th St</t>
  </si>
  <si>
    <t>Vashon</t>
  </si>
  <si>
    <t>Bainbridge Special Education Services</t>
  </si>
  <si>
    <t>8489 Madison Ave NE</t>
  </si>
  <si>
    <t>98110-2999</t>
  </si>
  <si>
    <t>Diane  Leonetti</t>
  </si>
  <si>
    <t>dleonetti@bisd303.org</t>
  </si>
  <si>
    <t>206.780.1069</t>
  </si>
  <si>
    <t>Midland Elementary</t>
  </si>
  <si>
    <t>2300 105th St E</t>
  </si>
  <si>
    <t>98445-5324</t>
  </si>
  <si>
    <t>Paula  Dawson</t>
  </si>
  <si>
    <t>paula.dawson@fpschools.org</t>
  </si>
  <si>
    <t>253.298.4501</t>
  </si>
  <si>
    <t>Cougar Mountain Middle School</t>
  </si>
  <si>
    <t>5108 260th St E</t>
  </si>
  <si>
    <t>98338-0000</t>
  </si>
  <si>
    <t>Brittany  Corpuz</t>
  </si>
  <si>
    <t>BACORPUZ@BETHELSD.ORG</t>
  </si>
  <si>
    <t>253.800.8000</t>
  </si>
  <si>
    <t>Chelan School of Innovation</t>
  </si>
  <si>
    <t>303 East Johnson Avenue</t>
  </si>
  <si>
    <t>carpenterc@chelanschools.org</t>
  </si>
  <si>
    <t>Mid-Columbia Parent Partnership</t>
  </si>
  <si>
    <t>5980 W 12th Ave</t>
  </si>
  <si>
    <t>Carrie  Deforest</t>
  </si>
  <si>
    <t>carrie.deforest@ksd.org</t>
  </si>
  <si>
    <t>509.222.5036</t>
  </si>
  <si>
    <t>Cascade K-8 Community School</t>
  </si>
  <si>
    <t xml:space="preserve">2800 NE 200th </t>
  </si>
  <si>
    <t>Chrisy  Francescutti</t>
  </si>
  <si>
    <t>chrisy.francescutti@shorelineschools.org</t>
  </si>
  <si>
    <t>206.393.4181</t>
  </si>
  <si>
    <t>Employment Transition Program</t>
  </si>
  <si>
    <t>33250 21st Ave SW</t>
  </si>
  <si>
    <t>Jane  Al-Tamimi</t>
  </si>
  <si>
    <t>jaltamim@fwps.org</t>
  </si>
  <si>
    <t>253.945.4580</t>
  </si>
  <si>
    <t>Support School</t>
  </si>
  <si>
    <t>33330 8th Ave S</t>
  </si>
  <si>
    <t xml:space="preserve">Federal Way </t>
  </si>
  <si>
    <t>Jennifer  Westover</t>
  </si>
  <si>
    <t>jwestove@fwps.org</t>
  </si>
  <si>
    <t>253.945.2000</t>
  </si>
  <si>
    <t>Quincy Innovation Academy</t>
  </si>
  <si>
    <t>404 1st Ave SW</t>
  </si>
  <si>
    <t>98848-1201</t>
  </si>
  <si>
    <t>Kathie  Brown</t>
  </si>
  <si>
    <t>kbrown@qsd.wednet.edu</t>
  </si>
  <si>
    <t>509.787.1678</t>
  </si>
  <si>
    <t>Republic Parent Partner</t>
  </si>
  <si>
    <t>30306 EAST HIGHWAY 20</t>
  </si>
  <si>
    <t>Michael Anderson Elementary</t>
  </si>
  <si>
    <t>400 W. Fairchild Highway</t>
  </si>
  <si>
    <t>Fairchild AFB</t>
  </si>
  <si>
    <t>99011-8676</t>
  </si>
  <si>
    <t>Darlene  Starr</t>
  </si>
  <si>
    <t>dstarr@mlsd.org</t>
  </si>
  <si>
    <t>509.565.3603</t>
  </si>
  <si>
    <t>3616 South Road</t>
  </si>
  <si>
    <t>Suite C-4</t>
  </si>
  <si>
    <t>Kim D Parker</t>
  </si>
  <si>
    <t>ParkerKD@mukilteo.wednet.edu</t>
  </si>
  <si>
    <t>425.356.1312</t>
  </si>
  <si>
    <t>Palouse at Garfield Middle School</t>
  </si>
  <si>
    <t>zane  Wells</t>
  </si>
  <si>
    <t>Garfield at Palouse High School</t>
  </si>
  <si>
    <t>600 E. Alder</t>
  </si>
  <si>
    <t>99161-0000</t>
  </si>
  <si>
    <t xml:space="preserve">3000 NW 119TH ST </t>
  </si>
  <si>
    <t>98685-4028</t>
  </si>
  <si>
    <t>Luke  LeCount</t>
  </si>
  <si>
    <t>Luke.Lecount@vansd.org</t>
  </si>
  <si>
    <t>360.313.3700</t>
  </si>
  <si>
    <t>Griffin Bay School</t>
  </si>
  <si>
    <t>Karen  McVeigh</t>
  </si>
  <si>
    <t>karimcveigh@sjisd.wednet.edu</t>
  </si>
  <si>
    <t>360.378.4133</t>
  </si>
  <si>
    <t>Spokane Valley Learning Academy</t>
  </si>
  <si>
    <t>509.228.4252</t>
  </si>
  <si>
    <t>Ellensburg Developmental Preschool</t>
  </si>
  <si>
    <t>1300 E Third Avenue</t>
  </si>
  <si>
    <t>Patricia  Kimmel</t>
  </si>
  <si>
    <t>patricia.kimmel@esd401.org</t>
  </si>
  <si>
    <t>509.925.8117</t>
  </si>
  <si>
    <t>Edmonds Heights K-12</t>
  </si>
  <si>
    <t>23200 100th Ave W</t>
  </si>
  <si>
    <t>98020-5200</t>
  </si>
  <si>
    <t>Scott F Mauk</t>
  </si>
  <si>
    <t>mauks@edmonds.wednet.edu</t>
  </si>
  <si>
    <t>425.431.7841</t>
  </si>
  <si>
    <t>Washougal Special Services</t>
  </si>
  <si>
    <t>4855 Evergreen Way</t>
  </si>
  <si>
    <t>98671-9176</t>
  </si>
  <si>
    <t>Allison  Blakely</t>
  </si>
  <si>
    <t>allison.blakely@washougalsd.org</t>
  </si>
  <si>
    <t>360.954.3021</t>
  </si>
  <si>
    <t>Odyssey Elementary</t>
  </si>
  <si>
    <t>13025 17th Ave W</t>
  </si>
  <si>
    <t>Rebecca C Oren</t>
  </si>
  <si>
    <t>OrenRC@Mukilteo.wednet.edu</t>
  </si>
  <si>
    <t>425.366.3200</t>
  </si>
  <si>
    <t>Newcastle Elementary School</t>
  </si>
  <si>
    <t>8400 136th Ave SE</t>
  </si>
  <si>
    <t>Tod  Wood</t>
  </si>
  <si>
    <t>woodt@issaquah.wednet.edu</t>
  </si>
  <si>
    <t>425.837.5801</t>
  </si>
  <si>
    <t>Pasco Early Childhood</t>
  </si>
  <si>
    <t>1215 W Lewis</t>
  </si>
  <si>
    <t>Tracy  Wilson</t>
  </si>
  <si>
    <t>twilson@psd1.org</t>
  </si>
  <si>
    <t>509.543.6703</t>
  </si>
  <si>
    <t>Yakima Valley Technical Skills Center</t>
  </si>
  <si>
    <t>Dennis  Matson</t>
  </si>
  <si>
    <t>matson.dennis@yakimaschools.org</t>
  </si>
  <si>
    <t>509.573.5501</t>
  </si>
  <si>
    <t>International School</t>
  </si>
  <si>
    <t>445 128th Ave SE</t>
  </si>
  <si>
    <t>Tara  Gray</t>
  </si>
  <si>
    <t>grayt@bsd405.org</t>
  </si>
  <si>
    <t>425.456.6500</t>
  </si>
  <si>
    <t>Raisbeck Aviation High School</t>
  </si>
  <si>
    <t>9229 East Marginal Way S</t>
  </si>
  <si>
    <t>Therese  Tipton</t>
  </si>
  <si>
    <t>Therese.Tipton@highlineschools.org</t>
  </si>
  <si>
    <t>206.631.7200</t>
  </si>
  <si>
    <t>Vancouver Home Connection</t>
  </si>
  <si>
    <t>deanna.hogan@vansd.org</t>
  </si>
  <si>
    <t>New Start</t>
  </si>
  <si>
    <t>614 SW 120th St</t>
  </si>
  <si>
    <t>Satellite High School</t>
  </si>
  <si>
    <t>98148-0000</t>
  </si>
  <si>
    <t>Maya Angelou Elementary</t>
  </si>
  <si>
    <t>6001 ROAD 84</t>
  </si>
  <si>
    <t>99301-6763</t>
  </si>
  <si>
    <t>Diana  Cissne</t>
  </si>
  <si>
    <t>dcissne@psd1.org</t>
  </si>
  <si>
    <t>509.543.6748</t>
  </si>
  <si>
    <t>Freeman Middle School</t>
  </si>
  <si>
    <t>14917 S Jackson Rd</t>
  </si>
  <si>
    <t>Ben  Ferney</t>
  </si>
  <si>
    <t>bferney@freemansd.org</t>
  </si>
  <si>
    <t>509.291.7301</t>
  </si>
  <si>
    <t>Stella Schola</t>
  </si>
  <si>
    <t>13505 NE 75th Street</t>
  </si>
  <si>
    <t>Republic Junior High</t>
  </si>
  <si>
    <t xml:space="preserve">30306 E Highway 20 </t>
  </si>
  <si>
    <t>Republic</t>
  </si>
  <si>
    <t>99166-8746</t>
  </si>
  <si>
    <t>Valley View Elementary</t>
  </si>
  <si>
    <t>515 ZILLAH AVE</t>
  </si>
  <si>
    <t>98948-1485</t>
  </si>
  <si>
    <t>Angela  Purdy</t>
  </si>
  <si>
    <t>apurdy@toppenish.wednet.edu</t>
  </si>
  <si>
    <t>509.865.8240</t>
  </si>
  <si>
    <t>Fryelands Elementary</t>
  </si>
  <si>
    <t>15286 Fryelands Blvd.</t>
  </si>
  <si>
    <t>Jeffery  Presley</t>
  </si>
  <si>
    <t>presleyj@monroe.wednet.edu</t>
  </si>
  <si>
    <t>360.804.3400</t>
  </si>
  <si>
    <t>Okanogan Alternative High School</t>
  </si>
  <si>
    <t>Omak</t>
  </si>
  <si>
    <t>98841-0592</t>
  </si>
  <si>
    <t>Roy  Johnson</t>
  </si>
  <si>
    <t>Developmental Pre-School</t>
  </si>
  <si>
    <t>PO Box 907</t>
  </si>
  <si>
    <t>411 E. Saddle Mt. Drive</t>
  </si>
  <si>
    <t>Sean  Langdon</t>
  </si>
  <si>
    <t>Lynden Academy</t>
  </si>
  <si>
    <t xml:space="preserve">1986 Main St Suite A </t>
  </si>
  <si>
    <t>Ellie   Meenk</t>
  </si>
  <si>
    <t>meenke@lynden.wednet.edu</t>
  </si>
  <si>
    <t>360.354.6675</t>
  </si>
  <si>
    <t>Muckleshoot Indian Tribe</t>
  </si>
  <si>
    <t>Muckleshoot Tribal School</t>
  </si>
  <si>
    <t>39015 172nd Avenue Southeast</t>
  </si>
  <si>
    <t>Swiftwater Learning Center</t>
  </si>
  <si>
    <t>4244 BULLFROG ROAD</t>
  </si>
  <si>
    <t>Clovis Point</t>
  </si>
  <si>
    <t>1855 4th St SE</t>
  </si>
  <si>
    <t>Robert  Celebrezze</t>
  </si>
  <si>
    <t>celebrezzer@eastmont206.org</t>
  </si>
  <si>
    <t>509.888.1400</t>
  </si>
  <si>
    <t>Skagit Academy</t>
  </si>
  <si>
    <t>Chris  Jorgensen</t>
  </si>
  <si>
    <t>Head Start</t>
  </si>
  <si>
    <t>9700 8th Avenue SW</t>
  </si>
  <si>
    <t>School to Life</t>
  </si>
  <si>
    <t>Saratoga School</t>
  </si>
  <si>
    <t>9307 271st Street NW</t>
  </si>
  <si>
    <t>Stanwood</t>
  </si>
  <si>
    <t>MONICA  MCDANIEL</t>
  </si>
  <si>
    <t>mmcdaniel@stanwood.wednet.edu</t>
  </si>
  <si>
    <t>360.629.1372</t>
  </si>
  <si>
    <t>Columbia Valley Elementary</t>
  </si>
  <si>
    <t>17500 SE Sequoia Cr</t>
  </si>
  <si>
    <t>Leah  Torres</t>
  </si>
  <si>
    <t>Leah.Torres@evergreenps.org</t>
  </si>
  <si>
    <t>360.604.3375</t>
  </si>
  <si>
    <t>West Valley Preschool</t>
  </si>
  <si>
    <t>98903-9720</t>
  </si>
  <si>
    <t>Haller Middle School</t>
  </si>
  <si>
    <t>600 E. First</t>
  </si>
  <si>
    <t>Trever  Summers</t>
  </si>
  <si>
    <t>tsummers@asd.wednet.edu</t>
  </si>
  <si>
    <t>360.618.6400</t>
  </si>
  <si>
    <t>Orting Special Education</t>
  </si>
  <si>
    <t>316 Washington Ave N</t>
  </si>
  <si>
    <t>Christopher  Willis</t>
  </si>
  <si>
    <t>willisc@orting.wednet.edu</t>
  </si>
  <si>
    <t>360.893.6500</t>
  </si>
  <si>
    <t>Centralia College</t>
  </si>
  <si>
    <t>Garrett Heyns High School</t>
  </si>
  <si>
    <t>P.O. Box 900</t>
  </si>
  <si>
    <t>Jacquie  Armstrong</t>
  </si>
  <si>
    <t>jmarmstrong@doc1.wa.gov</t>
  </si>
  <si>
    <t>360.427.4674</t>
  </si>
  <si>
    <t>Goldendale Support Service Center</t>
  </si>
  <si>
    <t>820 S. SCHUSTER ST.</t>
  </si>
  <si>
    <t>Cindy  Barstow</t>
  </si>
  <si>
    <t>cbarstow@gsd404.org</t>
  </si>
  <si>
    <t>360.907.3230</t>
  </si>
  <si>
    <t xml:space="preserve">Developmental Preschool </t>
  </si>
  <si>
    <t>253.983.2239</t>
  </si>
  <si>
    <t>New Market High School</t>
  </si>
  <si>
    <t>7299 New Market Street SW</t>
  </si>
  <si>
    <t>Cascade View Elementary School</t>
  </si>
  <si>
    <t>34816 SE Ridge Street</t>
  </si>
  <si>
    <t>Jim  Frazier</t>
  </si>
  <si>
    <t>frazierj@svsd410.org</t>
  </si>
  <si>
    <t>425.831.4100</t>
  </si>
  <si>
    <t>Mill Creek Middle School</t>
  </si>
  <si>
    <t>620 Central Ave N</t>
  </si>
  <si>
    <t>98032-4511</t>
  </si>
  <si>
    <t>Scott  Haines</t>
  </si>
  <si>
    <t>Scott.Haines@kent.k12.wa.us</t>
  </si>
  <si>
    <t>253.373.7446</t>
  </si>
  <si>
    <t>Lackamas Elementary</t>
  </si>
  <si>
    <t>SHAUNA  PEREZ</t>
  </si>
  <si>
    <t>SHAUNA_PEREZ@YCS.WEDNET.EDU</t>
  </si>
  <si>
    <t>360.894.6003</t>
  </si>
  <si>
    <t>400 West Viola</t>
  </si>
  <si>
    <t>Amanda  Jewell</t>
  </si>
  <si>
    <t>Jewell.Amanda@yakimaschools.org</t>
  </si>
  <si>
    <t>509.573.7019</t>
  </si>
  <si>
    <t>Virgie Robinson Elementary</t>
  </si>
  <si>
    <t>125 S. Wehe Ave</t>
  </si>
  <si>
    <t>Wendi  Manthei</t>
  </si>
  <si>
    <t>wmanthei@psd1.org</t>
  </si>
  <si>
    <t>509.543.6086</t>
  </si>
  <si>
    <t>Blaine Home Connections</t>
  </si>
  <si>
    <t>765 H Street</t>
  </si>
  <si>
    <t>Nate  Button</t>
  </si>
  <si>
    <t>nbutton@blainesd.org</t>
  </si>
  <si>
    <t>360.332.8182</t>
  </si>
  <si>
    <t>Bonney Lake High School</t>
  </si>
  <si>
    <t>10920 199th Ave Ct E</t>
  </si>
  <si>
    <t>Cris  Turner</t>
  </si>
  <si>
    <t>cris_turner@sumnersd.org</t>
  </si>
  <si>
    <t>253.891.5700</t>
  </si>
  <si>
    <t>Mt. Solo Middle School</t>
  </si>
  <si>
    <t>5300 Mt. Solo Road</t>
  </si>
  <si>
    <t>Jarl A Opgrande</t>
  </si>
  <si>
    <t>jopgrande@longview.k12.wa.us</t>
  </si>
  <si>
    <t>360.575.2800</t>
  </si>
  <si>
    <t>Harrison Prep School</t>
  </si>
  <si>
    <t>9103 Lakewood Dr SW</t>
  </si>
  <si>
    <t>Kevin  Rupprecht</t>
  </si>
  <si>
    <t>krupprec@cloverpark.k12.wa.us</t>
  </si>
  <si>
    <t>253.583.5418</t>
  </si>
  <si>
    <t>Big Picture School</t>
  </si>
  <si>
    <t>440 S 186th St</t>
  </si>
  <si>
    <t>Lisa  Escobar</t>
  </si>
  <si>
    <t>lisa.escobar@highlineschools.org</t>
  </si>
  <si>
    <t>206.631.7700</t>
  </si>
  <si>
    <t>Sequoyah Middle School</t>
  </si>
  <si>
    <t>3425 S 360th ST</t>
  </si>
  <si>
    <t>98001-9339</t>
  </si>
  <si>
    <t>Joseph  Rush</t>
  </si>
  <si>
    <t>jrush@fwps.org</t>
  </si>
  <si>
    <t>253.945.3670</t>
  </si>
  <si>
    <t>HomeConnection</t>
  </si>
  <si>
    <t>PO Box 20</t>
  </si>
  <si>
    <t>Taholah Elementary &amp; Middle School</t>
  </si>
  <si>
    <t>Graham Kapowsin High School</t>
  </si>
  <si>
    <t>22100 108th Ave E</t>
  </si>
  <si>
    <t>Matt  Yarkosky</t>
  </si>
  <si>
    <t>myarkosky@bethelsd.org</t>
  </si>
  <si>
    <t>253.800.6100</t>
  </si>
  <si>
    <t>Toddler Learning Center</t>
  </si>
  <si>
    <t>PO Box 633</t>
  </si>
  <si>
    <t>98277-0633</t>
  </si>
  <si>
    <t>Toni  Kotschwar</t>
  </si>
  <si>
    <t>toddler@whidbey.net</t>
  </si>
  <si>
    <t>(360) 679-1039</t>
  </si>
  <si>
    <t>HomeWorks</t>
  </si>
  <si>
    <t>520 4th Street</t>
  </si>
  <si>
    <t>slawson@cheneysd.org</t>
  </si>
  <si>
    <t>509.559.4590</t>
  </si>
  <si>
    <t>Auburn Mountainview High School</t>
  </si>
  <si>
    <t>28900 124th AVE SE</t>
  </si>
  <si>
    <t>98092-3101</t>
  </si>
  <si>
    <t>Terri  Herren</t>
  </si>
  <si>
    <t>therren@auburn.wednet.edu</t>
  </si>
  <si>
    <t>253.804.4539</t>
  </si>
  <si>
    <t>Park Place Middle School</t>
  </si>
  <si>
    <t>1408 West Main Street</t>
  </si>
  <si>
    <t>Terry  Cheshire</t>
  </si>
  <si>
    <t>cheshiret@monroe.wednet.edu</t>
  </si>
  <si>
    <t>360.804.4300</t>
  </si>
  <si>
    <t>Medical Lake Endeavors</t>
  </si>
  <si>
    <t xml:space="preserve">Medical Lake </t>
  </si>
  <si>
    <t>LYRA  MCGIRK</t>
  </si>
  <si>
    <t>lmcgirk@mlsd.org</t>
  </si>
  <si>
    <t>509.565.3141</t>
  </si>
  <si>
    <t>Central Valley Early Learning Center</t>
  </si>
  <si>
    <t>Suite C</t>
  </si>
  <si>
    <t>99206-6944</t>
  </si>
  <si>
    <t>Barb  Sattler</t>
  </si>
  <si>
    <t>bsattler@cvsd.org</t>
  </si>
  <si>
    <t>509.228.5810</t>
  </si>
  <si>
    <t>White River Special Ed Services</t>
  </si>
  <si>
    <t>P. O. Box 2050</t>
  </si>
  <si>
    <t>Hugh  Flint</t>
  </si>
  <si>
    <t>hflint@whiteriver.wednet.edu</t>
  </si>
  <si>
    <t>360.829.3957</t>
  </si>
  <si>
    <t>Private School Services</t>
  </si>
  <si>
    <t>MS-31-720</t>
  </si>
  <si>
    <t>cmclancy@seattleschools.org</t>
  </si>
  <si>
    <t>206.252.0054</t>
  </si>
  <si>
    <t>Meridian Parent Partnership Program</t>
  </si>
  <si>
    <t>240 W Laurel Rd</t>
  </si>
  <si>
    <t>MICHELLE  SIADAL</t>
  </si>
  <si>
    <t>msiadal@meridian.wednet.edu</t>
  </si>
  <si>
    <t>360.398.9324</t>
  </si>
  <si>
    <t>Birth to 3 Contracts</t>
  </si>
  <si>
    <t>P.O. Box 34165</t>
  </si>
  <si>
    <t>Julie  Mack</t>
  </si>
  <si>
    <t>jmack@seattleschools.org</t>
  </si>
  <si>
    <t>206.252.0887</t>
  </si>
  <si>
    <t>Sierra Vista Middle School</t>
  </si>
  <si>
    <t>916 N. 16 Street</t>
  </si>
  <si>
    <t>Julie  Perez</t>
  </si>
  <si>
    <t>julie.perez@sunnysideschools.org</t>
  </si>
  <si>
    <t>509.836.8500</t>
  </si>
  <si>
    <t>Lakeland Hills Elementary</t>
  </si>
  <si>
    <t>1020 Evergreen Way SE</t>
  </si>
  <si>
    <t>98092-8019</t>
  </si>
  <si>
    <t>Colleen  Barlow</t>
  </si>
  <si>
    <t>cbarlow@auburn.wednet.edu</t>
  </si>
  <si>
    <t>253.876.7711</t>
  </si>
  <si>
    <t>Ridgeline Middle School</t>
  </si>
  <si>
    <t>CRAIG  CURRY</t>
  </si>
  <si>
    <t>CRAIG_CURRY@YCS.WEDNET.EDU</t>
  </si>
  <si>
    <t>360.458.1100</t>
  </si>
  <si>
    <t>Rosa Parks Elementary</t>
  </si>
  <si>
    <t>22845 NE Cedar Park Crescent</t>
  </si>
  <si>
    <t>98053-5887</t>
  </si>
  <si>
    <t>Melissa  Doering</t>
  </si>
  <si>
    <t>mdoering@lwsd.org</t>
  </si>
  <si>
    <t>425.936.2650</t>
  </si>
  <si>
    <t>Liberty Middle School</t>
  </si>
  <si>
    <t>1612 NE Garfield St</t>
  </si>
  <si>
    <t>Gary  Moller</t>
  </si>
  <si>
    <t>gary.moller@camas.wednet.edu</t>
  </si>
  <si>
    <t>360.833.5850</t>
  </si>
  <si>
    <t>Papermaker Preschool</t>
  </si>
  <si>
    <t>26900 SE 15th St</t>
  </si>
  <si>
    <t>360.335.3000</t>
  </si>
  <si>
    <t>Grand Ridge Elementary</t>
  </si>
  <si>
    <t>1739 NE Park Dr</t>
  </si>
  <si>
    <t>Jill  Ravenscraft</t>
  </si>
  <si>
    <t>ravenscraftj@issaquah.wednet.edu</t>
  </si>
  <si>
    <t>425.837.7926</t>
  </si>
  <si>
    <t>Renaissance School</t>
  </si>
  <si>
    <t>4000 228th NE</t>
  </si>
  <si>
    <t>wbede@lwsd.org</t>
  </si>
  <si>
    <t>425.936.1544</t>
  </si>
  <si>
    <t>Good Beginnings Center</t>
  </si>
  <si>
    <t>780 Cook Rd</t>
  </si>
  <si>
    <t>Tony  Smith</t>
  </si>
  <si>
    <t>imullan@swsd.k12.wa.us</t>
  </si>
  <si>
    <t>360.833.3565</t>
  </si>
  <si>
    <t>Island Juvenile Detention Education Program</t>
  </si>
  <si>
    <t>501 S Main St</t>
  </si>
  <si>
    <t>James  Shank</t>
  </si>
  <si>
    <t>360.678.2402</t>
  </si>
  <si>
    <t>Bates Technical High School</t>
  </si>
  <si>
    <t>1101 South Yakima Avenue</t>
  </si>
  <si>
    <t>98405-4895</t>
  </si>
  <si>
    <t>Peter  Hauschka</t>
  </si>
  <si>
    <t>phauschka@bates.ctc.edu</t>
  </si>
  <si>
    <t>253.680.7261</t>
  </si>
  <si>
    <t xml:space="preserve"> College/University, Public School, Regular School</t>
  </si>
  <si>
    <t>Issaquah ECEAP</t>
  </si>
  <si>
    <t>15025 SE 117th ST</t>
  </si>
  <si>
    <t>Jodi  Bongard</t>
  </si>
  <si>
    <t>bongardj@issaquah.wednet.edu</t>
  </si>
  <si>
    <t>425.837.7024</t>
  </si>
  <si>
    <t>Helen B. Stafford Elementary</t>
  </si>
  <si>
    <t>1615 South 92nd St</t>
  </si>
  <si>
    <t>Shannan  Graves</t>
  </si>
  <si>
    <t>sgraves@tacoma.k12.wa.us</t>
  </si>
  <si>
    <t>253.571.4300</t>
  </si>
  <si>
    <t>Renton Academy</t>
  </si>
  <si>
    <t>Insight School of Washington</t>
  </si>
  <si>
    <t>411 South Spartan Ave</t>
  </si>
  <si>
    <t>Darice  Bales</t>
  </si>
  <si>
    <t>darice.bales@k12insightwa.org</t>
  </si>
  <si>
    <t>425.533.2700 ext. 2004</t>
  </si>
  <si>
    <t>Madrona Heights PreSchool Program</t>
  </si>
  <si>
    <t>2150 Fircrest Dr SE</t>
  </si>
  <si>
    <t>Robin  Christman</t>
  </si>
  <si>
    <t>christmanr@skschools.org</t>
  </si>
  <si>
    <t>360.874.3627</t>
  </si>
  <si>
    <t>Selkirk School District</t>
  </si>
  <si>
    <t>Selkirk Elementary</t>
  </si>
  <si>
    <t>PO Box 68</t>
  </si>
  <si>
    <t>Metaline Falls</t>
  </si>
  <si>
    <t>Nancy J Lotze</t>
  </si>
  <si>
    <t>nlotze@selkirkschools.org</t>
  </si>
  <si>
    <t>509.446.4225</t>
  </si>
  <si>
    <t>601 Crawford St</t>
  </si>
  <si>
    <t>Olympia Regional Learning Academy</t>
  </si>
  <si>
    <t>2400 15th Ave SE</t>
  </si>
  <si>
    <t>Celeste  Waltermeyer</t>
  </si>
  <si>
    <t>cwaltermeyer@osd.wednet.edu</t>
  </si>
  <si>
    <t>360.596.7730</t>
  </si>
  <si>
    <t>White Salmon Academy</t>
  </si>
  <si>
    <t>Janet  McCutcheon</t>
  </si>
  <si>
    <t>janet.mccutcheon@whitesalmonschools.org</t>
  </si>
  <si>
    <t>Eatonville Developmental Pre-School</t>
  </si>
  <si>
    <t>Cristin  Blaskowitz</t>
  </si>
  <si>
    <t>cristin_blaskowitz@eatonville.wednet.edu</t>
  </si>
  <si>
    <t>360.879.1800</t>
  </si>
  <si>
    <t>Arthur Jacobsen Elementary</t>
  </si>
  <si>
    <t>29205 132ND AVE SE</t>
  </si>
  <si>
    <t>98092-2142</t>
  </si>
  <si>
    <t>Eric  Daniel</t>
  </si>
  <si>
    <t>edaniel@auburn.wednet.edu</t>
  </si>
  <si>
    <t>253.931.4866</t>
  </si>
  <si>
    <t>Ferndale Special Services</t>
  </si>
  <si>
    <t>Paul  Douglas</t>
  </si>
  <si>
    <t>paul.douglas@ferndalesd.org</t>
  </si>
  <si>
    <t>360.383.9221</t>
  </si>
  <si>
    <t>Crossroads Community School</t>
  </si>
  <si>
    <t>Gary  Stebbins</t>
  </si>
  <si>
    <t>gstebbins@qsd48.org</t>
  </si>
  <si>
    <t>360.765.3363</t>
  </si>
  <si>
    <t>Kittitas B-5 Special Ed Program</t>
  </si>
  <si>
    <t>P.O. Box 599</t>
  </si>
  <si>
    <t>Clover Park Technical College</t>
  </si>
  <si>
    <t>Northwest Career and Technical High School</t>
  </si>
  <si>
    <t>4500 Steilacoom Blvd SW</t>
  </si>
  <si>
    <t>98499-4098</t>
  </si>
  <si>
    <t>Jim  Mancuso</t>
  </si>
  <si>
    <t>jim.mancuso@cptc.edu</t>
  </si>
  <si>
    <t>253.589.5771</t>
  </si>
  <si>
    <t xml:space="preserve"> College/University, Vocational/technical school</t>
  </si>
  <si>
    <t>Kingston High School</t>
  </si>
  <si>
    <t>26201 Siyaya Avenue NE</t>
  </si>
  <si>
    <t>Jack P Simsonson</t>
  </si>
  <si>
    <t>jsimonson@nkschools.org</t>
  </si>
  <si>
    <t>360.396.3105</t>
  </si>
  <si>
    <t>Special Services School</t>
  </si>
  <si>
    <t>Leilani  Thomas</t>
  </si>
  <si>
    <t>lthomas@concrete.k12.wa.us</t>
  </si>
  <si>
    <t>360.853.4151</t>
  </si>
  <si>
    <t>8615 184th St E</t>
  </si>
  <si>
    <t>Abigail  Chandler</t>
  </si>
  <si>
    <t>ChandAB@puyallup.k12.wa.us</t>
  </si>
  <si>
    <t>253.840.8808</t>
  </si>
  <si>
    <t>Daybreak Middle</t>
  </si>
  <si>
    <t>Kevin  Palena</t>
  </si>
  <si>
    <t>palena.kevin@battlegroundps.org</t>
  </si>
  <si>
    <t>360.885.6900</t>
  </si>
  <si>
    <t>Daybreak Primary</t>
  </si>
  <si>
    <t>kauffman.matt@battlegroundps.org</t>
  </si>
  <si>
    <t>360.885.6950</t>
  </si>
  <si>
    <t>Forest View Elementary School</t>
  </si>
  <si>
    <t>5601 156th St. SE</t>
  </si>
  <si>
    <t>Darren  Larama</t>
  </si>
  <si>
    <t>425.385.7900</t>
  </si>
  <si>
    <t>White Bluffs Elementary School</t>
  </si>
  <si>
    <t>1250 Kensington</t>
  </si>
  <si>
    <t>Gail  Ledbetter</t>
  </si>
  <si>
    <t>Gail.Ledbetter@rsd.edu</t>
  </si>
  <si>
    <t>509.967.6575</t>
  </si>
  <si>
    <t>Edgerton Elementary</t>
  </si>
  <si>
    <t>16528 127th Ave Ct E</t>
  </si>
  <si>
    <t>Eric  Molver</t>
  </si>
  <si>
    <t>MolverES@puyallup.k12.wa.us</t>
  </si>
  <si>
    <t>253.840.8809</t>
  </si>
  <si>
    <t>Prairie View Elementary</t>
  </si>
  <si>
    <t>2606 W. Johannsen Rd.</t>
  </si>
  <si>
    <t>Irene  Gonzales</t>
  </si>
  <si>
    <t>irene.gonzales@mead354.org</t>
  </si>
  <si>
    <t>509.465.7800</t>
  </si>
  <si>
    <t>Children's Village</t>
  </si>
  <si>
    <t>3801 Kern Road</t>
  </si>
  <si>
    <t>Jennifer  Allen</t>
  </si>
  <si>
    <t>allenj@wvsd208.org</t>
  </si>
  <si>
    <t>509.965.2080</t>
  </si>
  <si>
    <t>K-12 Ellensburg Learning Center</t>
  </si>
  <si>
    <t>1300 East Third Avenue</t>
  </si>
  <si>
    <t>Jared  Bronkema</t>
  </si>
  <si>
    <t>jared.bronkema@esd401.org</t>
  </si>
  <si>
    <t>509.925.8181</t>
  </si>
  <si>
    <t>Kent Phoenix Academy</t>
  </si>
  <si>
    <t>11000 SE 264th St</t>
  </si>
  <si>
    <t>253.373.7542</t>
  </si>
  <si>
    <t>Cavelero Mid High School</t>
  </si>
  <si>
    <t>8220 24th St SE</t>
  </si>
  <si>
    <t>Tim  Haines</t>
  </si>
  <si>
    <t>tim_haines@lkstevens.wednet.edu</t>
  </si>
  <si>
    <t>425.335.1630</t>
  </si>
  <si>
    <t>Little Cedars Elementary School</t>
  </si>
  <si>
    <t>98290-1718</t>
  </si>
  <si>
    <t>Becky  Brockman</t>
  </si>
  <si>
    <t>becky.brockman@sno.wednet.edu</t>
  </si>
  <si>
    <t>360-563-7800</t>
  </si>
  <si>
    <t>Hayes Freedom High School</t>
  </si>
  <si>
    <t>Amy K Holmes</t>
  </si>
  <si>
    <t>360.833.5602</t>
  </si>
  <si>
    <t>Lake Washington Technical Academy</t>
  </si>
  <si>
    <t>98034-8506</t>
  </si>
  <si>
    <t>tuan.dang@lwtech.edu</t>
  </si>
  <si>
    <t>Phoenix High School</t>
  </si>
  <si>
    <t>3520 Southridge Boulevard</t>
  </si>
  <si>
    <t>Jill  Mulhausen</t>
  </si>
  <si>
    <t>jill.mulhausen@ksd.org</t>
  </si>
  <si>
    <t>509.222.6039</t>
  </si>
  <si>
    <t>Federal Way Running Start Home School</t>
  </si>
  <si>
    <t>Sammy  Anderson</t>
  </si>
  <si>
    <t>samander@fwps.org</t>
  </si>
  <si>
    <t>Lincoln Academy</t>
  </si>
  <si>
    <t>7600 272nd St NW</t>
  </si>
  <si>
    <t>Union High School</t>
  </si>
  <si>
    <t>6201 NW Friberg-Strunk St</t>
  </si>
  <si>
    <t>98607-0000</t>
  </si>
  <si>
    <t>Griffin  Peyton</t>
  </si>
  <si>
    <t>Griffin.Peyton@evergreenps.org</t>
  </si>
  <si>
    <t>360.604.6250</t>
  </si>
  <si>
    <t>Mount Baker Academy</t>
  </si>
  <si>
    <t>PO Box 9</t>
  </si>
  <si>
    <t>Acme</t>
  </si>
  <si>
    <t>Spokane Regional Health District</t>
  </si>
  <si>
    <t>1101 W. College Ave</t>
  </si>
  <si>
    <t>Sky Valley Options</t>
  </si>
  <si>
    <t>106 Monroe Road</t>
  </si>
  <si>
    <t>Port Angeles</t>
  </si>
  <si>
    <t>Jennifer  Van De Wege</t>
  </si>
  <si>
    <t>jvandewege@portangelesschools.org</t>
  </si>
  <si>
    <t>360.452.8973</t>
  </si>
  <si>
    <t>Career Link</t>
  </si>
  <si>
    <t>C/O New Start</t>
  </si>
  <si>
    <t>Pend Oreille River School</t>
  </si>
  <si>
    <t>509.447.2481 ext.3502</t>
  </si>
  <si>
    <t>Valley View Early Childhood Center</t>
  </si>
  <si>
    <t>17622 46th Ave S</t>
  </si>
  <si>
    <t>98188-4117</t>
  </si>
  <si>
    <t>Kimberly  Nelson</t>
  </si>
  <si>
    <t>kimberly.nelson@highlineschools.org</t>
  </si>
  <si>
    <t>206.631.5100</t>
  </si>
  <si>
    <t>Mattawa Elementary Pre-School</t>
  </si>
  <si>
    <t>99349-0907</t>
  </si>
  <si>
    <t>Mead PreSchool</t>
  </si>
  <si>
    <t>2323 E Farwell Road</t>
  </si>
  <si>
    <t>Grove Elementary</t>
  </si>
  <si>
    <t>6510 Grove St</t>
  </si>
  <si>
    <t>Sharon  Anderson</t>
  </si>
  <si>
    <t>sharon_anderson@msd25.org</t>
  </si>
  <si>
    <t>360.965.1700</t>
  </si>
  <si>
    <t>BIRTH TO 2 PRESCHOOL</t>
  </si>
  <si>
    <t>P.O. Box 490</t>
  </si>
  <si>
    <t>Greg  Swartz</t>
  </si>
  <si>
    <t>stonep@dpsd.org</t>
  </si>
  <si>
    <t>509.464.5526</t>
  </si>
  <si>
    <t>Wade King Elementary School</t>
  </si>
  <si>
    <t>2155 Yew Street Rd</t>
  </si>
  <si>
    <t>98229-8812</t>
  </si>
  <si>
    <t>Stephanie  Johnson</t>
  </si>
  <si>
    <t>stephanie.johnson@bellinghamschools.org</t>
  </si>
  <si>
    <t>360.676.6840</t>
  </si>
  <si>
    <t>Birth To Three</t>
  </si>
  <si>
    <t>12414 S Andrus Rd</t>
  </si>
  <si>
    <t>Kristi  Thurston</t>
  </si>
  <si>
    <t>kthurston@cheneysd.org</t>
  </si>
  <si>
    <t>509.559.4525</t>
  </si>
  <si>
    <t>Glacier Peak High School</t>
  </si>
  <si>
    <t>7401 144th Pl SE</t>
  </si>
  <si>
    <t xml:space="preserve">Snohomish </t>
  </si>
  <si>
    <t>Jeff  Larson</t>
  </si>
  <si>
    <t>Jeffrey.Larson@sno.wednet.edu</t>
  </si>
  <si>
    <t>360.563.7300</t>
  </si>
  <si>
    <t>Learning Support</t>
  </si>
  <si>
    <t>315 129th Street So</t>
  </si>
  <si>
    <t>John  Sander</t>
  </si>
  <si>
    <t>jsander@fpschools.org</t>
  </si>
  <si>
    <t>253.298.3056</t>
  </si>
  <si>
    <t>Eastmont Preschools</t>
  </si>
  <si>
    <t>955 3rd St. NE</t>
  </si>
  <si>
    <t>Heidi  Reasor</t>
  </si>
  <si>
    <t>reasorh@eastmont206.org</t>
  </si>
  <si>
    <t>509.884.7169</t>
  </si>
  <si>
    <t>Tukes Valley Middle School</t>
  </si>
  <si>
    <t xml:space="preserve">Battle Ground </t>
  </si>
  <si>
    <t>amundson.brian@battlegroundps.org</t>
  </si>
  <si>
    <t>360.885.6250</t>
  </si>
  <si>
    <t xml:space="preserve">Tukes Valley Primary </t>
  </si>
  <si>
    <t>Jennifer  Paulsen</t>
  </si>
  <si>
    <t>paulsen.jennifer@battlegroundps.org</t>
  </si>
  <si>
    <t>360.885.6200</t>
  </si>
  <si>
    <t>Chief Umtuch Middle</t>
  </si>
  <si>
    <t>PO BOX 200</t>
  </si>
  <si>
    <t>Tamarah S Hendrickx</t>
  </si>
  <si>
    <t>grigg.tamarah@battlegroundps.org</t>
  </si>
  <si>
    <t>360.885.6351</t>
  </si>
  <si>
    <t>Twin Falls Middle School</t>
  </si>
  <si>
    <t>46910 S.E. Middle Fork Road</t>
  </si>
  <si>
    <t>North Bend</t>
  </si>
  <si>
    <t>Jeffrey T D'ambrosio</t>
  </si>
  <si>
    <t>dambrosioj@svsd410.org</t>
  </si>
  <si>
    <t>425.831.4146</t>
  </si>
  <si>
    <t>2701 NE Four Seasons Lane</t>
  </si>
  <si>
    <t>Lauren  Bradley</t>
  </si>
  <si>
    <t>Lauren.Bradley@evergreenps.org</t>
  </si>
  <si>
    <t>360.604.4920</t>
  </si>
  <si>
    <t>Sun Valley Elementary</t>
  </si>
  <si>
    <t>1220 N. 16th Street</t>
  </si>
  <si>
    <t>Jeri  Paulakis</t>
  </si>
  <si>
    <t>jeri.paulakis@sunnysideschools.org</t>
  </si>
  <si>
    <t>509.837.5851</t>
  </si>
  <si>
    <t>1035 - 244th Ave NE</t>
  </si>
  <si>
    <t>Scott  Power</t>
  </si>
  <si>
    <t>spower@lwsd.org</t>
  </si>
  <si>
    <t>425.936.2750</t>
  </si>
  <si>
    <t>Glacier View Junior High</t>
  </si>
  <si>
    <t>12807 184th St E</t>
  </si>
  <si>
    <t>Tawana  Bens</t>
  </si>
  <si>
    <t>BensTM@puyallup.k12.wa.us</t>
  </si>
  <si>
    <t>253.840.8922</t>
  </si>
  <si>
    <t>Wahluke Junior High</t>
  </si>
  <si>
    <t>Andrew  Harlow</t>
  </si>
  <si>
    <t>auharlow@wahluke.net</t>
  </si>
  <si>
    <t>509.932.4455</t>
  </si>
  <si>
    <t>Vancouver Virtual Learning Academy</t>
  </si>
  <si>
    <t>Birth to Age 2</t>
  </si>
  <si>
    <t>12033 SE 256TH St Suite A-400</t>
  </si>
  <si>
    <t>Ruu (Spencer) Yuan Pan</t>
  </si>
  <si>
    <t>ruu.pan@kent.k12.wa.us</t>
  </si>
  <si>
    <t>253.373.7237</t>
  </si>
  <si>
    <t>Okanogan Outreach Alternative School</t>
  </si>
  <si>
    <t>Yakima Online</t>
  </si>
  <si>
    <t>104 N 4th Ave</t>
  </si>
  <si>
    <t>Shoreline-Monroe High School</t>
  </si>
  <si>
    <t>200 E Fremont ST</t>
  </si>
  <si>
    <t>Prescott Special Ed Pre-school</t>
  </si>
  <si>
    <t>Grass Valley Elementary</t>
  </si>
  <si>
    <t>3000 NE Grass Valley Dr</t>
  </si>
  <si>
    <t>Sean T McMillan</t>
  </si>
  <si>
    <t>sean.mcmillan@camas.wednet.edu</t>
  </si>
  <si>
    <t>360.833.5710</t>
  </si>
  <si>
    <t>Frederickson Elementary</t>
  </si>
  <si>
    <t>17418 74TH AVE E</t>
  </si>
  <si>
    <t>PUYALLUP</t>
  </si>
  <si>
    <t>ELLEN  EDDY</t>
  </si>
  <si>
    <t>eeddy@bethelsd.org</t>
  </si>
  <si>
    <t>253.800.6300</t>
  </si>
  <si>
    <t>Nelson Elementary School</t>
  </si>
  <si>
    <t>22109 108th Ave E</t>
  </si>
  <si>
    <t>Tami  Nelson</t>
  </si>
  <si>
    <t>tmnelson@bethelsd.org</t>
  </si>
  <si>
    <t>253.800.6400</t>
  </si>
  <si>
    <t xml:space="preserve">Bremerton </t>
  </si>
  <si>
    <t>Linda  Sullivan-Dudzic</t>
  </si>
  <si>
    <t>linda.sullivan@bremertonschools.org</t>
  </si>
  <si>
    <t>360.473.1061</t>
  </si>
  <si>
    <t>Washington Network for Innovative Careers</t>
  </si>
  <si>
    <t>PO Box 97039</t>
  </si>
  <si>
    <t>Karen  Hay</t>
  </si>
  <si>
    <t>khay@lwsd.org</t>
  </si>
  <si>
    <t>425.739.8400</t>
  </si>
  <si>
    <t>Career Academy at Truman High School</t>
  </si>
  <si>
    <t>253.945.5800</t>
  </si>
  <si>
    <t>Chiawana High School</t>
  </si>
  <si>
    <t>8125 W Argent Rd</t>
  </si>
  <si>
    <t>Booth Bldg</t>
  </si>
  <si>
    <t>John  Wallwork</t>
  </si>
  <si>
    <t>jwallwork@psd1.org</t>
  </si>
  <si>
    <t>509.543.6786</t>
  </si>
  <si>
    <t>Three Rivers Home Link</t>
  </si>
  <si>
    <t>1710 Van Giesen</t>
  </si>
  <si>
    <t>Tyler  Reeser</t>
  </si>
  <si>
    <t>Tyler.Reeser@rsd.edu</t>
  </si>
  <si>
    <t>I-TRACC</t>
  </si>
  <si>
    <t>Chambers Prairie Elementary School</t>
  </si>
  <si>
    <t>6501 Virginia St SE</t>
  </si>
  <si>
    <t>Michael  Suhling</t>
  </si>
  <si>
    <t>msuhling@nthurston.k12.wa.us</t>
  </si>
  <si>
    <t>360.412.4720</t>
  </si>
  <si>
    <t>Aspire Middle School</t>
  </si>
  <si>
    <t>5900 54th Ave SE</t>
  </si>
  <si>
    <t>Courtney  Crawford</t>
  </si>
  <si>
    <t>ccrawford@nthurston.k12.wa.us</t>
  </si>
  <si>
    <t>360.412.4730</t>
  </si>
  <si>
    <t>Northwest Career &amp; Technical Academy</t>
  </si>
  <si>
    <t>2205 W Campus Pl</t>
  </si>
  <si>
    <t>Douglas  Walker</t>
  </si>
  <si>
    <t>dwalker@mvsd320.org</t>
  </si>
  <si>
    <t>360.848.0706</t>
  </si>
  <si>
    <t>Science and Math Institute</t>
  </si>
  <si>
    <t>5501 N. Pearl St</t>
  </si>
  <si>
    <t>Jon   Ketler</t>
  </si>
  <si>
    <t>253.571.2300</t>
  </si>
  <si>
    <t>First Creek Middle School</t>
  </si>
  <si>
    <t>1801 E. 56th Street</t>
  </si>
  <si>
    <t>Tammy  Larsen</t>
  </si>
  <si>
    <t>tlarsen@tacoma.k12.wa.us</t>
  </si>
  <si>
    <t>253.571.2700</t>
  </si>
  <si>
    <t>Crossroads High School</t>
  </si>
  <si>
    <t>205 North Alder Avenue</t>
  </si>
  <si>
    <t>360.283.4407</t>
  </si>
  <si>
    <t>Pierce County Skills Center</t>
  </si>
  <si>
    <t>16117 Canyon Rd E</t>
  </si>
  <si>
    <t>Michelle  Ledbetter</t>
  </si>
  <si>
    <t>mledbetter@bethelsd.org</t>
  </si>
  <si>
    <t>253.800.5977</t>
  </si>
  <si>
    <t>Puget Sound High School</t>
  </si>
  <si>
    <t>18010 8th Ave South</t>
  </si>
  <si>
    <t>Sage Point Elementary School</t>
  </si>
  <si>
    <t>4000 Peninsula Drive</t>
  </si>
  <si>
    <t>Noreen   Thomas</t>
  </si>
  <si>
    <t>nthomas@mlsd.wednet.edu</t>
  </si>
  <si>
    <t>509-766-2650</t>
  </si>
  <si>
    <t>Hazel Wolf K-8</t>
  </si>
  <si>
    <t>11530 12th Ave. NE</t>
  </si>
  <si>
    <t>Debbie  Nelsen</t>
  </si>
  <si>
    <t>dnelsen@seattleschools.org</t>
  </si>
  <si>
    <t>206.252.4500</t>
  </si>
  <si>
    <t>Cap Sante High School</t>
  </si>
  <si>
    <t>360.293.2166 x706</t>
  </si>
  <si>
    <t>10200 SE 216TH ST</t>
  </si>
  <si>
    <t>98031-2036</t>
  </si>
  <si>
    <t>Pamela  Pogson</t>
  </si>
  <si>
    <t>Pamela.Pogson@kent.k12.wa.us</t>
  </si>
  <si>
    <t>253.373.7470</t>
  </si>
  <si>
    <t>Ocean Beach Early Childhood Center</t>
  </si>
  <si>
    <t>Columbia Virtual Academy - Kettle Falls</t>
  </si>
  <si>
    <t>Snoqualmie Access</t>
  </si>
  <si>
    <t>P.O. Box 400</t>
  </si>
  <si>
    <t>Nancy  Meeks</t>
  </si>
  <si>
    <t>meeksn@svsd410.org</t>
  </si>
  <si>
    <t>425.831.8015</t>
  </si>
  <si>
    <t>Tacoma Business Academy</t>
  </si>
  <si>
    <t>c/o John Page/Annex Bldg.</t>
  </si>
  <si>
    <t>Rue  Palmer</t>
  </si>
  <si>
    <t>rpalmer@tacoma.k12.wa.us</t>
  </si>
  <si>
    <t>253.571.1126</t>
  </si>
  <si>
    <t>Tacoma Pierce County Education Center</t>
  </si>
  <si>
    <t>601 S 8th street</t>
  </si>
  <si>
    <t>c/o Miguel Villahermosa</t>
  </si>
  <si>
    <t xml:space="preserve"> Adult Jail, Affiliated With District, Public School</t>
  </si>
  <si>
    <t>Cowlitz Prairie Academy</t>
  </si>
  <si>
    <t>PO Box 469</t>
  </si>
  <si>
    <t>MARTIN  HUFFMAN</t>
  </si>
  <si>
    <t>360.864.6325</t>
  </si>
  <si>
    <t>Hoquiam Homelink School</t>
  </si>
  <si>
    <t>325 W Chenault Ave</t>
  </si>
  <si>
    <t>Bonnie  Jump</t>
  </si>
  <si>
    <t>bjump@hoquiam.net</t>
  </si>
  <si>
    <t>360.538.8216</t>
  </si>
  <si>
    <t>601 S. 8th Street</t>
  </si>
  <si>
    <t>Barbara   O'Rorke</t>
  </si>
  <si>
    <t>bororke@tacoma.k12.wa.us</t>
  </si>
  <si>
    <t>253.571.1224</t>
  </si>
  <si>
    <t>Kelso Virtual Academy</t>
  </si>
  <si>
    <t>Washington Virtual Academy Omak Elementary</t>
  </si>
  <si>
    <t>PO Box 833</t>
  </si>
  <si>
    <t>Susan  Mouracade Boyer</t>
  </si>
  <si>
    <t>smouracadeboyer@k12.com</t>
  </si>
  <si>
    <t>253.964.1068</t>
  </si>
  <si>
    <t>Washington Virtual Academy Omak Middle School</t>
  </si>
  <si>
    <t>Delbert  Heistand</t>
  </si>
  <si>
    <t>dheistand@k12.com</t>
  </si>
  <si>
    <t>866.548.9444</t>
  </si>
  <si>
    <t>Washington Virtual Academy Omak High School</t>
  </si>
  <si>
    <t>Jayme  Evans</t>
  </si>
  <si>
    <t>jaevans@k12.com</t>
  </si>
  <si>
    <t>Pacific Cascade Middle School</t>
  </si>
  <si>
    <t>24635 SE Issaquah Fall City Ro</t>
  </si>
  <si>
    <t>Jeff  McGowan</t>
  </si>
  <si>
    <t>mcgowanj@issaquah.wednet.edu</t>
  </si>
  <si>
    <t>425.837.5900</t>
  </si>
  <si>
    <t>Creekside Elementary</t>
  </si>
  <si>
    <t>20777 SE 16th St</t>
  </si>
  <si>
    <t>Tera  Coyle</t>
  </si>
  <si>
    <t>CoyleT@issaquah.wednet.edu</t>
  </si>
  <si>
    <t>425.837.5201</t>
  </si>
  <si>
    <t>McDonald International School</t>
  </si>
  <si>
    <t>144 NE 54th St</t>
  </si>
  <si>
    <t>Michelle  Goldberg</t>
  </si>
  <si>
    <t>mhsushner@seattleschools.org</t>
  </si>
  <si>
    <t>206.252.2900</t>
  </si>
  <si>
    <t>Queen Anne Elementary</t>
  </si>
  <si>
    <t>411 Boston St.</t>
  </si>
  <si>
    <t>Janine  Roy</t>
  </si>
  <si>
    <t>jbroy@seattleschools.org</t>
  </si>
  <si>
    <t>206.252.2480</t>
  </si>
  <si>
    <t>Sand Point Elementary</t>
  </si>
  <si>
    <t>6208 60 Ave NE</t>
  </si>
  <si>
    <t>98115-7944</t>
  </si>
  <si>
    <t>Ric  Baileykaze</t>
  </si>
  <si>
    <t>rkbaileykaze@seattleschools.org</t>
  </si>
  <si>
    <t>206.252.4640</t>
  </si>
  <si>
    <t>7319 Eustis-Hunt Rd E</t>
  </si>
  <si>
    <t>Seth  Humphrey</t>
  </si>
  <si>
    <t>shumphrey@bethelsd.org</t>
  </si>
  <si>
    <t>6175 Church Rd</t>
  </si>
  <si>
    <t>Kelly  Parsons</t>
  </si>
  <si>
    <t>kelly.parsons@ferndalesd.org</t>
  </si>
  <si>
    <t>360.383.2300</t>
  </si>
  <si>
    <t>Twin Harbors - A Branch of New Market Skills Center</t>
  </si>
  <si>
    <t>360.538.2043</t>
  </si>
  <si>
    <t>Marysville Pilchuck High School</t>
  </si>
  <si>
    <t>5611 108th Street NE</t>
  </si>
  <si>
    <t>Dave   Rose</t>
  </si>
  <si>
    <t>david_rose@msd25.org</t>
  </si>
  <si>
    <t>360.965.2000</t>
  </si>
  <si>
    <t>Federal Way Public School ECEAP</t>
  </si>
  <si>
    <t>Martin  Boonstra</t>
  </si>
  <si>
    <t>mboonstr@fwps.org</t>
  </si>
  <si>
    <t>Federal Way Public Schools Headstart</t>
  </si>
  <si>
    <t>31457 28th Ave S</t>
  </si>
  <si>
    <t>Cottonwood Elementary</t>
  </si>
  <si>
    <t>16734 S. Cottonwood Creek Blvd</t>
  </si>
  <si>
    <t>Alyssa  Nesbit</t>
  </si>
  <si>
    <t>alyssa.nesbit@ksd.org</t>
  </si>
  <si>
    <t>Paideia High School</t>
  </si>
  <si>
    <t>3043 Huffman Road</t>
  </si>
  <si>
    <t>Matt  Cox</t>
  </si>
  <si>
    <t>Matthew.Cox@paideiahs.org</t>
  </si>
  <si>
    <t>509.937.2658</t>
  </si>
  <si>
    <t>Yakima Satellite Alternative Programs</t>
  </si>
  <si>
    <t>10372 Highway 31</t>
  </si>
  <si>
    <t>Ione</t>
  </si>
  <si>
    <t>99139-9613</t>
  </si>
  <si>
    <t>Brent  DeRoest</t>
  </si>
  <si>
    <t>bderoest@selkirkschools.org</t>
  </si>
  <si>
    <t>509.446.3505</t>
  </si>
  <si>
    <t>Selkirk High School</t>
  </si>
  <si>
    <t>Honey Dew Elementary</t>
  </si>
  <si>
    <t>800 Union Ave NE</t>
  </si>
  <si>
    <t>98058-4503</t>
  </si>
  <si>
    <t>Misty  Mbadugha</t>
  </si>
  <si>
    <t>misty.mbadugha@rentonschools.us</t>
  </si>
  <si>
    <t>425.204.4800</t>
  </si>
  <si>
    <t>Selah HomeLink</t>
  </si>
  <si>
    <t>JoeCoscarart@selahschools.org</t>
  </si>
  <si>
    <t>Robert Lince Early Learning Center</t>
  </si>
  <si>
    <t>316 West Naches Avenue</t>
  </si>
  <si>
    <t>Stephanie  Andler</t>
  </si>
  <si>
    <t>stephanieandler@selahschools.org</t>
  </si>
  <si>
    <t>509.698.8023</t>
  </si>
  <si>
    <t>ICCF Ed Program</t>
  </si>
  <si>
    <t>2 S Main St</t>
  </si>
  <si>
    <t>Benton County Jail</t>
  </si>
  <si>
    <t>7122 W Okanogan Place</t>
  </si>
  <si>
    <t>Dennis  Boatman</t>
  </si>
  <si>
    <t>dennis.boatman@ksd.org</t>
  </si>
  <si>
    <t xml:space="preserve"> Adult Jail, Affiliated With District</t>
  </si>
  <si>
    <t>PEARL</t>
  </si>
  <si>
    <t>Jolene  Kieffer</t>
  </si>
  <si>
    <t>jkieffer@qsd48.org</t>
  </si>
  <si>
    <t>360.765.2939</t>
  </si>
  <si>
    <t>Cordata Elementary School</t>
  </si>
  <si>
    <t>4420 Aldrich Rd</t>
  </si>
  <si>
    <t>98226-5218</t>
  </si>
  <si>
    <t>Analisa  Ficklin</t>
  </si>
  <si>
    <t>analisa.ficklin@bellinghamschools.org</t>
  </si>
  <si>
    <t>360.676.6461</t>
  </si>
  <si>
    <t>Bellevue Big Picture School</t>
  </si>
  <si>
    <t>14844 SE 22nd Street</t>
  </si>
  <si>
    <t>Bethany Ann Spinler</t>
  </si>
  <si>
    <t>spinlerb@bsd405.org</t>
  </si>
  <si>
    <t>425.456.7800</t>
  </si>
  <si>
    <t>Easton Secondary School</t>
  </si>
  <si>
    <t>Patrick  Dehuff</t>
  </si>
  <si>
    <t>plouset@easton.wednet.edu</t>
  </si>
  <si>
    <t>Pacific Virtual Learning</t>
  </si>
  <si>
    <t>PO Box 437</t>
  </si>
  <si>
    <t>South Bend</t>
  </si>
  <si>
    <t>Jon  Tienhaara</t>
  </si>
  <si>
    <t>jtienhaa@southbendschools.org</t>
  </si>
  <si>
    <t>360.875.6041</t>
  </si>
  <si>
    <t>Choice</t>
  </si>
  <si>
    <t>WINDWARD HIGH SCHOOL</t>
  </si>
  <si>
    <t>Scott   Brittain</t>
  </si>
  <si>
    <t>Lewis River Academy</t>
  </si>
  <si>
    <t>800 Third Street</t>
  </si>
  <si>
    <t>Jake  Hall</t>
  </si>
  <si>
    <t>hallj@woodlandschools.org</t>
  </si>
  <si>
    <t>360.841.2725</t>
  </si>
  <si>
    <t>Pacific County Jail</t>
  </si>
  <si>
    <t>Olympia Regional Learning Academy - Montessori School</t>
  </si>
  <si>
    <t>Spokane County Jail</t>
  </si>
  <si>
    <t>Public Safety Building</t>
  </si>
  <si>
    <t>1100 West Mallon</t>
  </si>
  <si>
    <t>99260-0320</t>
  </si>
  <si>
    <t>Larry Robert Gardner</t>
  </si>
  <si>
    <t>On Track Academy</t>
  </si>
  <si>
    <t>2802 E. Rich</t>
  </si>
  <si>
    <t>Lisa Jean Mattson</t>
  </si>
  <si>
    <t>lisamat@spokaneschools.org</t>
  </si>
  <si>
    <t>509.354.3863</t>
  </si>
  <si>
    <t xml:space="preserve">Park Orchard Elementary School </t>
  </si>
  <si>
    <t>417 N Paxson Drive</t>
  </si>
  <si>
    <t>Cheri  Ward</t>
  </si>
  <si>
    <t>cward@mlsd161.org</t>
  </si>
  <si>
    <t>509.766.2699</t>
  </si>
  <si>
    <t>Northport Homelink Program</t>
  </si>
  <si>
    <t>PO Box 679</t>
  </si>
  <si>
    <t>Donald   Baribault</t>
  </si>
  <si>
    <t>homelink@northportschools.org</t>
  </si>
  <si>
    <t>509 732-4251</t>
  </si>
  <si>
    <t>Gateway to College</t>
  </si>
  <si>
    <t>Michael Thomas Sita</t>
  </si>
  <si>
    <t>206.433.8760</t>
  </si>
  <si>
    <t xml:space="preserve"> Affiliated With District, Contract School, Public School</t>
  </si>
  <si>
    <t>Z</t>
  </si>
  <si>
    <t>Vancouver Contracted Programs</t>
  </si>
  <si>
    <t>Trish Ann Piliado</t>
  </si>
  <si>
    <t>Trish.Piliado@vansd.org</t>
  </si>
  <si>
    <t>360.313.1330</t>
  </si>
  <si>
    <t>Touchstone</t>
  </si>
  <si>
    <t>2010 N Puget St</t>
  </si>
  <si>
    <t>Karen  Zarate</t>
  </si>
  <si>
    <t>kzarate@osd.wednet.edu</t>
  </si>
  <si>
    <t>Seattle Skills Center</t>
  </si>
  <si>
    <t>PO Box 34165</t>
  </si>
  <si>
    <t>Dan  Golosman</t>
  </si>
  <si>
    <t>dpgolosman@seattleschools.org</t>
  </si>
  <si>
    <t>206.252.0730</t>
  </si>
  <si>
    <t>North Franklin Virtual Academy</t>
  </si>
  <si>
    <t>Jim  Jacobs</t>
  </si>
  <si>
    <t>jjacobs@nfsd.org</t>
  </si>
  <si>
    <t>509.234.2021</t>
  </si>
  <si>
    <t>NW Allprep</t>
  </si>
  <si>
    <t>237 Chkalov Ste 108</t>
  </si>
  <si>
    <t>Tim  King</t>
  </si>
  <si>
    <t>timking.nw@gmail.com</t>
  </si>
  <si>
    <t>503.313.6836</t>
  </si>
  <si>
    <t>Yakima Adult Jail</t>
  </si>
  <si>
    <t>104 North 4th Avenue</t>
  </si>
  <si>
    <t>Lois Menard</t>
  </si>
  <si>
    <t xml:space="preserve"> Adult Jail</t>
  </si>
  <si>
    <t>Ridgeview Group Home</t>
  </si>
  <si>
    <t>Tesla STEM High School</t>
  </si>
  <si>
    <t>4301 228th Ave NE</t>
  </si>
  <si>
    <t>Cindy  Duenas</t>
  </si>
  <si>
    <t>cduenas@lwsd.org</t>
  </si>
  <si>
    <t>425.936.2770</t>
  </si>
  <si>
    <t>Westwood Middle School</t>
  </si>
  <si>
    <t>6120 SOUTH ABBOTT ROAD</t>
  </si>
  <si>
    <t>Ericka  Burden</t>
  </si>
  <si>
    <t>eburden@cheneysd.org</t>
  </si>
  <si>
    <t>509.559.4151</t>
  </si>
  <si>
    <t>Deer Park Early Learning Center</t>
  </si>
  <si>
    <t>1406 E. "D" Street</t>
  </si>
  <si>
    <t>509.464.5606</t>
  </si>
  <si>
    <t>Vancouver iTech Preparatory</t>
  </si>
  <si>
    <t>Darby  Meade</t>
  </si>
  <si>
    <t>darby.meade@vansd.org</t>
  </si>
  <si>
    <t>360.313.5200</t>
  </si>
  <si>
    <t>Brewster Alternative School</t>
  </si>
  <si>
    <t>Brewster</t>
  </si>
  <si>
    <t>rphillips@brewster.wednet.edu</t>
  </si>
  <si>
    <t>509-689-3449</t>
  </si>
  <si>
    <t xml:space="preserve">Columbia Basin Technical Skills Center </t>
  </si>
  <si>
    <t>900 W Yonezawa Blvd</t>
  </si>
  <si>
    <t>Christine   Armstrong</t>
  </si>
  <si>
    <t>carmstrong@cbtech.k12.wa.us</t>
  </si>
  <si>
    <t>509.766.2650</t>
  </si>
  <si>
    <t>iGrad</t>
  </si>
  <si>
    <t>25668 104TH AVE SE</t>
  </si>
  <si>
    <t>25672 104th Ave SE</t>
  </si>
  <si>
    <t>98030-7610</t>
  </si>
  <si>
    <t>Carol  Cleveland</t>
  </si>
  <si>
    <t>carol.cleveland@kent.k12.wa.us</t>
  </si>
  <si>
    <t>253.373.4723</t>
  </si>
  <si>
    <t>Louisa Boren STEM K-8</t>
  </si>
  <si>
    <t>5950 Delridge Way SW</t>
  </si>
  <si>
    <t>98106-1446</t>
  </si>
  <si>
    <t>Ben  Ostrom</t>
  </si>
  <si>
    <t>bostrom@seattleschools.org</t>
  </si>
  <si>
    <t>206.252.8450</t>
  </si>
  <si>
    <t>Southwest Youth and Family Services</t>
  </si>
  <si>
    <t>Spokane Valley Tech</t>
  </si>
  <si>
    <t>115 S University Rd</t>
  </si>
  <si>
    <t>99206-6067</t>
  </si>
  <si>
    <t>Scott  Oakshott</t>
  </si>
  <si>
    <t>soakshott@cvsd.org</t>
  </si>
  <si>
    <t>509.228.5601</t>
  </si>
  <si>
    <t>Birth to Three Development Center</t>
  </si>
  <si>
    <t>PO Box 24269</t>
  </si>
  <si>
    <t>98093-1269</t>
  </si>
  <si>
    <t>253.945.2143</t>
  </si>
  <si>
    <t>Dynamic Family Services</t>
  </si>
  <si>
    <t>10811 SE Kent Kanlgey Rd</t>
  </si>
  <si>
    <t>Central Educational Services</t>
  </si>
  <si>
    <t>P.O. Box 90010</t>
  </si>
  <si>
    <t>98009-9010</t>
  </si>
  <si>
    <t>Glenn  Hasslinger</t>
  </si>
  <si>
    <t>hasslingerg@bsd405.org</t>
  </si>
  <si>
    <t>425.456.4200</t>
  </si>
  <si>
    <t>Columbia Alternative School</t>
  </si>
  <si>
    <t>Talley High School</t>
  </si>
  <si>
    <t>7800 S 132nd St</t>
  </si>
  <si>
    <t>98178-4804</t>
  </si>
  <si>
    <t>RONALD D MAHAN</t>
  </si>
  <si>
    <t>ronald.mahan@rentonschools.us</t>
  </si>
  <si>
    <t>425.204.2100</t>
  </si>
  <si>
    <t>Gateway</t>
  </si>
  <si>
    <t>Highline Community College</t>
  </si>
  <si>
    <t>2400 South 240th Street</t>
  </si>
  <si>
    <t>Kao  Saechao</t>
  </si>
  <si>
    <t>ksaechao@highline.edu</t>
  </si>
  <si>
    <t>206.878.3710</t>
  </si>
  <si>
    <t>Wahitis Elementary School</t>
  </si>
  <si>
    <t>905 South 14th Avenue</t>
  </si>
  <si>
    <t>Pete  Perez</t>
  </si>
  <si>
    <t>pperez@othello.wednet.edu</t>
  </si>
  <si>
    <t>509.488.2659</t>
  </si>
  <si>
    <t>Manson Middle School</t>
  </si>
  <si>
    <t>1000 Totem Pole Rd</t>
  </si>
  <si>
    <t>Mabton Jr. Sr.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</si>
</sst>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83"/>
  <sheetViews>
    <sheetView tabSelected="1" workbookViewId="0"/>
  </sheetViews>
  <sheetFormatPr defaultRowHeight="14.25" x14ac:dyDescent="0.45"/>
  <cols>
    <col min="1" max="1" width="7.6640625" bestFit="1" customWidth="1"/>
    <col min="2" max="2" width="37.19921875" bestFit="1" customWidth="1"/>
    <col min="3" max="3" width="7.53125" bestFit="1" customWidth="1"/>
    <col min="4" max="4" width="44.6640625" bestFit="1" customWidth="1"/>
    <col min="5" max="5" width="9.796875" bestFit="1" customWidth="1"/>
    <col min="6" max="6" width="46.3984375" bestFit="1" customWidth="1"/>
    <col min="7" max="7" width="11" bestFit="1" customWidth="1"/>
    <col min="8" max="8" width="11.3984375" bestFit="1" customWidth="1"/>
    <col min="9" max="9" width="29.19921875" bestFit="1" customWidth="1"/>
    <col min="10" max="10" width="21.86328125" bestFit="1" customWidth="1"/>
    <col min="11" max="11" width="16.73046875" bestFit="1" customWidth="1"/>
    <col min="12" max="12" width="12.06640625" bestFit="1" customWidth="1"/>
    <col min="13" max="13" width="10.796875" bestFit="1" customWidth="1"/>
    <col min="14" max="14" width="24.06640625" bestFit="1" customWidth="1"/>
    <col min="15" max="15" width="39.3984375" bestFit="1" customWidth="1"/>
    <col min="16" max="16" width="20.6640625" bestFit="1" customWidth="1"/>
    <col min="17" max="17" width="46.1328125" bestFit="1" customWidth="1"/>
    <col min="18" max="18" width="7.73046875" bestFit="1" customWidth="1"/>
    <col min="19" max="19" width="15.33203125" bestFit="1" customWidth="1"/>
  </cols>
  <sheetData>
    <row r="1" spans="1:19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45">
      <c r="A2" t="str">
        <f t="shared" ref="A2:A33" si="0">"17801"</f>
        <v>17801</v>
      </c>
      <c r="B2" t="s">
        <v>19</v>
      </c>
      <c r="C2" t="str">
        <f>"17210"</f>
        <v>17210</v>
      </c>
      <c r="D2" t="s">
        <v>20</v>
      </c>
      <c r="E2" t="str">
        <f>"4422"</f>
        <v>4422</v>
      </c>
      <c r="F2" t="s">
        <v>21</v>
      </c>
      <c r="G2" t="s">
        <v>22</v>
      </c>
      <c r="H2">
        <v>5</v>
      </c>
      <c r="I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</row>
    <row r="3" spans="1:19" x14ac:dyDescent="0.45">
      <c r="A3" t="str">
        <f t="shared" si="0"/>
        <v>17801</v>
      </c>
      <c r="B3" t="s">
        <v>19</v>
      </c>
      <c r="C3" t="str">
        <f>"17210"</f>
        <v>17210</v>
      </c>
      <c r="D3" t="s">
        <v>20</v>
      </c>
      <c r="E3" t="str">
        <f>"4426"</f>
        <v>4426</v>
      </c>
      <c r="F3" t="s">
        <v>33</v>
      </c>
      <c r="G3" t="s">
        <v>22</v>
      </c>
      <c r="H3">
        <v>5</v>
      </c>
      <c r="I3" t="s">
        <v>34</v>
      </c>
      <c r="K3" t="s">
        <v>24</v>
      </c>
      <c r="L3" t="s">
        <v>25</v>
      </c>
      <c r="M3" t="s">
        <v>35</v>
      </c>
      <c r="N3" t="s">
        <v>36</v>
      </c>
      <c r="O3" t="s">
        <v>37</v>
      </c>
      <c r="P3" t="s">
        <v>38</v>
      </c>
      <c r="Q3" t="s">
        <v>30</v>
      </c>
      <c r="R3" t="s">
        <v>31</v>
      </c>
      <c r="S3" t="s">
        <v>32</v>
      </c>
    </row>
    <row r="4" spans="1:19" x14ac:dyDescent="0.45">
      <c r="A4" t="str">
        <f t="shared" si="0"/>
        <v>17801</v>
      </c>
      <c r="B4" t="s">
        <v>19</v>
      </c>
      <c r="C4" t="str">
        <f>"17210"</f>
        <v>17210</v>
      </c>
      <c r="D4" t="s">
        <v>20</v>
      </c>
      <c r="E4" t="str">
        <f>"4470"</f>
        <v>4470</v>
      </c>
      <c r="F4" t="s">
        <v>39</v>
      </c>
      <c r="G4" t="s">
        <v>22</v>
      </c>
      <c r="H4">
        <v>5</v>
      </c>
      <c r="I4" t="s">
        <v>40</v>
      </c>
      <c r="K4" t="s">
        <v>24</v>
      </c>
      <c r="L4" t="s">
        <v>25</v>
      </c>
      <c r="M4" t="s">
        <v>41</v>
      </c>
      <c r="N4" t="s">
        <v>42</v>
      </c>
      <c r="O4" t="s">
        <v>43</v>
      </c>
      <c r="P4" t="s">
        <v>44</v>
      </c>
      <c r="Q4" t="s">
        <v>30</v>
      </c>
      <c r="R4" t="s">
        <v>31</v>
      </c>
      <c r="S4" t="s">
        <v>32</v>
      </c>
    </row>
    <row r="5" spans="1:19" x14ac:dyDescent="0.45">
      <c r="A5" t="str">
        <f t="shared" si="0"/>
        <v>17801</v>
      </c>
      <c r="B5" t="s">
        <v>19</v>
      </c>
      <c r="C5" t="str">
        <f>"17210"</f>
        <v>17210</v>
      </c>
      <c r="D5" t="s">
        <v>20</v>
      </c>
      <c r="E5" t="str">
        <f>"4480"</f>
        <v>4480</v>
      </c>
      <c r="F5" t="s">
        <v>45</v>
      </c>
      <c r="G5" t="s">
        <v>22</v>
      </c>
      <c r="H5">
        <v>5</v>
      </c>
      <c r="I5" t="s">
        <v>46</v>
      </c>
      <c r="K5" t="s">
        <v>47</v>
      </c>
      <c r="L5" t="s">
        <v>25</v>
      </c>
      <c r="M5" t="s">
        <v>48</v>
      </c>
      <c r="N5" t="s">
        <v>49</v>
      </c>
      <c r="O5" t="s">
        <v>50</v>
      </c>
      <c r="P5" t="s">
        <v>51</v>
      </c>
      <c r="Q5" t="s">
        <v>30</v>
      </c>
      <c r="R5" t="s">
        <v>31</v>
      </c>
      <c r="S5" t="s">
        <v>32</v>
      </c>
    </row>
    <row r="6" spans="1:19" x14ac:dyDescent="0.45">
      <c r="A6" t="str">
        <f t="shared" si="0"/>
        <v>17801</v>
      </c>
      <c r="B6" t="s">
        <v>19</v>
      </c>
      <c r="C6" t="str">
        <f>"17210"</f>
        <v>17210</v>
      </c>
      <c r="D6" t="s">
        <v>20</v>
      </c>
      <c r="E6" t="str">
        <f>"4570"</f>
        <v>4570</v>
      </c>
      <c r="F6" t="s">
        <v>52</v>
      </c>
      <c r="G6">
        <v>9</v>
      </c>
      <c r="H6">
        <v>12</v>
      </c>
      <c r="I6" t="s">
        <v>53</v>
      </c>
      <c r="K6" t="s">
        <v>24</v>
      </c>
      <c r="L6" t="s">
        <v>25</v>
      </c>
      <c r="M6" t="s">
        <v>54</v>
      </c>
      <c r="N6" t="s">
        <v>55</v>
      </c>
      <c r="O6" t="s">
        <v>56</v>
      </c>
      <c r="P6" t="s">
        <v>57</v>
      </c>
      <c r="Q6" t="s">
        <v>30</v>
      </c>
      <c r="R6" t="s">
        <v>31</v>
      </c>
      <c r="S6" t="s">
        <v>58</v>
      </c>
    </row>
    <row r="7" spans="1:19" x14ac:dyDescent="0.45">
      <c r="A7" t="str">
        <f t="shared" si="0"/>
        <v>17801</v>
      </c>
      <c r="B7" t="s">
        <v>19</v>
      </c>
      <c r="C7" t="str">
        <f t="shared" ref="C7:C15" si="1">"17216"</f>
        <v>17216</v>
      </c>
      <c r="D7" t="s">
        <v>59</v>
      </c>
      <c r="E7" t="str">
        <f>"1523"</f>
        <v>1523</v>
      </c>
      <c r="F7" t="s">
        <v>60</v>
      </c>
      <c r="G7" t="s">
        <v>22</v>
      </c>
      <c r="H7">
        <v>12</v>
      </c>
      <c r="I7" t="s">
        <v>61</v>
      </c>
      <c r="K7" t="s">
        <v>62</v>
      </c>
      <c r="L7" t="s">
        <v>25</v>
      </c>
      <c r="M7">
        <v>98022</v>
      </c>
      <c r="N7" t="s">
        <v>63</v>
      </c>
      <c r="O7" t="s">
        <v>64</v>
      </c>
      <c r="P7" t="s">
        <v>65</v>
      </c>
      <c r="Q7" t="s">
        <v>66</v>
      </c>
      <c r="R7" t="s">
        <v>67</v>
      </c>
      <c r="S7" t="s">
        <v>68</v>
      </c>
    </row>
    <row r="8" spans="1:19" x14ac:dyDescent="0.45">
      <c r="A8" t="str">
        <f t="shared" si="0"/>
        <v>17801</v>
      </c>
      <c r="B8" t="s">
        <v>19</v>
      </c>
      <c r="C8" t="str">
        <f t="shared" si="1"/>
        <v>17216</v>
      </c>
      <c r="D8" t="s">
        <v>59</v>
      </c>
      <c r="E8" t="str">
        <f>"2980"</f>
        <v>2980</v>
      </c>
      <c r="F8" t="s">
        <v>69</v>
      </c>
      <c r="G8" t="s">
        <v>70</v>
      </c>
      <c r="H8">
        <v>5</v>
      </c>
      <c r="I8" t="s">
        <v>71</v>
      </c>
      <c r="K8" t="s">
        <v>62</v>
      </c>
      <c r="L8" t="s">
        <v>25</v>
      </c>
      <c r="M8" t="s">
        <v>72</v>
      </c>
      <c r="N8" t="s">
        <v>73</v>
      </c>
      <c r="O8" t="s">
        <v>74</v>
      </c>
      <c r="P8" t="s">
        <v>75</v>
      </c>
      <c r="Q8" t="s">
        <v>30</v>
      </c>
      <c r="R8" t="s">
        <v>31</v>
      </c>
      <c r="S8" t="s">
        <v>32</v>
      </c>
    </row>
    <row r="9" spans="1:19" x14ac:dyDescent="0.45">
      <c r="A9" t="str">
        <f t="shared" si="0"/>
        <v>17801</v>
      </c>
      <c r="B9" t="s">
        <v>19</v>
      </c>
      <c r="C9" t="str">
        <f t="shared" si="1"/>
        <v>17216</v>
      </c>
      <c r="D9" t="s">
        <v>59</v>
      </c>
      <c r="E9" t="str">
        <f>"3330"</f>
        <v>3330</v>
      </c>
      <c r="F9" t="s">
        <v>76</v>
      </c>
      <c r="G9">
        <v>9</v>
      </c>
      <c r="H9">
        <v>12</v>
      </c>
      <c r="I9" t="s">
        <v>77</v>
      </c>
      <c r="K9" t="s">
        <v>62</v>
      </c>
      <c r="L9" t="s">
        <v>25</v>
      </c>
      <c r="M9" t="s">
        <v>78</v>
      </c>
      <c r="N9" t="s">
        <v>79</v>
      </c>
      <c r="Q9" t="s">
        <v>30</v>
      </c>
      <c r="R9" t="s">
        <v>31</v>
      </c>
      <c r="S9" t="s">
        <v>58</v>
      </c>
    </row>
    <row r="10" spans="1:19" x14ac:dyDescent="0.45">
      <c r="A10" t="str">
        <f t="shared" si="0"/>
        <v>17801</v>
      </c>
      <c r="B10" t="s">
        <v>19</v>
      </c>
      <c r="C10" t="str">
        <f t="shared" si="1"/>
        <v>17216</v>
      </c>
      <c r="D10" t="s">
        <v>59</v>
      </c>
      <c r="E10" t="str">
        <f>"3430"</f>
        <v>3430</v>
      </c>
      <c r="F10" t="s">
        <v>80</v>
      </c>
      <c r="G10" t="s">
        <v>70</v>
      </c>
      <c r="H10">
        <v>5</v>
      </c>
      <c r="I10" t="s">
        <v>81</v>
      </c>
      <c r="K10" t="s">
        <v>82</v>
      </c>
      <c r="L10" t="s">
        <v>25</v>
      </c>
      <c r="M10">
        <v>98010</v>
      </c>
      <c r="N10" t="s">
        <v>83</v>
      </c>
      <c r="O10" t="s">
        <v>84</v>
      </c>
      <c r="P10" t="s">
        <v>85</v>
      </c>
      <c r="Q10" t="s">
        <v>30</v>
      </c>
      <c r="R10" t="s">
        <v>31</v>
      </c>
      <c r="S10" t="s">
        <v>32</v>
      </c>
    </row>
    <row r="11" spans="1:19" x14ac:dyDescent="0.45">
      <c r="A11" t="str">
        <f t="shared" si="0"/>
        <v>17801</v>
      </c>
      <c r="B11" t="s">
        <v>19</v>
      </c>
      <c r="C11" t="str">
        <f t="shared" si="1"/>
        <v>17216</v>
      </c>
      <c r="D11" t="s">
        <v>59</v>
      </c>
      <c r="E11" t="str">
        <f>"3585"</f>
        <v>3585</v>
      </c>
      <c r="F11" t="s">
        <v>86</v>
      </c>
      <c r="G11" t="s">
        <v>22</v>
      </c>
      <c r="H11">
        <v>5</v>
      </c>
      <c r="I11" t="s">
        <v>87</v>
      </c>
      <c r="K11" t="s">
        <v>62</v>
      </c>
      <c r="L11" t="s">
        <v>25</v>
      </c>
      <c r="M11" t="s">
        <v>88</v>
      </c>
      <c r="N11" t="s">
        <v>89</v>
      </c>
      <c r="O11" t="s">
        <v>90</v>
      </c>
      <c r="P11" t="s">
        <v>91</v>
      </c>
      <c r="Q11" t="s">
        <v>30</v>
      </c>
      <c r="R11" t="s">
        <v>31</v>
      </c>
      <c r="S11" t="s">
        <v>32</v>
      </c>
    </row>
    <row r="12" spans="1:19" x14ac:dyDescent="0.45">
      <c r="A12" t="str">
        <f t="shared" si="0"/>
        <v>17801</v>
      </c>
      <c r="B12" t="s">
        <v>19</v>
      </c>
      <c r="C12" t="str">
        <f t="shared" si="1"/>
        <v>17216</v>
      </c>
      <c r="D12" t="s">
        <v>59</v>
      </c>
      <c r="E12" t="str">
        <f>"3739"</f>
        <v>3739</v>
      </c>
      <c r="F12" t="s">
        <v>92</v>
      </c>
      <c r="G12" t="s">
        <v>22</v>
      </c>
      <c r="H12">
        <v>5</v>
      </c>
      <c r="I12" t="s">
        <v>93</v>
      </c>
      <c r="K12" t="s">
        <v>62</v>
      </c>
      <c r="L12" t="s">
        <v>25</v>
      </c>
      <c r="M12" t="s">
        <v>94</v>
      </c>
      <c r="N12" t="s">
        <v>95</v>
      </c>
      <c r="O12" t="s">
        <v>96</v>
      </c>
      <c r="P12" t="s">
        <v>97</v>
      </c>
      <c r="Q12" t="s">
        <v>30</v>
      </c>
      <c r="R12" t="s">
        <v>31</v>
      </c>
      <c r="S12" t="s">
        <v>32</v>
      </c>
    </row>
    <row r="13" spans="1:19" x14ac:dyDescent="0.45">
      <c r="A13" t="str">
        <f t="shared" si="0"/>
        <v>17801</v>
      </c>
      <c r="B13" t="s">
        <v>19</v>
      </c>
      <c r="C13" t="str">
        <f t="shared" si="1"/>
        <v>17216</v>
      </c>
      <c r="D13" t="s">
        <v>59</v>
      </c>
      <c r="E13" t="str">
        <f>"4210"</f>
        <v>4210</v>
      </c>
      <c r="F13" t="s">
        <v>98</v>
      </c>
      <c r="G13">
        <v>6</v>
      </c>
      <c r="H13">
        <v>8</v>
      </c>
      <c r="I13" t="s">
        <v>99</v>
      </c>
      <c r="K13" t="s">
        <v>62</v>
      </c>
      <c r="L13" t="s">
        <v>25</v>
      </c>
      <c r="M13" t="s">
        <v>100</v>
      </c>
      <c r="N13" t="s">
        <v>101</v>
      </c>
      <c r="O13" t="s">
        <v>102</v>
      </c>
      <c r="P13" t="s">
        <v>103</v>
      </c>
      <c r="Q13" t="s">
        <v>30</v>
      </c>
      <c r="R13" t="s">
        <v>31</v>
      </c>
      <c r="S13" t="s">
        <v>104</v>
      </c>
    </row>
    <row r="14" spans="1:19" x14ac:dyDescent="0.45">
      <c r="A14" t="str">
        <f t="shared" si="0"/>
        <v>17801</v>
      </c>
      <c r="B14" t="s">
        <v>19</v>
      </c>
      <c r="C14" t="str">
        <f t="shared" si="1"/>
        <v>17216</v>
      </c>
      <c r="D14" t="s">
        <v>59</v>
      </c>
      <c r="E14" t="str">
        <f>"4289"</f>
        <v>4289</v>
      </c>
      <c r="F14" t="s">
        <v>105</v>
      </c>
      <c r="G14" t="s">
        <v>70</v>
      </c>
      <c r="H14">
        <v>5</v>
      </c>
      <c r="I14" t="s">
        <v>106</v>
      </c>
      <c r="K14" t="s">
        <v>62</v>
      </c>
      <c r="L14" t="s">
        <v>25</v>
      </c>
      <c r="M14" t="s">
        <v>107</v>
      </c>
      <c r="N14" t="s">
        <v>108</v>
      </c>
      <c r="O14" t="s">
        <v>109</v>
      </c>
      <c r="P14" t="s">
        <v>110</v>
      </c>
      <c r="Q14" t="s">
        <v>30</v>
      </c>
      <c r="R14" t="s">
        <v>31</v>
      </c>
      <c r="S14" t="s">
        <v>32</v>
      </c>
    </row>
    <row r="15" spans="1:19" x14ac:dyDescent="0.45">
      <c r="A15" t="str">
        <f t="shared" si="0"/>
        <v>17801</v>
      </c>
      <c r="B15" t="s">
        <v>19</v>
      </c>
      <c r="C15" t="str">
        <f t="shared" si="1"/>
        <v>17216</v>
      </c>
      <c r="D15" t="s">
        <v>59</v>
      </c>
      <c r="E15" t="str">
        <f>"4550"</f>
        <v>4550</v>
      </c>
      <c r="F15" t="s">
        <v>111</v>
      </c>
      <c r="G15">
        <v>6</v>
      </c>
      <c r="H15">
        <v>8</v>
      </c>
      <c r="I15" t="s">
        <v>112</v>
      </c>
      <c r="K15" t="s">
        <v>62</v>
      </c>
      <c r="L15" t="s">
        <v>25</v>
      </c>
      <c r="M15" t="s">
        <v>113</v>
      </c>
      <c r="N15" t="s">
        <v>114</v>
      </c>
      <c r="O15" t="s">
        <v>115</v>
      </c>
      <c r="P15" t="s">
        <v>116</v>
      </c>
      <c r="Q15" t="s">
        <v>30</v>
      </c>
      <c r="R15" t="s">
        <v>31</v>
      </c>
      <c r="S15" t="s">
        <v>104</v>
      </c>
    </row>
    <row r="16" spans="1:19" x14ac:dyDescent="0.45">
      <c r="A16" t="str">
        <f t="shared" si="0"/>
        <v>17801</v>
      </c>
      <c r="B16" t="s">
        <v>19</v>
      </c>
      <c r="C16" t="str">
        <f>"17400"</f>
        <v>17400</v>
      </c>
      <c r="D16" t="s">
        <v>117</v>
      </c>
      <c r="E16" t="str">
        <f>"2981"</f>
        <v>2981</v>
      </c>
      <c r="F16" t="s">
        <v>118</v>
      </c>
      <c r="G16" t="s">
        <v>70</v>
      </c>
      <c r="H16">
        <v>5</v>
      </c>
      <c r="I16" t="s">
        <v>119</v>
      </c>
      <c r="K16" t="s">
        <v>120</v>
      </c>
      <c r="L16" t="s">
        <v>25</v>
      </c>
      <c r="M16" t="s">
        <v>121</v>
      </c>
      <c r="N16" t="s">
        <v>122</v>
      </c>
      <c r="O16" t="s">
        <v>123</v>
      </c>
      <c r="P16" t="s">
        <v>124</v>
      </c>
      <c r="Q16" t="s">
        <v>30</v>
      </c>
      <c r="R16" t="s">
        <v>31</v>
      </c>
      <c r="S16" t="s">
        <v>32</v>
      </c>
    </row>
    <row r="17" spans="1:19" x14ac:dyDescent="0.45">
      <c r="A17" t="str">
        <f t="shared" si="0"/>
        <v>17801</v>
      </c>
      <c r="B17" t="s">
        <v>19</v>
      </c>
      <c r="C17" t="str">
        <f>"17400"</f>
        <v>17400</v>
      </c>
      <c r="D17" t="s">
        <v>117</v>
      </c>
      <c r="E17" t="str">
        <f>"3029"</f>
        <v>3029</v>
      </c>
      <c r="F17" t="s">
        <v>125</v>
      </c>
      <c r="G17">
        <v>9</v>
      </c>
      <c r="H17">
        <v>12</v>
      </c>
      <c r="I17" t="s">
        <v>126</v>
      </c>
      <c r="K17" t="s">
        <v>120</v>
      </c>
      <c r="L17" t="s">
        <v>25</v>
      </c>
      <c r="M17" t="s">
        <v>127</v>
      </c>
      <c r="N17" t="s">
        <v>128</v>
      </c>
      <c r="O17" t="s">
        <v>129</v>
      </c>
      <c r="P17" t="s">
        <v>130</v>
      </c>
      <c r="Q17" t="s">
        <v>30</v>
      </c>
      <c r="R17" t="s">
        <v>31</v>
      </c>
      <c r="S17" t="s">
        <v>58</v>
      </c>
    </row>
    <row r="18" spans="1:19" x14ac:dyDescent="0.45">
      <c r="A18" t="str">
        <f t="shared" si="0"/>
        <v>17801</v>
      </c>
      <c r="B18" t="s">
        <v>19</v>
      </c>
      <c r="C18" t="str">
        <f>"17400"</f>
        <v>17400</v>
      </c>
      <c r="D18" t="s">
        <v>117</v>
      </c>
      <c r="E18" t="str">
        <f>"3162"</f>
        <v>3162</v>
      </c>
      <c r="F18" t="s">
        <v>131</v>
      </c>
      <c r="G18" t="s">
        <v>70</v>
      </c>
      <c r="H18">
        <v>5</v>
      </c>
      <c r="I18" t="s">
        <v>132</v>
      </c>
      <c r="K18" t="s">
        <v>120</v>
      </c>
      <c r="L18" t="s">
        <v>25</v>
      </c>
      <c r="M18" t="s">
        <v>133</v>
      </c>
      <c r="N18" t="s">
        <v>134</v>
      </c>
      <c r="O18" t="s">
        <v>135</v>
      </c>
      <c r="P18" t="s">
        <v>136</v>
      </c>
      <c r="Q18" t="s">
        <v>30</v>
      </c>
      <c r="R18" t="s">
        <v>31</v>
      </c>
      <c r="S18" t="s">
        <v>32</v>
      </c>
    </row>
    <row r="19" spans="1:19" x14ac:dyDescent="0.45">
      <c r="A19" t="str">
        <f t="shared" si="0"/>
        <v>17801</v>
      </c>
      <c r="B19" t="s">
        <v>19</v>
      </c>
      <c r="C19" t="str">
        <f>"17400"</f>
        <v>17400</v>
      </c>
      <c r="D19" t="s">
        <v>117</v>
      </c>
      <c r="E19" t="str">
        <f>"3219"</f>
        <v>3219</v>
      </c>
      <c r="F19" t="s">
        <v>137</v>
      </c>
      <c r="G19">
        <v>6</v>
      </c>
      <c r="H19">
        <v>8</v>
      </c>
      <c r="I19" t="s">
        <v>138</v>
      </c>
      <c r="K19" t="s">
        <v>120</v>
      </c>
      <c r="L19" t="s">
        <v>25</v>
      </c>
      <c r="M19" t="s">
        <v>139</v>
      </c>
      <c r="N19" t="s">
        <v>140</v>
      </c>
      <c r="O19" t="s">
        <v>141</v>
      </c>
      <c r="P19" t="s">
        <v>142</v>
      </c>
      <c r="Q19" t="s">
        <v>30</v>
      </c>
      <c r="R19" t="s">
        <v>31</v>
      </c>
      <c r="S19" t="s">
        <v>104</v>
      </c>
    </row>
    <row r="20" spans="1:19" x14ac:dyDescent="0.45">
      <c r="A20" t="str">
        <f t="shared" si="0"/>
        <v>17801</v>
      </c>
      <c r="B20" t="s">
        <v>19</v>
      </c>
      <c r="C20" t="str">
        <f>"17400"</f>
        <v>17400</v>
      </c>
      <c r="D20" t="s">
        <v>117</v>
      </c>
      <c r="E20" t="str">
        <f>"3433"</f>
        <v>3433</v>
      </c>
      <c r="F20" t="s">
        <v>143</v>
      </c>
      <c r="G20" t="s">
        <v>70</v>
      </c>
      <c r="H20">
        <v>5</v>
      </c>
      <c r="I20" t="s">
        <v>144</v>
      </c>
      <c r="K20" t="s">
        <v>120</v>
      </c>
      <c r="L20" t="s">
        <v>25</v>
      </c>
      <c r="M20" t="s">
        <v>145</v>
      </c>
      <c r="N20" t="s">
        <v>146</v>
      </c>
      <c r="O20" t="s">
        <v>147</v>
      </c>
      <c r="P20" t="s">
        <v>148</v>
      </c>
      <c r="Q20" t="s">
        <v>30</v>
      </c>
      <c r="R20" t="s">
        <v>31</v>
      </c>
      <c r="S20" t="s">
        <v>32</v>
      </c>
    </row>
    <row r="21" spans="1:19" x14ac:dyDescent="0.45">
      <c r="A21" t="str">
        <f t="shared" si="0"/>
        <v>17801</v>
      </c>
      <c r="B21" t="s">
        <v>19</v>
      </c>
      <c r="C21" t="str">
        <f t="shared" ref="C21:C48" si="2">"17401"</f>
        <v>17401</v>
      </c>
      <c r="D21" t="s">
        <v>149</v>
      </c>
      <c r="E21" t="str">
        <f>"1539"</f>
        <v>1539</v>
      </c>
      <c r="F21" t="s">
        <v>150</v>
      </c>
      <c r="G21">
        <v>6</v>
      </c>
      <c r="H21">
        <v>12</v>
      </c>
      <c r="I21" t="s">
        <v>151</v>
      </c>
      <c r="K21" t="s">
        <v>152</v>
      </c>
      <c r="L21" t="s">
        <v>25</v>
      </c>
      <c r="M21" t="s">
        <v>153</v>
      </c>
      <c r="N21" t="s">
        <v>154</v>
      </c>
      <c r="O21" t="s">
        <v>155</v>
      </c>
      <c r="P21" t="s">
        <v>156</v>
      </c>
      <c r="Q21" t="s">
        <v>157</v>
      </c>
      <c r="R21" t="s">
        <v>158</v>
      </c>
      <c r="S21" t="s">
        <v>159</v>
      </c>
    </row>
    <row r="22" spans="1:19" x14ac:dyDescent="0.45">
      <c r="A22" t="str">
        <f t="shared" si="0"/>
        <v>17801</v>
      </c>
      <c r="B22" t="s">
        <v>19</v>
      </c>
      <c r="C22" t="str">
        <f t="shared" si="2"/>
        <v>17401</v>
      </c>
      <c r="D22" t="s">
        <v>149</v>
      </c>
      <c r="E22" t="str">
        <f>"2144"</f>
        <v>2144</v>
      </c>
      <c r="F22" t="s">
        <v>160</v>
      </c>
      <c r="G22" t="s">
        <v>22</v>
      </c>
      <c r="H22">
        <v>5</v>
      </c>
      <c r="I22" t="s">
        <v>161</v>
      </c>
      <c r="K22" t="s">
        <v>152</v>
      </c>
      <c r="L22" t="s">
        <v>25</v>
      </c>
      <c r="M22" t="s">
        <v>162</v>
      </c>
      <c r="N22" t="s">
        <v>163</v>
      </c>
      <c r="O22" t="s">
        <v>164</v>
      </c>
      <c r="P22" t="s">
        <v>165</v>
      </c>
      <c r="Q22" t="s">
        <v>30</v>
      </c>
      <c r="R22" t="s">
        <v>31</v>
      </c>
      <c r="S22" t="s">
        <v>32</v>
      </c>
    </row>
    <row r="23" spans="1:19" x14ac:dyDescent="0.45">
      <c r="A23" t="str">
        <f t="shared" si="0"/>
        <v>17801</v>
      </c>
      <c r="B23" t="s">
        <v>19</v>
      </c>
      <c r="C23" t="str">
        <f t="shared" si="2"/>
        <v>17401</v>
      </c>
      <c r="D23" t="s">
        <v>149</v>
      </c>
      <c r="E23" t="str">
        <f>"2270"</f>
        <v>2270</v>
      </c>
      <c r="F23" t="s">
        <v>166</v>
      </c>
      <c r="G23">
        <v>10</v>
      </c>
      <c r="H23">
        <v>12</v>
      </c>
      <c r="I23" t="s">
        <v>167</v>
      </c>
      <c r="K23" t="s">
        <v>152</v>
      </c>
      <c r="L23" t="s">
        <v>25</v>
      </c>
      <c r="M23" t="s">
        <v>168</v>
      </c>
      <c r="N23" t="s">
        <v>169</v>
      </c>
      <c r="O23" t="s">
        <v>170</v>
      </c>
      <c r="P23" t="s">
        <v>171</v>
      </c>
      <c r="Q23" t="s">
        <v>172</v>
      </c>
      <c r="R23" t="s">
        <v>173</v>
      </c>
      <c r="S23" t="s">
        <v>58</v>
      </c>
    </row>
    <row r="24" spans="1:19" x14ac:dyDescent="0.45">
      <c r="A24" t="str">
        <f t="shared" si="0"/>
        <v>17801</v>
      </c>
      <c r="B24" t="s">
        <v>19</v>
      </c>
      <c r="C24" t="str">
        <f t="shared" si="2"/>
        <v>17401</v>
      </c>
      <c r="D24" t="s">
        <v>149</v>
      </c>
      <c r="E24" t="str">
        <f>"2325"</f>
        <v>2325</v>
      </c>
      <c r="F24" t="s">
        <v>174</v>
      </c>
      <c r="G24">
        <v>9</v>
      </c>
      <c r="H24">
        <v>12</v>
      </c>
      <c r="I24" t="s">
        <v>175</v>
      </c>
      <c r="K24" t="s">
        <v>176</v>
      </c>
      <c r="L24" t="s">
        <v>25</v>
      </c>
      <c r="M24" t="s">
        <v>177</v>
      </c>
      <c r="N24" t="s">
        <v>79</v>
      </c>
      <c r="Q24" t="s">
        <v>30</v>
      </c>
      <c r="R24" t="s">
        <v>31</v>
      </c>
      <c r="S24" t="s">
        <v>58</v>
      </c>
    </row>
    <row r="25" spans="1:19" x14ac:dyDescent="0.45">
      <c r="A25" t="str">
        <f t="shared" si="0"/>
        <v>17801</v>
      </c>
      <c r="B25" t="s">
        <v>19</v>
      </c>
      <c r="C25" t="str">
        <f t="shared" si="2"/>
        <v>17401</v>
      </c>
      <c r="D25" t="s">
        <v>149</v>
      </c>
      <c r="E25" t="str">
        <f>"2418"</f>
        <v>2418</v>
      </c>
      <c r="F25" t="s">
        <v>178</v>
      </c>
      <c r="G25" t="s">
        <v>22</v>
      </c>
      <c r="H25">
        <v>5</v>
      </c>
      <c r="I25" t="s">
        <v>179</v>
      </c>
      <c r="K25" t="s">
        <v>180</v>
      </c>
      <c r="L25" t="s">
        <v>25</v>
      </c>
      <c r="M25" t="s">
        <v>181</v>
      </c>
      <c r="N25" t="s">
        <v>182</v>
      </c>
      <c r="O25" t="s">
        <v>183</v>
      </c>
      <c r="P25" t="s">
        <v>184</v>
      </c>
      <c r="Q25" t="s">
        <v>30</v>
      </c>
      <c r="R25" t="s">
        <v>31</v>
      </c>
      <c r="S25" t="s">
        <v>32</v>
      </c>
    </row>
    <row r="26" spans="1:19" x14ac:dyDescent="0.45">
      <c r="A26" t="str">
        <f t="shared" si="0"/>
        <v>17801</v>
      </c>
      <c r="B26" t="s">
        <v>19</v>
      </c>
      <c r="C26" t="str">
        <f t="shared" si="2"/>
        <v>17401</v>
      </c>
      <c r="D26" t="s">
        <v>149</v>
      </c>
      <c r="E26" t="str">
        <f>"2639"</f>
        <v>2639</v>
      </c>
      <c r="F26" t="s">
        <v>185</v>
      </c>
      <c r="G26" t="s">
        <v>22</v>
      </c>
      <c r="H26">
        <v>5</v>
      </c>
      <c r="I26" t="s">
        <v>186</v>
      </c>
      <c r="K26" t="s">
        <v>152</v>
      </c>
      <c r="L26" t="s">
        <v>25</v>
      </c>
      <c r="M26">
        <v>98146</v>
      </c>
      <c r="N26" t="s">
        <v>187</v>
      </c>
      <c r="O26" t="s">
        <v>188</v>
      </c>
      <c r="P26" t="s">
        <v>189</v>
      </c>
      <c r="Q26" t="s">
        <v>30</v>
      </c>
      <c r="R26" t="s">
        <v>31</v>
      </c>
      <c r="S26" t="s">
        <v>32</v>
      </c>
    </row>
    <row r="27" spans="1:19" x14ac:dyDescent="0.45">
      <c r="A27" t="str">
        <f t="shared" si="0"/>
        <v>17801</v>
      </c>
      <c r="B27" t="s">
        <v>19</v>
      </c>
      <c r="C27" t="str">
        <f t="shared" si="2"/>
        <v>17401</v>
      </c>
      <c r="D27" t="s">
        <v>149</v>
      </c>
      <c r="E27" t="str">
        <f>"2699"</f>
        <v>2699</v>
      </c>
      <c r="F27" t="s">
        <v>190</v>
      </c>
      <c r="G27" t="s">
        <v>22</v>
      </c>
      <c r="H27">
        <v>5</v>
      </c>
      <c r="I27" t="s">
        <v>191</v>
      </c>
      <c r="K27" t="s">
        <v>176</v>
      </c>
      <c r="L27" t="s">
        <v>25</v>
      </c>
      <c r="M27" t="s">
        <v>192</v>
      </c>
      <c r="N27" t="s">
        <v>193</v>
      </c>
      <c r="O27" t="s">
        <v>194</v>
      </c>
      <c r="P27" t="s">
        <v>195</v>
      </c>
      <c r="Q27" t="s">
        <v>30</v>
      </c>
      <c r="R27" t="s">
        <v>31</v>
      </c>
      <c r="S27" t="s">
        <v>32</v>
      </c>
    </row>
    <row r="28" spans="1:19" x14ac:dyDescent="0.45">
      <c r="A28" t="str">
        <f t="shared" si="0"/>
        <v>17801</v>
      </c>
      <c r="B28" t="s">
        <v>19</v>
      </c>
      <c r="C28" t="str">
        <f t="shared" si="2"/>
        <v>17401</v>
      </c>
      <c r="D28" t="s">
        <v>149</v>
      </c>
      <c r="E28" t="str">
        <f>"2734"</f>
        <v>2734</v>
      </c>
      <c r="F28" t="s">
        <v>196</v>
      </c>
      <c r="G28" t="s">
        <v>22</v>
      </c>
      <c r="H28">
        <v>5</v>
      </c>
      <c r="I28" t="s">
        <v>197</v>
      </c>
      <c r="K28" t="s">
        <v>198</v>
      </c>
      <c r="L28" t="s">
        <v>25</v>
      </c>
      <c r="M28" t="s">
        <v>199</v>
      </c>
      <c r="N28" t="s">
        <v>200</v>
      </c>
      <c r="O28" t="s">
        <v>201</v>
      </c>
      <c r="P28" t="s">
        <v>202</v>
      </c>
      <c r="Q28" t="s">
        <v>30</v>
      </c>
      <c r="R28" t="s">
        <v>31</v>
      </c>
      <c r="S28" t="s">
        <v>32</v>
      </c>
    </row>
    <row r="29" spans="1:19" x14ac:dyDescent="0.45">
      <c r="A29" t="str">
        <f t="shared" si="0"/>
        <v>17801</v>
      </c>
      <c r="B29" t="s">
        <v>19</v>
      </c>
      <c r="C29" t="str">
        <f t="shared" si="2"/>
        <v>17401</v>
      </c>
      <c r="D29" t="s">
        <v>149</v>
      </c>
      <c r="E29" t="str">
        <f>"2765"</f>
        <v>2765</v>
      </c>
      <c r="F29" t="s">
        <v>203</v>
      </c>
      <c r="G29" t="s">
        <v>22</v>
      </c>
      <c r="H29">
        <v>5</v>
      </c>
      <c r="I29" t="s">
        <v>204</v>
      </c>
      <c r="K29" t="s">
        <v>152</v>
      </c>
      <c r="L29" t="s">
        <v>25</v>
      </c>
      <c r="M29" t="s">
        <v>205</v>
      </c>
      <c r="N29" t="s">
        <v>206</v>
      </c>
      <c r="O29" t="s">
        <v>207</v>
      </c>
      <c r="P29" t="s">
        <v>208</v>
      </c>
      <c r="Q29" t="s">
        <v>30</v>
      </c>
      <c r="R29" t="s">
        <v>31</v>
      </c>
      <c r="S29" t="s">
        <v>32</v>
      </c>
    </row>
    <row r="30" spans="1:19" x14ac:dyDescent="0.45">
      <c r="A30" t="str">
        <f t="shared" si="0"/>
        <v>17801</v>
      </c>
      <c r="B30" t="s">
        <v>19</v>
      </c>
      <c r="C30" t="str">
        <f t="shared" si="2"/>
        <v>17401</v>
      </c>
      <c r="D30" t="s">
        <v>149</v>
      </c>
      <c r="E30" t="str">
        <f>"2842"</f>
        <v>2842</v>
      </c>
      <c r="F30" t="s">
        <v>209</v>
      </c>
      <c r="G30" t="s">
        <v>22</v>
      </c>
      <c r="H30">
        <v>5</v>
      </c>
      <c r="I30" t="s">
        <v>210</v>
      </c>
      <c r="K30" t="s">
        <v>176</v>
      </c>
      <c r="L30" t="s">
        <v>25</v>
      </c>
      <c r="M30" t="s">
        <v>211</v>
      </c>
      <c r="N30" t="s">
        <v>212</v>
      </c>
      <c r="O30" t="s">
        <v>213</v>
      </c>
      <c r="P30" t="s">
        <v>214</v>
      </c>
      <c r="Q30" t="s">
        <v>30</v>
      </c>
      <c r="R30" t="s">
        <v>31</v>
      </c>
      <c r="S30" t="s">
        <v>32</v>
      </c>
    </row>
    <row r="31" spans="1:19" x14ac:dyDescent="0.45">
      <c r="A31" t="str">
        <f t="shared" si="0"/>
        <v>17801</v>
      </c>
      <c r="B31" t="s">
        <v>19</v>
      </c>
      <c r="C31" t="str">
        <f t="shared" si="2"/>
        <v>17401</v>
      </c>
      <c r="D31" t="s">
        <v>149</v>
      </c>
      <c r="E31" t="str">
        <f>"2844"</f>
        <v>2844</v>
      </c>
      <c r="F31" t="s">
        <v>215</v>
      </c>
      <c r="G31" t="s">
        <v>22</v>
      </c>
      <c r="H31">
        <v>5</v>
      </c>
      <c r="I31" t="s">
        <v>216</v>
      </c>
      <c r="K31" t="s">
        <v>176</v>
      </c>
      <c r="L31" t="s">
        <v>25</v>
      </c>
      <c r="M31">
        <v>98166</v>
      </c>
      <c r="N31" t="s">
        <v>217</v>
      </c>
      <c r="O31" t="s">
        <v>218</v>
      </c>
      <c r="P31" t="s">
        <v>219</v>
      </c>
      <c r="Q31" t="s">
        <v>30</v>
      </c>
      <c r="R31" t="s">
        <v>31</v>
      </c>
      <c r="S31" t="s">
        <v>32</v>
      </c>
    </row>
    <row r="32" spans="1:19" x14ac:dyDescent="0.45">
      <c r="A32" t="str">
        <f t="shared" si="0"/>
        <v>17801</v>
      </c>
      <c r="B32" t="s">
        <v>19</v>
      </c>
      <c r="C32" t="str">
        <f t="shared" si="2"/>
        <v>17401</v>
      </c>
      <c r="D32" t="s">
        <v>149</v>
      </c>
      <c r="E32" t="str">
        <f>"2926"</f>
        <v>2926</v>
      </c>
      <c r="F32" t="s">
        <v>220</v>
      </c>
      <c r="G32" t="s">
        <v>22</v>
      </c>
      <c r="H32">
        <v>5</v>
      </c>
      <c r="I32" t="s">
        <v>221</v>
      </c>
      <c r="K32" t="s">
        <v>176</v>
      </c>
      <c r="L32" t="s">
        <v>25</v>
      </c>
      <c r="M32">
        <v>98168</v>
      </c>
      <c r="N32" t="s">
        <v>222</v>
      </c>
      <c r="O32" t="s">
        <v>223</v>
      </c>
      <c r="P32" t="s">
        <v>224</v>
      </c>
      <c r="Q32" t="s">
        <v>30</v>
      </c>
      <c r="R32" t="s">
        <v>31</v>
      </c>
      <c r="S32" t="s">
        <v>32</v>
      </c>
    </row>
    <row r="33" spans="1:19" x14ac:dyDescent="0.45">
      <c r="A33" t="str">
        <f t="shared" si="0"/>
        <v>17801</v>
      </c>
      <c r="B33" t="s">
        <v>19</v>
      </c>
      <c r="C33" t="str">
        <f t="shared" si="2"/>
        <v>17401</v>
      </c>
      <c r="D33" t="s">
        <v>149</v>
      </c>
      <c r="E33" t="str">
        <f>"2927"</f>
        <v>2927</v>
      </c>
      <c r="F33" t="s">
        <v>225</v>
      </c>
      <c r="G33">
        <v>6</v>
      </c>
      <c r="H33">
        <v>8</v>
      </c>
      <c r="I33" t="s">
        <v>226</v>
      </c>
      <c r="K33" t="s">
        <v>176</v>
      </c>
      <c r="L33" t="s">
        <v>25</v>
      </c>
      <c r="M33" t="s">
        <v>227</v>
      </c>
      <c r="N33" t="s">
        <v>228</v>
      </c>
      <c r="O33" t="s">
        <v>229</v>
      </c>
      <c r="P33" t="s">
        <v>230</v>
      </c>
      <c r="Q33" t="s">
        <v>30</v>
      </c>
      <c r="R33" t="s">
        <v>31</v>
      </c>
      <c r="S33" t="s">
        <v>104</v>
      </c>
    </row>
    <row r="34" spans="1:19" x14ac:dyDescent="0.45">
      <c r="A34" t="str">
        <f t="shared" ref="A34:A65" si="3">"17801"</f>
        <v>17801</v>
      </c>
      <c r="B34" t="s">
        <v>19</v>
      </c>
      <c r="C34" t="str">
        <f t="shared" si="2"/>
        <v>17401</v>
      </c>
      <c r="D34" t="s">
        <v>149</v>
      </c>
      <c r="E34" t="str">
        <f>"2982"</f>
        <v>2982</v>
      </c>
      <c r="F34" t="s">
        <v>231</v>
      </c>
      <c r="G34" t="s">
        <v>22</v>
      </c>
      <c r="H34">
        <v>5</v>
      </c>
      <c r="I34" t="s">
        <v>232</v>
      </c>
      <c r="K34" t="s">
        <v>198</v>
      </c>
      <c r="L34" t="s">
        <v>25</v>
      </c>
      <c r="M34" t="s">
        <v>233</v>
      </c>
      <c r="N34" t="s">
        <v>234</v>
      </c>
      <c r="O34" t="s">
        <v>235</v>
      </c>
      <c r="P34" t="s">
        <v>236</v>
      </c>
      <c r="Q34" t="s">
        <v>30</v>
      </c>
      <c r="R34" t="s">
        <v>31</v>
      </c>
      <c r="S34" t="s">
        <v>32</v>
      </c>
    </row>
    <row r="35" spans="1:19" x14ac:dyDescent="0.45">
      <c r="A35" t="str">
        <f t="shared" si="3"/>
        <v>17801</v>
      </c>
      <c r="B35" t="s">
        <v>19</v>
      </c>
      <c r="C35" t="str">
        <f t="shared" si="2"/>
        <v>17401</v>
      </c>
      <c r="D35" t="s">
        <v>149</v>
      </c>
      <c r="E35" t="str">
        <f>"2983"</f>
        <v>2983</v>
      </c>
      <c r="F35" t="s">
        <v>237</v>
      </c>
      <c r="G35" t="s">
        <v>22</v>
      </c>
      <c r="H35">
        <v>5</v>
      </c>
      <c r="I35" t="s">
        <v>238</v>
      </c>
      <c r="K35" t="s">
        <v>180</v>
      </c>
      <c r="L35" t="s">
        <v>25</v>
      </c>
      <c r="M35" t="s">
        <v>239</v>
      </c>
      <c r="N35" t="s">
        <v>240</v>
      </c>
      <c r="O35" t="s">
        <v>241</v>
      </c>
      <c r="P35" t="s">
        <v>242</v>
      </c>
      <c r="Q35" t="s">
        <v>30</v>
      </c>
      <c r="R35" t="s">
        <v>31</v>
      </c>
      <c r="S35" t="s">
        <v>32</v>
      </c>
    </row>
    <row r="36" spans="1:19" x14ac:dyDescent="0.45">
      <c r="A36" t="str">
        <f t="shared" si="3"/>
        <v>17801</v>
      </c>
      <c r="B36" t="s">
        <v>19</v>
      </c>
      <c r="C36" t="str">
        <f t="shared" si="2"/>
        <v>17401</v>
      </c>
      <c r="D36" t="s">
        <v>149</v>
      </c>
      <c r="E36" t="str">
        <f>"2984"</f>
        <v>2984</v>
      </c>
      <c r="F36" t="s">
        <v>243</v>
      </c>
      <c r="G36" t="s">
        <v>22</v>
      </c>
      <c r="H36">
        <v>5</v>
      </c>
      <c r="I36" t="s">
        <v>244</v>
      </c>
      <c r="K36" t="s">
        <v>180</v>
      </c>
      <c r="L36" t="s">
        <v>25</v>
      </c>
      <c r="M36" t="s">
        <v>245</v>
      </c>
      <c r="N36" t="s">
        <v>246</v>
      </c>
      <c r="O36" t="s">
        <v>247</v>
      </c>
      <c r="P36" t="s">
        <v>248</v>
      </c>
      <c r="Q36" t="s">
        <v>30</v>
      </c>
      <c r="R36" t="s">
        <v>31</v>
      </c>
      <c r="S36" t="s">
        <v>32</v>
      </c>
    </row>
    <row r="37" spans="1:19" x14ac:dyDescent="0.45">
      <c r="A37" t="str">
        <f t="shared" si="3"/>
        <v>17801</v>
      </c>
      <c r="B37" t="s">
        <v>19</v>
      </c>
      <c r="C37" t="str">
        <f t="shared" si="2"/>
        <v>17401</v>
      </c>
      <c r="D37" t="s">
        <v>149</v>
      </c>
      <c r="E37" t="str">
        <f>"3032"</f>
        <v>3032</v>
      </c>
      <c r="F37" t="s">
        <v>249</v>
      </c>
      <c r="G37" t="s">
        <v>22</v>
      </c>
      <c r="H37">
        <v>5</v>
      </c>
      <c r="I37" t="s">
        <v>250</v>
      </c>
      <c r="K37" t="s">
        <v>152</v>
      </c>
      <c r="L37" t="s">
        <v>25</v>
      </c>
      <c r="M37" t="s">
        <v>251</v>
      </c>
      <c r="N37" t="s">
        <v>252</v>
      </c>
      <c r="O37" t="s">
        <v>253</v>
      </c>
      <c r="P37" t="s">
        <v>254</v>
      </c>
      <c r="Q37" t="s">
        <v>30</v>
      </c>
      <c r="R37" t="s">
        <v>31</v>
      </c>
      <c r="S37" t="s">
        <v>32</v>
      </c>
    </row>
    <row r="38" spans="1:19" x14ac:dyDescent="0.45">
      <c r="A38" t="str">
        <f t="shared" si="3"/>
        <v>17801</v>
      </c>
      <c r="B38" t="s">
        <v>19</v>
      </c>
      <c r="C38" t="str">
        <f t="shared" si="2"/>
        <v>17401</v>
      </c>
      <c r="D38" t="s">
        <v>149</v>
      </c>
      <c r="E38" t="str">
        <f>"3097"</f>
        <v>3097</v>
      </c>
      <c r="F38" t="s">
        <v>255</v>
      </c>
      <c r="G38" t="s">
        <v>22</v>
      </c>
      <c r="H38">
        <v>5</v>
      </c>
      <c r="I38" t="s">
        <v>256</v>
      </c>
      <c r="K38" t="s">
        <v>257</v>
      </c>
      <c r="L38" t="s">
        <v>25</v>
      </c>
      <c r="M38" t="s">
        <v>258</v>
      </c>
      <c r="N38" t="s">
        <v>259</v>
      </c>
      <c r="O38" t="s">
        <v>260</v>
      </c>
      <c r="P38" t="s">
        <v>261</v>
      </c>
      <c r="Q38" t="s">
        <v>30</v>
      </c>
      <c r="R38" t="s">
        <v>31</v>
      </c>
      <c r="S38" t="s">
        <v>32</v>
      </c>
    </row>
    <row r="39" spans="1:19" x14ac:dyDescent="0.45">
      <c r="A39" t="str">
        <f t="shared" si="3"/>
        <v>17801</v>
      </c>
      <c r="B39" t="s">
        <v>19</v>
      </c>
      <c r="C39" t="str">
        <f t="shared" si="2"/>
        <v>17401</v>
      </c>
      <c r="D39" t="s">
        <v>149</v>
      </c>
      <c r="E39" t="str">
        <f>"3098"</f>
        <v>3098</v>
      </c>
      <c r="F39" t="s">
        <v>262</v>
      </c>
      <c r="G39">
        <v>6</v>
      </c>
      <c r="H39">
        <v>8</v>
      </c>
      <c r="I39" t="s">
        <v>263</v>
      </c>
      <c r="K39" t="s">
        <v>198</v>
      </c>
      <c r="L39" t="s">
        <v>25</v>
      </c>
      <c r="M39" t="s">
        <v>264</v>
      </c>
      <c r="N39" t="s">
        <v>265</v>
      </c>
      <c r="O39" t="s">
        <v>266</v>
      </c>
      <c r="P39" t="s">
        <v>267</v>
      </c>
      <c r="Q39" t="s">
        <v>30</v>
      </c>
      <c r="R39" t="s">
        <v>31</v>
      </c>
      <c r="S39" t="s">
        <v>104</v>
      </c>
    </row>
    <row r="40" spans="1:19" x14ac:dyDescent="0.45">
      <c r="A40" t="str">
        <f t="shared" si="3"/>
        <v>17801</v>
      </c>
      <c r="B40" t="s">
        <v>19</v>
      </c>
      <c r="C40" t="str">
        <f t="shared" si="2"/>
        <v>17401</v>
      </c>
      <c r="D40" t="s">
        <v>149</v>
      </c>
      <c r="E40" t="str">
        <f>"3099"</f>
        <v>3099</v>
      </c>
      <c r="F40" t="s">
        <v>268</v>
      </c>
      <c r="G40">
        <v>9</v>
      </c>
      <c r="H40">
        <v>12</v>
      </c>
      <c r="I40" t="s">
        <v>269</v>
      </c>
      <c r="K40" t="s">
        <v>152</v>
      </c>
      <c r="L40" t="s">
        <v>25</v>
      </c>
      <c r="M40" t="s">
        <v>270</v>
      </c>
      <c r="N40" t="s">
        <v>271</v>
      </c>
      <c r="O40" t="s">
        <v>272</v>
      </c>
      <c r="P40" t="s">
        <v>273</v>
      </c>
      <c r="Q40" t="s">
        <v>30</v>
      </c>
      <c r="R40" t="s">
        <v>31</v>
      </c>
      <c r="S40" t="s">
        <v>58</v>
      </c>
    </row>
    <row r="41" spans="1:19" x14ac:dyDescent="0.45">
      <c r="A41" t="str">
        <f t="shared" si="3"/>
        <v>17801</v>
      </c>
      <c r="B41" t="s">
        <v>19</v>
      </c>
      <c r="C41" t="str">
        <f t="shared" si="2"/>
        <v>17401</v>
      </c>
      <c r="D41" t="s">
        <v>149</v>
      </c>
      <c r="E41" t="str">
        <f>"3163"</f>
        <v>3163</v>
      </c>
      <c r="F41" t="s">
        <v>274</v>
      </c>
      <c r="G41">
        <v>6</v>
      </c>
      <c r="H41">
        <v>8</v>
      </c>
      <c r="I41" t="s">
        <v>275</v>
      </c>
      <c r="K41" t="s">
        <v>152</v>
      </c>
      <c r="L41" t="s">
        <v>25</v>
      </c>
      <c r="M41" t="s">
        <v>276</v>
      </c>
      <c r="N41" t="s">
        <v>277</v>
      </c>
      <c r="O41" t="s">
        <v>278</v>
      </c>
      <c r="P41" t="s">
        <v>279</v>
      </c>
      <c r="Q41" t="s">
        <v>30</v>
      </c>
      <c r="R41" t="s">
        <v>31</v>
      </c>
      <c r="S41" t="s">
        <v>104</v>
      </c>
    </row>
    <row r="42" spans="1:19" x14ac:dyDescent="0.45">
      <c r="A42" t="str">
        <f t="shared" si="3"/>
        <v>17801</v>
      </c>
      <c r="B42" t="s">
        <v>19</v>
      </c>
      <c r="C42" t="str">
        <f t="shared" si="2"/>
        <v>17401</v>
      </c>
      <c r="D42" t="s">
        <v>149</v>
      </c>
      <c r="E42" t="str">
        <f>"3165"</f>
        <v>3165</v>
      </c>
      <c r="F42" t="s">
        <v>280</v>
      </c>
      <c r="G42" t="s">
        <v>22</v>
      </c>
      <c r="H42">
        <v>5</v>
      </c>
      <c r="I42" t="s">
        <v>281</v>
      </c>
      <c r="K42" t="s">
        <v>152</v>
      </c>
      <c r="L42" t="s">
        <v>25</v>
      </c>
      <c r="M42" t="s">
        <v>282</v>
      </c>
      <c r="N42" t="s">
        <v>283</v>
      </c>
      <c r="O42" t="s">
        <v>284</v>
      </c>
      <c r="P42" t="s">
        <v>285</v>
      </c>
      <c r="Q42" t="s">
        <v>30</v>
      </c>
      <c r="R42" t="s">
        <v>31</v>
      </c>
      <c r="S42" t="s">
        <v>32</v>
      </c>
    </row>
    <row r="43" spans="1:19" x14ac:dyDescent="0.45">
      <c r="A43" t="str">
        <f t="shared" si="3"/>
        <v>17801</v>
      </c>
      <c r="B43" t="s">
        <v>19</v>
      </c>
      <c r="C43" t="str">
        <f t="shared" si="2"/>
        <v>17401</v>
      </c>
      <c r="D43" t="s">
        <v>149</v>
      </c>
      <c r="E43" t="str">
        <f>"3278"</f>
        <v>3278</v>
      </c>
      <c r="F43" t="s">
        <v>286</v>
      </c>
      <c r="G43" t="s">
        <v>22</v>
      </c>
      <c r="H43">
        <v>5</v>
      </c>
      <c r="I43" t="s">
        <v>287</v>
      </c>
      <c r="K43" t="s">
        <v>198</v>
      </c>
      <c r="L43" t="s">
        <v>25</v>
      </c>
      <c r="M43">
        <v>98198</v>
      </c>
      <c r="N43" t="s">
        <v>288</v>
      </c>
      <c r="O43" t="s">
        <v>289</v>
      </c>
      <c r="P43" t="s">
        <v>290</v>
      </c>
      <c r="Q43" t="s">
        <v>30</v>
      </c>
      <c r="R43" t="s">
        <v>31</v>
      </c>
      <c r="S43" t="s">
        <v>32</v>
      </c>
    </row>
    <row r="44" spans="1:19" x14ac:dyDescent="0.45">
      <c r="A44" t="str">
        <f t="shared" si="3"/>
        <v>17801</v>
      </c>
      <c r="B44" t="s">
        <v>19</v>
      </c>
      <c r="C44" t="str">
        <f t="shared" si="2"/>
        <v>17401</v>
      </c>
      <c r="D44" t="s">
        <v>149</v>
      </c>
      <c r="E44" t="str">
        <f>"3279"</f>
        <v>3279</v>
      </c>
      <c r="F44" t="s">
        <v>291</v>
      </c>
      <c r="G44">
        <v>9</v>
      </c>
      <c r="H44">
        <v>12</v>
      </c>
      <c r="I44" t="s">
        <v>292</v>
      </c>
      <c r="K44" t="s">
        <v>180</v>
      </c>
      <c r="L44" t="s">
        <v>25</v>
      </c>
      <c r="M44" t="s">
        <v>293</v>
      </c>
      <c r="N44" t="s">
        <v>294</v>
      </c>
      <c r="O44" t="s">
        <v>295</v>
      </c>
      <c r="P44" t="s">
        <v>296</v>
      </c>
      <c r="Q44" t="s">
        <v>30</v>
      </c>
      <c r="R44" t="s">
        <v>31</v>
      </c>
      <c r="S44" t="s">
        <v>58</v>
      </c>
    </row>
    <row r="45" spans="1:19" x14ac:dyDescent="0.45">
      <c r="A45" t="str">
        <f t="shared" si="3"/>
        <v>17801</v>
      </c>
      <c r="B45" t="s">
        <v>19</v>
      </c>
      <c r="C45" t="str">
        <f t="shared" si="2"/>
        <v>17401</v>
      </c>
      <c r="D45" t="s">
        <v>149</v>
      </c>
      <c r="E45" t="str">
        <f>"3333"</f>
        <v>3333</v>
      </c>
      <c r="F45" t="s">
        <v>297</v>
      </c>
      <c r="G45">
        <v>6</v>
      </c>
      <c r="H45">
        <v>8</v>
      </c>
      <c r="I45" t="s">
        <v>298</v>
      </c>
      <c r="K45" t="s">
        <v>180</v>
      </c>
      <c r="L45" t="s">
        <v>25</v>
      </c>
      <c r="M45" t="s">
        <v>299</v>
      </c>
      <c r="N45" t="s">
        <v>300</v>
      </c>
      <c r="O45" t="s">
        <v>301</v>
      </c>
      <c r="P45" t="s">
        <v>302</v>
      </c>
      <c r="Q45" t="s">
        <v>30</v>
      </c>
      <c r="R45" t="s">
        <v>31</v>
      </c>
      <c r="S45" t="s">
        <v>104</v>
      </c>
    </row>
    <row r="46" spans="1:19" x14ac:dyDescent="0.45">
      <c r="A46" t="str">
        <f t="shared" si="3"/>
        <v>17801</v>
      </c>
      <c r="B46" t="s">
        <v>19</v>
      </c>
      <c r="C46" t="str">
        <f t="shared" si="2"/>
        <v>17401</v>
      </c>
      <c r="D46" t="s">
        <v>149</v>
      </c>
      <c r="E46" t="str">
        <f>"3335"</f>
        <v>3335</v>
      </c>
      <c r="F46" t="s">
        <v>303</v>
      </c>
      <c r="G46" t="s">
        <v>22</v>
      </c>
      <c r="H46">
        <v>5</v>
      </c>
      <c r="I46" t="s">
        <v>304</v>
      </c>
      <c r="K46" t="s">
        <v>180</v>
      </c>
      <c r="L46" t="s">
        <v>25</v>
      </c>
      <c r="M46" t="s">
        <v>305</v>
      </c>
      <c r="N46" t="s">
        <v>306</v>
      </c>
      <c r="O46" t="s">
        <v>307</v>
      </c>
      <c r="P46" t="s">
        <v>308</v>
      </c>
      <c r="Q46" t="s">
        <v>30</v>
      </c>
      <c r="R46" t="s">
        <v>31</v>
      </c>
      <c r="S46" t="s">
        <v>32</v>
      </c>
    </row>
    <row r="47" spans="1:19" x14ac:dyDescent="0.45">
      <c r="A47" t="str">
        <f t="shared" si="3"/>
        <v>17801</v>
      </c>
      <c r="B47" t="s">
        <v>19</v>
      </c>
      <c r="C47" t="str">
        <f t="shared" si="2"/>
        <v>17401</v>
      </c>
      <c r="D47" t="s">
        <v>149</v>
      </c>
      <c r="E47" t="str">
        <f>"3382"</f>
        <v>3382</v>
      </c>
      <c r="F47" t="s">
        <v>309</v>
      </c>
      <c r="G47" t="s">
        <v>22</v>
      </c>
      <c r="H47">
        <v>5</v>
      </c>
      <c r="I47" t="s">
        <v>310</v>
      </c>
      <c r="J47" t="s">
        <v>311</v>
      </c>
      <c r="K47" t="s">
        <v>176</v>
      </c>
      <c r="L47" t="s">
        <v>25</v>
      </c>
      <c r="M47" t="s">
        <v>312</v>
      </c>
      <c r="N47" t="s">
        <v>313</v>
      </c>
      <c r="O47" t="s">
        <v>314</v>
      </c>
      <c r="P47" t="s">
        <v>315</v>
      </c>
      <c r="Q47" t="s">
        <v>30</v>
      </c>
      <c r="R47" t="s">
        <v>31</v>
      </c>
      <c r="S47" t="s">
        <v>32</v>
      </c>
    </row>
    <row r="48" spans="1:19" x14ac:dyDescent="0.45">
      <c r="A48" t="str">
        <f t="shared" si="3"/>
        <v>17801</v>
      </c>
      <c r="B48" t="s">
        <v>19</v>
      </c>
      <c r="C48" t="str">
        <f t="shared" si="2"/>
        <v>17401</v>
      </c>
      <c r="D48" t="s">
        <v>149</v>
      </c>
      <c r="E48" t="str">
        <f>"3483"</f>
        <v>3483</v>
      </c>
      <c r="F48" t="s">
        <v>316</v>
      </c>
      <c r="G48">
        <v>9</v>
      </c>
      <c r="H48">
        <v>12</v>
      </c>
      <c r="I48" t="s">
        <v>317</v>
      </c>
      <c r="K48" t="s">
        <v>198</v>
      </c>
      <c r="L48" t="s">
        <v>25</v>
      </c>
      <c r="M48" t="s">
        <v>318</v>
      </c>
      <c r="N48" t="s">
        <v>319</v>
      </c>
      <c r="O48" t="s">
        <v>320</v>
      </c>
      <c r="P48" t="s">
        <v>321</v>
      </c>
      <c r="Q48" t="s">
        <v>30</v>
      </c>
      <c r="R48" t="s">
        <v>31</v>
      </c>
      <c r="S48" t="s">
        <v>58</v>
      </c>
    </row>
    <row r="49" spans="1:19" x14ac:dyDescent="0.45">
      <c r="A49" t="str">
        <f t="shared" si="3"/>
        <v>17801</v>
      </c>
      <c r="B49" t="s">
        <v>19</v>
      </c>
      <c r="C49" t="str">
        <f>"17402"</f>
        <v>17402</v>
      </c>
      <c r="D49" t="s">
        <v>322</v>
      </c>
      <c r="E49" t="str">
        <f>"1822"</f>
        <v>1822</v>
      </c>
      <c r="F49" t="s">
        <v>323</v>
      </c>
      <c r="G49" t="s">
        <v>70</v>
      </c>
      <c r="H49">
        <v>12</v>
      </c>
      <c r="I49" t="s">
        <v>324</v>
      </c>
      <c r="K49" t="s">
        <v>325</v>
      </c>
      <c r="L49" t="s">
        <v>25</v>
      </c>
      <c r="M49" t="s">
        <v>326</v>
      </c>
      <c r="N49" t="s">
        <v>327</v>
      </c>
      <c r="O49" t="s">
        <v>328</v>
      </c>
      <c r="P49" t="s">
        <v>329</v>
      </c>
      <c r="Q49" t="s">
        <v>157</v>
      </c>
      <c r="R49" t="s">
        <v>158</v>
      </c>
      <c r="S49" t="s">
        <v>330</v>
      </c>
    </row>
    <row r="50" spans="1:19" x14ac:dyDescent="0.45">
      <c r="A50" t="str">
        <f t="shared" si="3"/>
        <v>17801</v>
      </c>
      <c r="B50" t="s">
        <v>19</v>
      </c>
      <c r="C50" t="str">
        <f>"17402"</f>
        <v>17402</v>
      </c>
      <c r="D50" t="s">
        <v>322</v>
      </c>
      <c r="E50" t="str">
        <f>"2419"</f>
        <v>2419</v>
      </c>
      <c r="F50" t="s">
        <v>331</v>
      </c>
      <c r="G50">
        <v>9</v>
      </c>
      <c r="H50">
        <v>12</v>
      </c>
      <c r="I50" t="s">
        <v>332</v>
      </c>
      <c r="K50" t="s">
        <v>325</v>
      </c>
      <c r="L50" t="s">
        <v>25</v>
      </c>
      <c r="M50" t="s">
        <v>333</v>
      </c>
      <c r="N50" t="s">
        <v>327</v>
      </c>
      <c r="O50" t="s">
        <v>328</v>
      </c>
      <c r="P50" t="s">
        <v>329</v>
      </c>
      <c r="Q50" t="s">
        <v>30</v>
      </c>
      <c r="R50" t="s">
        <v>31</v>
      </c>
      <c r="S50" t="s">
        <v>58</v>
      </c>
    </row>
    <row r="51" spans="1:19" x14ac:dyDescent="0.45">
      <c r="A51" t="str">
        <f t="shared" si="3"/>
        <v>17801</v>
      </c>
      <c r="B51" t="s">
        <v>19</v>
      </c>
      <c r="C51" t="str">
        <f>"17402"</f>
        <v>17402</v>
      </c>
      <c r="D51" t="s">
        <v>322</v>
      </c>
      <c r="E51" t="str">
        <f>"3667"</f>
        <v>3667</v>
      </c>
      <c r="F51" t="s">
        <v>334</v>
      </c>
      <c r="G51">
        <v>6</v>
      </c>
      <c r="H51">
        <v>8</v>
      </c>
      <c r="I51" t="s">
        <v>335</v>
      </c>
      <c r="K51" t="s">
        <v>325</v>
      </c>
      <c r="L51" t="s">
        <v>25</v>
      </c>
      <c r="M51" t="s">
        <v>333</v>
      </c>
      <c r="N51" t="s">
        <v>336</v>
      </c>
      <c r="O51" t="s">
        <v>337</v>
      </c>
      <c r="P51" t="s">
        <v>338</v>
      </c>
      <c r="Q51" t="s">
        <v>30</v>
      </c>
      <c r="R51" t="s">
        <v>31</v>
      </c>
      <c r="S51" t="s">
        <v>104</v>
      </c>
    </row>
    <row r="52" spans="1:19" x14ac:dyDescent="0.45">
      <c r="A52" t="str">
        <f t="shared" si="3"/>
        <v>17801</v>
      </c>
      <c r="B52" t="s">
        <v>19</v>
      </c>
      <c r="C52" t="str">
        <f>"17402"</f>
        <v>17402</v>
      </c>
      <c r="D52" t="s">
        <v>322</v>
      </c>
      <c r="E52" t="str">
        <f>"4468"</f>
        <v>4468</v>
      </c>
      <c r="F52" t="s">
        <v>339</v>
      </c>
      <c r="G52" t="s">
        <v>22</v>
      </c>
      <c r="H52">
        <v>5</v>
      </c>
      <c r="I52" t="s">
        <v>340</v>
      </c>
      <c r="K52" t="s">
        <v>325</v>
      </c>
      <c r="L52" t="s">
        <v>25</v>
      </c>
      <c r="M52" t="s">
        <v>333</v>
      </c>
      <c r="N52" t="s">
        <v>341</v>
      </c>
      <c r="O52" t="s">
        <v>342</v>
      </c>
      <c r="P52" t="s">
        <v>343</v>
      </c>
      <c r="Q52" t="s">
        <v>30</v>
      </c>
      <c r="R52" t="s">
        <v>31</v>
      </c>
      <c r="S52" t="s">
        <v>32</v>
      </c>
    </row>
    <row r="53" spans="1:19" x14ac:dyDescent="0.45">
      <c r="A53" t="str">
        <f t="shared" si="3"/>
        <v>17801</v>
      </c>
      <c r="B53" t="s">
        <v>19</v>
      </c>
      <c r="C53" t="str">
        <f t="shared" ref="C53:C74" si="4">"17403"</f>
        <v>17403</v>
      </c>
      <c r="D53" t="s">
        <v>344</v>
      </c>
      <c r="E53" t="str">
        <f>"1534"</f>
        <v>1534</v>
      </c>
      <c r="F53" t="s">
        <v>345</v>
      </c>
      <c r="G53">
        <v>6</v>
      </c>
      <c r="H53">
        <v>12</v>
      </c>
      <c r="I53" t="s">
        <v>346</v>
      </c>
      <c r="K53" t="s">
        <v>347</v>
      </c>
      <c r="L53" t="s">
        <v>25</v>
      </c>
      <c r="M53" t="s">
        <v>348</v>
      </c>
      <c r="N53" t="s">
        <v>349</v>
      </c>
      <c r="O53" t="s">
        <v>350</v>
      </c>
      <c r="P53" t="s">
        <v>351</v>
      </c>
      <c r="Q53" t="s">
        <v>66</v>
      </c>
      <c r="R53" t="s">
        <v>67</v>
      </c>
      <c r="S53" t="s">
        <v>159</v>
      </c>
    </row>
    <row r="54" spans="1:19" x14ac:dyDescent="0.45">
      <c r="A54" t="str">
        <f t="shared" si="3"/>
        <v>17801</v>
      </c>
      <c r="B54" t="s">
        <v>19</v>
      </c>
      <c r="C54" t="str">
        <f t="shared" si="4"/>
        <v>17403</v>
      </c>
      <c r="D54" t="s">
        <v>344</v>
      </c>
      <c r="E54" t="str">
        <f>"1648"</f>
        <v>1648</v>
      </c>
      <c r="F54" t="s">
        <v>352</v>
      </c>
      <c r="G54" t="s">
        <v>22</v>
      </c>
      <c r="H54">
        <v>12</v>
      </c>
      <c r="I54" t="s">
        <v>353</v>
      </c>
      <c r="K54" t="s">
        <v>347</v>
      </c>
      <c r="L54" t="s">
        <v>25</v>
      </c>
      <c r="M54" t="s">
        <v>354</v>
      </c>
      <c r="N54" t="s">
        <v>355</v>
      </c>
      <c r="O54" t="s">
        <v>356</v>
      </c>
      <c r="P54" t="s">
        <v>357</v>
      </c>
      <c r="Q54" t="s">
        <v>66</v>
      </c>
      <c r="R54" t="s">
        <v>67</v>
      </c>
      <c r="S54" t="s">
        <v>68</v>
      </c>
    </row>
    <row r="55" spans="1:19" x14ac:dyDescent="0.45">
      <c r="A55" t="str">
        <f t="shared" si="3"/>
        <v>17801</v>
      </c>
      <c r="B55" t="s">
        <v>19</v>
      </c>
      <c r="C55" t="str">
        <f t="shared" si="4"/>
        <v>17403</v>
      </c>
      <c r="D55" t="s">
        <v>344</v>
      </c>
      <c r="E55" t="str">
        <f>"1784"</f>
        <v>1784</v>
      </c>
      <c r="F55" t="s">
        <v>358</v>
      </c>
      <c r="G55" t="s">
        <v>70</v>
      </c>
      <c r="H55">
        <v>12</v>
      </c>
      <c r="I55" t="s">
        <v>359</v>
      </c>
      <c r="K55" t="s">
        <v>347</v>
      </c>
      <c r="L55" t="s">
        <v>25</v>
      </c>
      <c r="M55" t="s">
        <v>360</v>
      </c>
      <c r="N55" t="s">
        <v>361</v>
      </c>
      <c r="O55" t="s">
        <v>362</v>
      </c>
      <c r="P55" t="s">
        <v>363</v>
      </c>
      <c r="Q55" t="s">
        <v>157</v>
      </c>
      <c r="R55" t="s">
        <v>158</v>
      </c>
      <c r="S55" t="s">
        <v>330</v>
      </c>
    </row>
    <row r="56" spans="1:19" x14ac:dyDescent="0.45">
      <c r="A56" t="str">
        <f t="shared" si="3"/>
        <v>17801</v>
      </c>
      <c r="B56" t="s">
        <v>19</v>
      </c>
      <c r="C56" t="str">
        <f t="shared" si="4"/>
        <v>17403</v>
      </c>
      <c r="D56" t="s">
        <v>344</v>
      </c>
      <c r="E56" t="str">
        <f>"2439"</f>
        <v>2439</v>
      </c>
      <c r="F56" t="s">
        <v>364</v>
      </c>
      <c r="G56" t="s">
        <v>70</v>
      </c>
      <c r="H56">
        <v>5</v>
      </c>
      <c r="I56" t="s">
        <v>365</v>
      </c>
      <c r="K56" t="s">
        <v>152</v>
      </c>
      <c r="L56" t="s">
        <v>25</v>
      </c>
      <c r="M56" t="s">
        <v>366</v>
      </c>
      <c r="N56" t="s">
        <v>367</v>
      </c>
      <c r="O56" t="s">
        <v>368</v>
      </c>
      <c r="P56" t="s">
        <v>369</v>
      </c>
      <c r="Q56" t="s">
        <v>30</v>
      </c>
      <c r="R56" t="s">
        <v>31</v>
      </c>
      <c r="S56" t="s">
        <v>32</v>
      </c>
    </row>
    <row r="57" spans="1:19" x14ac:dyDescent="0.45">
      <c r="A57" t="str">
        <f t="shared" si="3"/>
        <v>17801</v>
      </c>
      <c r="B57" t="s">
        <v>19</v>
      </c>
      <c r="C57" t="str">
        <f t="shared" si="4"/>
        <v>17403</v>
      </c>
      <c r="D57" t="s">
        <v>344</v>
      </c>
      <c r="E57" t="str">
        <f>"2475"</f>
        <v>2475</v>
      </c>
      <c r="F57" t="s">
        <v>370</v>
      </c>
      <c r="G57">
        <v>9</v>
      </c>
      <c r="H57">
        <v>12</v>
      </c>
      <c r="I57" t="s">
        <v>371</v>
      </c>
      <c r="K57" t="s">
        <v>347</v>
      </c>
      <c r="L57" t="s">
        <v>25</v>
      </c>
      <c r="M57" t="s">
        <v>372</v>
      </c>
      <c r="N57" t="s">
        <v>373</v>
      </c>
      <c r="O57" t="s">
        <v>374</v>
      </c>
      <c r="P57" t="s">
        <v>375</v>
      </c>
      <c r="Q57" t="s">
        <v>30</v>
      </c>
      <c r="R57" t="s">
        <v>31</v>
      </c>
      <c r="S57" t="s">
        <v>58</v>
      </c>
    </row>
    <row r="58" spans="1:19" x14ac:dyDescent="0.45">
      <c r="A58" t="str">
        <f t="shared" si="3"/>
        <v>17801</v>
      </c>
      <c r="B58" t="s">
        <v>19</v>
      </c>
      <c r="C58" t="str">
        <f t="shared" si="4"/>
        <v>17403</v>
      </c>
      <c r="D58" t="s">
        <v>344</v>
      </c>
      <c r="E58" t="str">
        <f>"2597"</f>
        <v>2597</v>
      </c>
      <c r="F58" t="s">
        <v>376</v>
      </c>
      <c r="G58" t="s">
        <v>70</v>
      </c>
      <c r="H58">
        <v>5</v>
      </c>
      <c r="I58" t="s">
        <v>377</v>
      </c>
      <c r="K58" t="s">
        <v>347</v>
      </c>
      <c r="L58" t="s">
        <v>25</v>
      </c>
      <c r="M58" t="s">
        <v>378</v>
      </c>
      <c r="N58" t="s">
        <v>379</v>
      </c>
      <c r="O58" t="s">
        <v>380</v>
      </c>
      <c r="P58" t="s">
        <v>381</v>
      </c>
      <c r="Q58" t="s">
        <v>30</v>
      </c>
      <c r="R58" t="s">
        <v>31</v>
      </c>
      <c r="S58" t="s">
        <v>32</v>
      </c>
    </row>
    <row r="59" spans="1:19" x14ac:dyDescent="0.45">
      <c r="A59" t="str">
        <f t="shared" si="3"/>
        <v>17801</v>
      </c>
      <c r="B59" t="s">
        <v>19</v>
      </c>
      <c r="C59" t="str">
        <f t="shared" si="4"/>
        <v>17403</v>
      </c>
      <c r="D59" t="s">
        <v>344</v>
      </c>
      <c r="E59" t="str">
        <f>"2640"</f>
        <v>2640</v>
      </c>
      <c r="F59" t="s">
        <v>382</v>
      </c>
      <c r="G59" t="s">
        <v>70</v>
      </c>
      <c r="H59">
        <v>5</v>
      </c>
      <c r="I59" t="s">
        <v>383</v>
      </c>
      <c r="K59" t="s">
        <v>347</v>
      </c>
      <c r="L59" t="s">
        <v>25</v>
      </c>
      <c r="M59" t="s">
        <v>384</v>
      </c>
      <c r="N59" t="s">
        <v>385</v>
      </c>
      <c r="O59" t="s">
        <v>386</v>
      </c>
      <c r="P59" t="s">
        <v>387</v>
      </c>
      <c r="Q59" t="s">
        <v>30</v>
      </c>
      <c r="R59" t="s">
        <v>31</v>
      </c>
      <c r="S59" t="s">
        <v>32</v>
      </c>
    </row>
    <row r="60" spans="1:19" x14ac:dyDescent="0.45">
      <c r="A60" t="str">
        <f t="shared" si="3"/>
        <v>17801</v>
      </c>
      <c r="B60" t="s">
        <v>19</v>
      </c>
      <c r="C60" t="str">
        <f t="shared" si="4"/>
        <v>17403</v>
      </c>
      <c r="D60" t="s">
        <v>344</v>
      </c>
      <c r="E60" t="str">
        <f>"2929"</f>
        <v>2929</v>
      </c>
      <c r="F60" t="s">
        <v>118</v>
      </c>
      <c r="G60" t="s">
        <v>70</v>
      </c>
      <c r="H60">
        <v>5</v>
      </c>
      <c r="I60" t="s">
        <v>388</v>
      </c>
      <c r="K60" t="s">
        <v>152</v>
      </c>
      <c r="L60" t="s">
        <v>25</v>
      </c>
      <c r="M60" t="s">
        <v>389</v>
      </c>
      <c r="N60" t="s">
        <v>390</v>
      </c>
      <c r="O60" t="s">
        <v>391</v>
      </c>
      <c r="P60" t="s">
        <v>392</v>
      </c>
      <c r="Q60" t="s">
        <v>30</v>
      </c>
      <c r="R60" t="s">
        <v>31</v>
      </c>
      <c r="S60" t="s">
        <v>32</v>
      </c>
    </row>
    <row r="61" spans="1:19" x14ac:dyDescent="0.45">
      <c r="A61" t="str">
        <f t="shared" si="3"/>
        <v>17801</v>
      </c>
      <c r="B61" t="s">
        <v>19</v>
      </c>
      <c r="C61" t="str">
        <f t="shared" si="4"/>
        <v>17403</v>
      </c>
      <c r="D61" t="s">
        <v>344</v>
      </c>
      <c r="E61" t="str">
        <f>"3034"</f>
        <v>3034</v>
      </c>
      <c r="F61" t="s">
        <v>393</v>
      </c>
      <c r="G61" t="s">
        <v>70</v>
      </c>
      <c r="H61">
        <v>5</v>
      </c>
      <c r="I61" t="s">
        <v>394</v>
      </c>
      <c r="K61" t="s">
        <v>152</v>
      </c>
      <c r="L61" t="s">
        <v>25</v>
      </c>
      <c r="M61" t="s">
        <v>395</v>
      </c>
      <c r="N61" t="s">
        <v>396</v>
      </c>
      <c r="O61" t="s">
        <v>397</v>
      </c>
      <c r="P61" t="s">
        <v>398</v>
      </c>
      <c r="Q61" t="s">
        <v>30</v>
      </c>
      <c r="R61" t="s">
        <v>31</v>
      </c>
      <c r="S61" t="s">
        <v>32</v>
      </c>
    </row>
    <row r="62" spans="1:19" x14ac:dyDescent="0.45">
      <c r="A62" t="str">
        <f t="shared" si="3"/>
        <v>17801</v>
      </c>
      <c r="B62" t="s">
        <v>19</v>
      </c>
      <c r="C62" t="str">
        <f t="shared" si="4"/>
        <v>17403</v>
      </c>
      <c r="D62" t="s">
        <v>344</v>
      </c>
      <c r="E62" t="str">
        <f>"3035"</f>
        <v>3035</v>
      </c>
      <c r="F62" t="s">
        <v>399</v>
      </c>
      <c r="G62">
        <v>6</v>
      </c>
      <c r="H62">
        <v>8</v>
      </c>
      <c r="I62" t="s">
        <v>400</v>
      </c>
      <c r="K62" t="s">
        <v>347</v>
      </c>
      <c r="L62" t="s">
        <v>25</v>
      </c>
      <c r="M62" t="s">
        <v>401</v>
      </c>
      <c r="N62" t="s">
        <v>402</v>
      </c>
      <c r="O62" t="s">
        <v>403</v>
      </c>
      <c r="P62" t="s">
        <v>404</v>
      </c>
      <c r="Q62" t="s">
        <v>30</v>
      </c>
      <c r="R62" t="s">
        <v>31</v>
      </c>
      <c r="S62" t="s">
        <v>104</v>
      </c>
    </row>
    <row r="63" spans="1:19" x14ac:dyDescent="0.45">
      <c r="A63" t="str">
        <f t="shared" si="3"/>
        <v>17801</v>
      </c>
      <c r="B63" t="s">
        <v>19</v>
      </c>
      <c r="C63" t="str">
        <f t="shared" si="4"/>
        <v>17403</v>
      </c>
      <c r="D63" t="s">
        <v>344</v>
      </c>
      <c r="E63" t="str">
        <f>"3280"</f>
        <v>3280</v>
      </c>
      <c r="F63" t="s">
        <v>405</v>
      </c>
      <c r="G63">
        <v>6</v>
      </c>
      <c r="H63">
        <v>8</v>
      </c>
      <c r="I63" t="s">
        <v>406</v>
      </c>
      <c r="K63" t="s">
        <v>152</v>
      </c>
      <c r="L63" t="s">
        <v>25</v>
      </c>
      <c r="M63" t="s">
        <v>407</v>
      </c>
      <c r="N63" t="s">
        <v>408</v>
      </c>
      <c r="O63" t="s">
        <v>409</v>
      </c>
      <c r="P63" t="s">
        <v>410</v>
      </c>
      <c r="Q63" t="s">
        <v>30</v>
      </c>
      <c r="R63" t="s">
        <v>31</v>
      </c>
      <c r="S63" t="s">
        <v>104</v>
      </c>
    </row>
    <row r="64" spans="1:19" x14ac:dyDescent="0.45">
      <c r="A64" t="str">
        <f t="shared" si="3"/>
        <v>17801</v>
      </c>
      <c r="B64" t="s">
        <v>19</v>
      </c>
      <c r="C64" t="str">
        <f t="shared" si="4"/>
        <v>17403</v>
      </c>
      <c r="D64" t="s">
        <v>344</v>
      </c>
      <c r="E64" t="str">
        <f>"3337"</f>
        <v>3337</v>
      </c>
      <c r="F64" t="s">
        <v>411</v>
      </c>
      <c r="G64" t="s">
        <v>70</v>
      </c>
      <c r="H64">
        <v>5</v>
      </c>
      <c r="I64" t="s">
        <v>412</v>
      </c>
      <c r="K64" t="s">
        <v>347</v>
      </c>
      <c r="L64" t="s">
        <v>25</v>
      </c>
      <c r="M64" t="s">
        <v>413</v>
      </c>
      <c r="N64" t="s">
        <v>414</v>
      </c>
      <c r="O64" t="s">
        <v>415</v>
      </c>
      <c r="P64" t="s">
        <v>416</v>
      </c>
      <c r="Q64" t="s">
        <v>30</v>
      </c>
      <c r="R64" t="s">
        <v>31</v>
      </c>
      <c r="S64" t="s">
        <v>32</v>
      </c>
    </row>
    <row r="65" spans="1:19" x14ac:dyDescent="0.45">
      <c r="A65" t="str">
        <f t="shared" si="3"/>
        <v>17801</v>
      </c>
      <c r="B65" t="s">
        <v>19</v>
      </c>
      <c r="C65" t="str">
        <f t="shared" si="4"/>
        <v>17403</v>
      </c>
      <c r="D65" t="s">
        <v>344</v>
      </c>
      <c r="E65" t="str">
        <f>"3434"</f>
        <v>3434</v>
      </c>
      <c r="F65" t="s">
        <v>417</v>
      </c>
      <c r="G65">
        <v>6</v>
      </c>
      <c r="H65">
        <v>8</v>
      </c>
      <c r="I65" t="s">
        <v>418</v>
      </c>
      <c r="K65" t="s">
        <v>347</v>
      </c>
      <c r="L65" t="s">
        <v>25</v>
      </c>
      <c r="M65" t="s">
        <v>419</v>
      </c>
      <c r="N65" t="s">
        <v>420</v>
      </c>
      <c r="O65" t="s">
        <v>421</v>
      </c>
      <c r="P65" t="s">
        <v>422</v>
      </c>
      <c r="Q65" t="s">
        <v>30</v>
      </c>
      <c r="R65" t="s">
        <v>31</v>
      </c>
      <c r="S65" t="s">
        <v>104</v>
      </c>
    </row>
    <row r="66" spans="1:19" x14ac:dyDescent="0.45">
      <c r="A66" t="str">
        <f t="shared" ref="A66:A97" si="5">"17801"</f>
        <v>17801</v>
      </c>
      <c r="B66" t="s">
        <v>19</v>
      </c>
      <c r="C66" t="str">
        <f t="shared" si="4"/>
        <v>17403</v>
      </c>
      <c r="D66" t="s">
        <v>344</v>
      </c>
      <c r="E66" t="str">
        <f>"3485"</f>
        <v>3485</v>
      </c>
      <c r="F66" t="s">
        <v>423</v>
      </c>
      <c r="G66" t="s">
        <v>70</v>
      </c>
      <c r="H66">
        <v>5</v>
      </c>
      <c r="I66" t="s">
        <v>424</v>
      </c>
      <c r="K66" t="s">
        <v>425</v>
      </c>
      <c r="L66" t="s">
        <v>25</v>
      </c>
      <c r="M66" t="s">
        <v>426</v>
      </c>
      <c r="N66" t="s">
        <v>427</v>
      </c>
      <c r="O66" t="s">
        <v>428</v>
      </c>
      <c r="P66" t="s">
        <v>429</v>
      </c>
      <c r="Q66" t="s">
        <v>30</v>
      </c>
      <c r="R66" t="s">
        <v>31</v>
      </c>
      <c r="S66" t="s">
        <v>32</v>
      </c>
    </row>
    <row r="67" spans="1:19" x14ac:dyDescent="0.45">
      <c r="A67" t="str">
        <f t="shared" si="5"/>
        <v>17801</v>
      </c>
      <c r="B67" t="s">
        <v>19</v>
      </c>
      <c r="C67" t="str">
        <f t="shared" si="4"/>
        <v>17403</v>
      </c>
      <c r="D67" t="s">
        <v>344</v>
      </c>
      <c r="E67" t="str">
        <f>"3521"</f>
        <v>3521</v>
      </c>
      <c r="F67" t="s">
        <v>430</v>
      </c>
      <c r="G67" t="s">
        <v>70</v>
      </c>
      <c r="H67">
        <v>5</v>
      </c>
      <c r="I67" t="s">
        <v>431</v>
      </c>
      <c r="K67" t="s">
        <v>347</v>
      </c>
      <c r="L67" t="s">
        <v>25</v>
      </c>
      <c r="M67" t="s">
        <v>432</v>
      </c>
      <c r="N67" t="s">
        <v>433</v>
      </c>
      <c r="O67" t="s">
        <v>434</v>
      </c>
      <c r="P67" t="s">
        <v>435</v>
      </c>
      <c r="Q67" t="s">
        <v>30</v>
      </c>
      <c r="R67" t="s">
        <v>31</v>
      </c>
      <c r="S67" t="s">
        <v>32</v>
      </c>
    </row>
    <row r="68" spans="1:19" x14ac:dyDescent="0.45">
      <c r="A68" t="str">
        <f t="shared" si="5"/>
        <v>17801</v>
      </c>
      <c r="B68" t="s">
        <v>19</v>
      </c>
      <c r="C68" t="str">
        <f t="shared" si="4"/>
        <v>17403</v>
      </c>
      <c r="D68" t="s">
        <v>344</v>
      </c>
      <c r="E68" t="str">
        <f>"3586"</f>
        <v>3586</v>
      </c>
      <c r="F68" t="s">
        <v>436</v>
      </c>
      <c r="G68" t="s">
        <v>70</v>
      </c>
      <c r="H68">
        <v>5</v>
      </c>
      <c r="I68" t="s">
        <v>437</v>
      </c>
      <c r="K68" t="s">
        <v>347</v>
      </c>
      <c r="L68" t="s">
        <v>25</v>
      </c>
      <c r="M68">
        <v>98059</v>
      </c>
      <c r="N68" t="s">
        <v>438</v>
      </c>
      <c r="O68" t="s">
        <v>439</v>
      </c>
      <c r="P68" t="s">
        <v>440</v>
      </c>
      <c r="Q68" t="s">
        <v>30</v>
      </c>
      <c r="R68" t="s">
        <v>31</v>
      </c>
      <c r="S68" t="s">
        <v>32</v>
      </c>
    </row>
    <row r="69" spans="1:19" x14ac:dyDescent="0.45">
      <c r="A69" t="str">
        <f t="shared" si="5"/>
        <v>17801</v>
      </c>
      <c r="B69" t="s">
        <v>19</v>
      </c>
      <c r="C69" t="str">
        <f t="shared" si="4"/>
        <v>17403</v>
      </c>
      <c r="D69" t="s">
        <v>344</v>
      </c>
      <c r="E69" t="str">
        <f>"3587"</f>
        <v>3587</v>
      </c>
      <c r="F69" t="s">
        <v>441</v>
      </c>
      <c r="G69" t="s">
        <v>70</v>
      </c>
      <c r="H69">
        <v>5</v>
      </c>
      <c r="I69" t="s">
        <v>442</v>
      </c>
      <c r="K69" t="s">
        <v>347</v>
      </c>
      <c r="L69" t="s">
        <v>25</v>
      </c>
      <c r="M69" t="s">
        <v>443</v>
      </c>
      <c r="N69" t="s">
        <v>444</v>
      </c>
      <c r="O69" t="s">
        <v>445</v>
      </c>
      <c r="P69" t="s">
        <v>446</v>
      </c>
      <c r="Q69" t="s">
        <v>30</v>
      </c>
      <c r="R69" t="s">
        <v>31</v>
      </c>
      <c r="S69" t="s">
        <v>32</v>
      </c>
    </row>
    <row r="70" spans="1:19" x14ac:dyDescent="0.45">
      <c r="A70" t="str">
        <f t="shared" si="5"/>
        <v>17801</v>
      </c>
      <c r="B70" t="s">
        <v>19</v>
      </c>
      <c r="C70" t="str">
        <f t="shared" si="4"/>
        <v>17403</v>
      </c>
      <c r="D70" t="s">
        <v>344</v>
      </c>
      <c r="E70" t="str">
        <f>"3630"</f>
        <v>3630</v>
      </c>
      <c r="F70" t="s">
        <v>447</v>
      </c>
      <c r="G70">
        <v>9</v>
      </c>
      <c r="H70">
        <v>12</v>
      </c>
      <c r="I70" t="s">
        <v>448</v>
      </c>
      <c r="K70" t="s">
        <v>347</v>
      </c>
      <c r="L70" t="s">
        <v>25</v>
      </c>
      <c r="M70" t="s">
        <v>449</v>
      </c>
      <c r="N70" t="s">
        <v>450</v>
      </c>
      <c r="O70" t="s">
        <v>451</v>
      </c>
      <c r="P70" t="s">
        <v>452</v>
      </c>
      <c r="Q70" t="s">
        <v>30</v>
      </c>
      <c r="R70" t="s">
        <v>31</v>
      </c>
      <c r="S70" t="s">
        <v>58</v>
      </c>
    </row>
    <row r="71" spans="1:19" x14ac:dyDescent="0.45">
      <c r="A71" t="str">
        <f t="shared" si="5"/>
        <v>17801</v>
      </c>
      <c r="B71" t="s">
        <v>19</v>
      </c>
      <c r="C71" t="str">
        <f t="shared" si="4"/>
        <v>17403</v>
      </c>
      <c r="D71" t="s">
        <v>344</v>
      </c>
      <c r="E71" t="str">
        <f>"3668"</f>
        <v>3668</v>
      </c>
      <c r="F71" t="s">
        <v>453</v>
      </c>
      <c r="G71" t="s">
        <v>70</v>
      </c>
      <c r="H71">
        <v>5</v>
      </c>
      <c r="I71" t="s">
        <v>454</v>
      </c>
      <c r="K71" t="s">
        <v>347</v>
      </c>
      <c r="L71" t="s">
        <v>25</v>
      </c>
      <c r="M71" t="s">
        <v>455</v>
      </c>
      <c r="N71" t="s">
        <v>456</v>
      </c>
      <c r="O71" t="s">
        <v>457</v>
      </c>
      <c r="P71" t="s">
        <v>458</v>
      </c>
      <c r="Q71" t="s">
        <v>30</v>
      </c>
      <c r="R71" t="s">
        <v>31</v>
      </c>
      <c r="S71" t="s">
        <v>32</v>
      </c>
    </row>
    <row r="72" spans="1:19" x14ac:dyDescent="0.45">
      <c r="A72" t="str">
        <f t="shared" si="5"/>
        <v>17801</v>
      </c>
      <c r="B72" t="s">
        <v>19</v>
      </c>
      <c r="C72" t="str">
        <f t="shared" si="4"/>
        <v>17403</v>
      </c>
      <c r="D72" t="s">
        <v>344</v>
      </c>
      <c r="E72" t="str">
        <f>"3702"</f>
        <v>3702</v>
      </c>
      <c r="F72" t="s">
        <v>459</v>
      </c>
      <c r="G72" t="s">
        <v>70</v>
      </c>
      <c r="H72">
        <v>5</v>
      </c>
      <c r="I72" t="s">
        <v>460</v>
      </c>
      <c r="K72" t="s">
        <v>347</v>
      </c>
      <c r="L72" t="s">
        <v>25</v>
      </c>
      <c r="M72" t="s">
        <v>461</v>
      </c>
      <c r="N72" t="s">
        <v>462</v>
      </c>
      <c r="O72" t="s">
        <v>463</v>
      </c>
      <c r="P72" t="s">
        <v>464</v>
      </c>
      <c r="Q72" t="s">
        <v>30</v>
      </c>
      <c r="R72" t="s">
        <v>31</v>
      </c>
      <c r="S72" t="s">
        <v>32</v>
      </c>
    </row>
    <row r="73" spans="1:19" x14ac:dyDescent="0.45">
      <c r="A73" t="str">
        <f t="shared" si="5"/>
        <v>17801</v>
      </c>
      <c r="B73" t="s">
        <v>19</v>
      </c>
      <c r="C73" t="str">
        <f t="shared" si="4"/>
        <v>17403</v>
      </c>
      <c r="D73" t="s">
        <v>344</v>
      </c>
      <c r="E73" t="str">
        <f>"3740"</f>
        <v>3740</v>
      </c>
      <c r="F73" t="s">
        <v>465</v>
      </c>
      <c r="G73" t="s">
        <v>70</v>
      </c>
      <c r="H73">
        <v>5</v>
      </c>
      <c r="I73" t="s">
        <v>466</v>
      </c>
      <c r="K73" t="s">
        <v>347</v>
      </c>
      <c r="L73" t="s">
        <v>25</v>
      </c>
      <c r="M73" t="s">
        <v>467</v>
      </c>
      <c r="N73" t="s">
        <v>468</v>
      </c>
      <c r="O73" t="s">
        <v>469</v>
      </c>
      <c r="P73" t="s">
        <v>470</v>
      </c>
      <c r="Q73" t="s">
        <v>30</v>
      </c>
      <c r="R73" t="s">
        <v>31</v>
      </c>
      <c r="S73" t="s">
        <v>32</v>
      </c>
    </row>
    <row r="74" spans="1:19" x14ac:dyDescent="0.45">
      <c r="A74" t="str">
        <f t="shared" si="5"/>
        <v>17801</v>
      </c>
      <c r="B74" t="s">
        <v>19</v>
      </c>
      <c r="C74" t="str">
        <f t="shared" si="4"/>
        <v>17403</v>
      </c>
      <c r="D74" t="s">
        <v>344</v>
      </c>
      <c r="E74" t="str">
        <f>"3741"</f>
        <v>3741</v>
      </c>
      <c r="F74" t="s">
        <v>471</v>
      </c>
      <c r="G74">
        <v>9</v>
      </c>
      <c r="H74">
        <v>12</v>
      </c>
      <c r="I74" t="s">
        <v>472</v>
      </c>
      <c r="K74" t="s">
        <v>347</v>
      </c>
      <c r="L74" t="s">
        <v>25</v>
      </c>
      <c r="M74" t="s">
        <v>473</v>
      </c>
      <c r="N74" t="s">
        <v>474</v>
      </c>
      <c r="O74" t="s">
        <v>475</v>
      </c>
      <c r="P74" t="s">
        <v>476</v>
      </c>
      <c r="Q74" t="s">
        <v>30</v>
      </c>
      <c r="R74" t="s">
        <v>31</v>
      </c>
      <c r="S74" t="s">
        <v>58</v>
      </c>
    </row>
    <row r="75" spans="1:19" x14ac:dyDescent="0.45">
      <c r="A75" t="str">
        <f t="shared" si="5"/>
        <v>17801</v>
      </c>
      <c r="B75" t="s">
        <v>19</v>
      </c>
      <c r="C75" t="str">
        <f>"17404"</f>
        <v>17404</v>
      </c>
      <c r="D75" t="s">
        <v>477</v>
      </c>
      <c r="E75" t="str">
        <f>"2512"</f>
        <v>2512</v>
      </c>
      <c r="F75" t="s">
        <v>478</v>
      </c>
      <c r="G75" t="s">
        <v>22</v>
      </c>
      <c r="H75">
        <v>8</v>
      </c>
      <c r="I75" t="s">
        <v>479</v>
      </c>
      <c r="K75" t="s">
        <v>480</v>
      </c>
      <c r="L75" t="s">
        <v>25</v>
      </c>
      <c r="M75" t="s">
        <v>481</v>
      </c>
      <c r="N75" t="s">
        <v>482</v>
      </c>
      <c r="O75" t="s">
        <v>483</v>
      </c>
      <c r="P75" t="s">
        <v>484</v>
      </c>
      <c r="Q75" t="s">
        <v>30</v>
      </c>
      <c r="R75" t="s">
        <v>31</v>
      </c>
      <c r="S75" t="s">
        <v>159</v>
      </c>
    </row>
    <row r="76" spans="1:19" x14ac:dyDescent="0.45">
      <c r="A76" t="str">
        <f t="shared" si="5"/>
        <v>17801</v>
      </c>
      <c r="B76" t="s">
        <v>19</v>
      </c>
      <c r="C76" t="str">
        <f>"17404"</f>
        <v>17404</v>
      </c>
      <c r="D76" t="s">
        <v>477</v>
      </c>
      <c r="E76" t="str">
        <f>"2513"</f>
        <v>2513</v>
      </c>
      <c r="F76" t="s">
        <v>485</v>
      </c>
      <c r="G76">
        <v>9</v>
      </c>
      <c r="H76">
        <v>12</v>
      </c>
      <c r="I76" t="s">
        <v>479</v>
      </c>
      <c r="K76" t="s">
        <v>480</v>
      </c>
      <c r="L76" t="s">
        <v>25</v>
      </c>
      <c r="M76" t="s">
        <v>481</v>
      </c>
      <c r="N76" t="s">
        <v>486</v>
      </c>
      <c r="O76" t="s">
        <v>483</v>
      </c>
      <c r="P76" t="s">
        <v>484</v>
      </c>
      <c r="Q76" t="s">
        <v>30</v>
      </c>
      <c r="R76" t="s">
        <v>31</v>
      </c>
      <c r="S76" t="s">
        <v>58</v>
      </c>
    </row>
    <row r="77" spans="1:19" x14ac:dyDescent="0.45">
      <c r="A77" t="str">
        <f t="shared" si="5"/>
        <v>17801</v>
      </c>
      <c r="B77" t="s">
        <v>19</v>
      </c>
      <c r="C77" t="str">
        <f t="shared" ref="C77:C101" si="6">"17405"</f>
        <v>17405</v>
      </c>
      <c r="D77" t="s">
        <v>487</v>
      </c>
      <c r="E77" t="str">
        <f>"2701"</f>
        <v>2701</v>
      </c>
      <c r="F77" t="s">
        <v>488</v>
      </c>
      <c r="G77">
        <v>9</v>
      </c>
      <c r="H77">
        <v>12</v>
      </c>
      <c r="I77" t="s">
        <v>489</v>
      </c>
      <c r="K77" t="s">
        <v>490</v>
      </c>
      <c r="L77" t="s">
        <v>25</v>
      </c>
      <c r="M77" t="s">
        <v>491</v>
      </c>
      <c r="N77" t="s">
        <v>492</v>
      </c>
      <c r="O77" t="s">
        <v>493</v>
      </c>
      <c r="P77" t="s">
        <v>494</v>
      </c>
      <c r="Q77" t="s">
        <v>30</v>
      </c>
      <c r="R77" t="s">
        <v>31</v>
      </c>
      <c r="S77" t="s">
        <v>58</v>
      </c>
    </row>
    <row r="78" spans="1:19" x14ac:dyDescent="0.45">
      <c r="A78" t="str">
        <f t="shared" si="5"/>
        <v>17801</v>
      </c>
      <c r="B78" t="s">
        <v>19</v>
      </c>
      <c r="C78" t="str">
        <f t="shared" si="6"/>
        <v>17405</v>
      </c>
      <c r="D78" t="s">
        <v>487</v>
      </c>
      <c r="E78" t="str">
        <f>"2846"</f>
        <v>2846</v>
      </c>
      <c r="F78" t="s">
        <v>495</v>
      </c>
      <c r="G78" t="s">
        <v>22</v>
      </c>
      <c r="H78">
        <v>5</v>
      </c>
      <c r="I78" t="s">
        <v>496</v>
      </c>
      <c r="K78" t="s">
        <v>490</v>
      </c>
      <c r="L78" t="s">
        <v>25</v>
      </c>
      <c r="M78">
        <v>98007</v>
      </c>
      <c r="N78" t="s">
        <v>497</v>
      </c>
      <c r="O78" t="s">
        <v>498</v>
      </c>
      <c r="P78" t="s">
        <v>499</v>
      </c>
      <c r="Q78" t="s">
        <v>30</v>
      </c>
      <c r="R78" t="s">
        <v>31</v>
      </c>
      <c r="S78" t="s">
        <v>32</v>
      </c>
    </row>
    <row r="79" spans="1:19" x14ac:dyDescent="0.45">
      <c r="A79" t="str">
        <f t="shared" si="5"/>
        <v>17801</v>
      </c>
      <c r="B79" t="s">
        <v>19</v>
      </c>
      <c r="C79" t="str">
        <f t="shared" si="6"/>
        <v>17405</v>
      </c>
      <c r="D79" t="s">
        <v>487</v>
      </c>
      <c r="E79" t="str">
        <f>"2847"</f>
        <v>2847</v>
      </c>
      <c r="F79" t="s">
        <v>500</v>
      </c>
      <c r="G79" t="s">
        <v>22</v>
      </c>
      <c r="H79">
        <v>5</v>
      </c>
      <c r="I79" t="s">
        <v>501</v>
      </c>
      <c r="K79" t="s">
        <v>490</v>
      </c>
      <c r="L79" t="s">
        <v>25</v>
      </c>
      <c r="M79" t="s">
        <v>502</v>
      </c>
      <c r="N79" t="s">
        <v>503</v>
      </c>
      <c r="O79" t="s">
        <v>504</v>
      </c>
      <c r="P79" t="s">
        <v>505</v>
      </c>
      <c r="Q79" t="s">
        <v>30</v>
      </c>
      <c r="R79" t="s">
        <v>31</v>
      </c>
      <c r="S79" t="s">
        <v>32</v>
      </c>
    </row>
    <row r="80" spans="1:19" x14ac:dyDescent="0.45">
      <c r="A80" t="str">
        <f t="shared" si="5"/>
        <v>17801</v>
      </c>
      <c r="B80" t="s">
        <v>19</v>
      </c>
      <c r="C80" t="str">
        <f t="shared" si="6"/>
        <v>17405</v>
      </c>
      <c r="D80" t="s">
        <v>487</v>
      </c>
      <c r="E80" t="str">
        <f>"3036"</f>
        <v>3036</v>
      </c>
      <c r="F80" t="s">
        <v>506</v>
      </c>
      <c r="G80" t="s">
        <v>22</v>
      </c>
      <c r="H80">
        <v>5</v>
      </c>
      <c r="I80" t="s">
        <v>507</v>
      </c>
      <c r="K80" t="s">
        <v>490</v>
      </c>
      <c r="L80" t="s">
        <v>25</v>
      </c>
      <c r="M80" t="s">
        <v>508</v>
      </c>
      <c r="N80" t="s">
        <v>509</v>
      </c>
      <c r="O80" t="s">
        <v>510</v>
      </c>
      <c r="P80" t="s">
        <v>511</v>
      </c>
      <c r="Q80" t="s">
        <v>30</v>
      </c>
      <c r="R80" t="s">
        <v>31</v>
      </c>
      <c r="S80" t="s">
        <v>32</v>
      </c>
    </row>
    <row r="81" spans="1:19" x14ac:dyDescent="0.45">
      <c r="A81" t="str">
        <f t="shared" si="5"/>
        <v>17801</v>
      </c>
      <c r="B81" t="s">
        <v>19</v>
      </c>
      <c r="C81" t="str">
        <f t="shared" si="6"/>
        <v>17405</v>
      </c>
      <c r="D81" t="s">
        <v>487</v>
      </c>
      <c r="E81" t="str">
        <f>"3100"</f>
        <v>3100</v>
      </c>
      <c r="F81" t="s">
        <v>512</v>
      </c>
      <c r="G81" t="s">
        <v>22</v>
      </c>
      <c r="H81">
        <v>5</v>
      </c>
      <c r="I81" t="s">
        <v>513</v>
      </c>
      <c r="K81" t="s">
        <v>490</v>
      </c>
      <c r="L81" t="s">
        <v>25</v>
      </c>
      <c r="M81" t="s">
        <v>514</v>
      </c>
      <c r="N81" t="s">
        <v>515</v>
      </c>
      <c r="O81" t="s">
        <v>516</v>
      </c>
      <c r="P81" t="s">
        <v>517</v>
      </c>
      <c r="Q81" t="s">
        <v>30</v>
      </c>
      <c r="R81" t="s">
        <v>31</v>
      </c>
      <c r="S81" t="s">
        <v>32</v>
      </c>
    </row>
    <row r="82" spans="1:19" x14ac:dyDescent="0.45">
      <c r="A82" t="str">
        <f t="shared" si="5"/>
        <v>17801</v>
      </c>
      <c r="B82" t="s">
        <v>19</v>
      </c>
      <c r="C82" t="str">
        <f t="shared" si="6"/>
        <v>17405</v>
      </c>
      <c r="D82" t="s">
        <v>487</v>
      </c>
      <c r="E82" t="str">
        <f>"3166"</f>
        <v>3166</v>
      </c>
      <c r="F82" t="s">
        <v>518</v>
      </c>
      <c r="G82">
        <v>6</v>
      </c>
      <c r="H82">
        <v>8</v>
      </c>
      <c r="I82" t="s">
        <v>519</v>
      </c>
      <c r="K82" t="s">
        <v>490</v>
      </c>
      <c r="L82" t="s">
        <v>25</v>
      </c>
      <c r="M82">
        <v>98006</v>
      </c>
      <c r="N82" t="s">
        <v>520</v>
      </c>
      <c r="O82" t="s">
        <v>521</v>
      </c>
      <c r="P82" t="s">
        <v>522</v>
      </c>
      <c r="Q82" t="s">
        <v>30</v>
      </c>
      <c r="R82" t="s">
        <v>31</v>
      </c>
      <c r="S82" t="s">
        <v>104</v>
      </c>
    </row>
    <row r="83" spans="1:19" x14ac:dyDescent="0.45">
      <c r="A83" t="str">
        <f t="shared" si="5"/>
        <v>17801</v>
      </c>
      <c r="B83" t="s">
        <v>19</v>
      </c>
      <c r="C83" t="str">
        <f t="shared" si="6"/>
        <v>17405</v>
      </c>
      <c r="D83" t="s">
        <v>487</v>
      </c>
      <c r="E83" t="str">
        <f>"3167"</f>
        <v>3167</v>
      </c>
      <c r="F83" t="s">
        <v>523</v>
      </c>
      <c r="G83" t="s">
        <v>70</v>
      </c>
      <c r="H83">
        <v>5</v>
      </c>
      <c r="I83" t="s">
        <v>524</v>
      </c>
      <c r="K83" t="s">
        <v>490</v>
      </c>
      <c r="L83" t="s">
        <v>25</v>
      </c>
      <c r="M83" t="s">
        <v>525</v>
      </c>
      <c r="N83" t="s">
        <v>526</v>
      </c>
      <c r="O83" t="s">
        <v>527</v>
      </c>
      <c r="P83" t="s">
        <v>528</v>
      </c>
      <c r="Q83" t="s">
        <v>30</v>
      </c>
      <c r="R83" t="s">
        <v>31</v>
      </c>
      <c r="S83" t="s">
        <v>32</v>
      </c>
    </row>
    <row r="84" spans="1:19" x14ac:dyDescent="0.45">
      <c r="A84" t="str">
        <f t="shared" si="5"/>
        <v>17801</v>
      </c>
      <c r="B84" t="s">
        <v>19</v>
      </c>
      <c r="C84" t="str">
        <f t="shared" si="6"/>
        <v>17405</v>
      </c>
      <c r="D84" t="s">
        <v>487</v>
      </c>
      <c r="E84" t="str">
        <f>"3168"</f>
        <v>3168</v>
      </c>
      <c r="F84" t="s">
        <v>529</v>
      </c>
      <c r="G84" t="s">
        <v>22</v>
      </c>
      <c r="H84">
        <v>5</v>
      </c>
      <c r="I84" t="s">
        <v>530</v>
      </c>
      <c r="K84" t="s">
        <v>490</v>
      </c>
      <c r="L84" t="s">
        <v>25</v>
      </c>
      <c r="M84" t="s">
        <v>531</v>
      </c>
      <c r="N84" t="s">
        <v>532</v>
      </c>
      <c r="O84" t="s">
        <v>533</v>
      </c>
      <c r="P84" t="s">
        <v>534</v>
      </c>
      <c r="Q84" t="s">
        <v>30</v>
      </c>
      <c r="R84" t="s">
        <v>31</v>
      </c>
      <c r="S84" t="s">
        <v>32</v>
      </c>
    </row>
    <row r="85" spans="1:19" x14ac:dyDescent="0.45">
      <c r="A85" t="str">
        <f t="shared" si="5"/>
        <v>17801</v>
      </c>
      <c r="B85" t="s">
        <v>19</v>
      </c>
      <c r="C85" t="str">
        <f t="shared" si="6"/>
        <v>17405</v>
      </c>
      <c r="D85" t="s">
        <v>487</v>
      </c>
      <c r="E85" t="str">
        <f>"3224"</f>
        <v>3224</v>
      </c>
      <c r="F85" t="s">
        <v>535</v>
      </c>
      <c r="G85" t="s">
        <v>22</v>
      </c>
      <c r="H85">
        <v>5</v>
      </c>
      <c r="I85" t="s">
        <v>536</v>
      </c>
      <c r="K85" t="s">
        <v>490</v>
      </c>
      <c r="L85" t="s">
        <v>25</v>
      </c>
      <c r="M85" t="s">
        <v>537</v>
      </c>
      <c r="N85" t="s">
        <v>538</v>
      </c>
      <c r="O85" t="s">
        <v>539</v>
      </c>
      <c r="P85" t="s">
        <v>540</v>
      </c>
      <c r="Q85" t="s">
        <v>30</v>
      </c>
      <c r="R85" t="s">
        <v>31</v>
      </c>
      <c r="S85" t="s">
        <v>32</v>
      </c>
    </row>
    <row r="86" spans="1:19" x14ac:dyDescent="0.45">
      <c r="A86" t="str">
        <f t="shared" si="5"/>
        <v>17801</v>
      </c>
      <c r="B86" t="s">
        <v>19</v>
      </c>
      <c r="C86" t="str">
        <f t="shared" si="6"/>
        <v>17405</v>
      </c>
      <c r="D86" t="s">
        <v>487</v>
      </c>
      <c r="E86" t="str">
        <f>"3225"</f>
        <v>3225</v>
      </c>
      <c r="F86" t="s">
        <v>541</v>
      </c>
      <c r="G86" t="s">
        <v>22</v>
      </c>
      <c r="H86">
        <v>5</v>
      </c>
      <c r="I86" t="s">
        <v>542</v>
      </c>
      <c r="K86" t="s">
        <v>490</v>
      </c>
      <c r="L86" t="s">
        <v>25</v>
      </c>
      <c r="M86" t="s">
        <v>543</v>
      </c>
      <c r="N86" t="s">
        <v>544</v>
      </c>
      <c r="O86" t="s">
        <v>545</v>
      </c>
      <c r="P86" t="s">
        <v>546</v>
      </c>
      <c r="Q86" t="s">
        <v>30</v>
      </c>
      <c r="R86" t="s">
        <v>31</v>
      </c>
      <c r="S86" t="s">
        <v>32</v>
      </c>
    </row>
    <row r="87" spans="1:19" x14ac:dyDescent="0.45">
      <c r="A87" t="str">
        <f t="shared" si="5"/>
        <v>17801</v>
      </c>
      <c r="B87" t="s">
        <v>19</v>
      </c>
      <c r="C87" t="str">
        <f t="shared" si="6"/>
        <v>17405</v>
      </c>
      <c r="D87" t="s">
        <v>487</v>
      </c>
      <c r="E87" t="str">
        <f>"3282"</f>
        <v>3282</v>
      </c>
      <c r="F87" t="s">
        <v>547</v>
      </c>
      <c r="G87">
        <v>9</v>
      </c>
      <c r="H87">
        <v>12</v>
      </c>
      <c r="I87" t="s">
        <v>548</v>
      </c>
      <c r="K87" t="s">
        <v>490</v>
      </c>
      <c r="L87" t="s">
        <v>25</v>
      </c>
      <c r="M87" t="s">
        <v>549</v>
      </c>
      <c r="N87" t="s">
        <v>550</v>
      </c>
      <c r="O87" t="s">
        <v>551</v>
      </c>
      <c r="P87" t="s">
        <v>552</v>
      </c>
      <c r="Q87" t="s">
        <v>30</v>
      </c>
      <c r="R87" t="s">
        <v>31</v>
      </c>
      <c r="S87" t="s">
        <v>58</v>
      </c>
    </row>
    <row r="88" spans="1:19" x14ac:dyDescent="0.45">
      <c r="A88" t="str">
        <f t="shared" si="5"/>
        <v>17801</v>
      </c>
      <c r="B88" t="s">
        <v>19</v>
      </c>
      <c r="C88" t="str">
        <f t="shared" si="6"/>
        <v>17405</v>
      </c>
      <c r="D88" t="s">
        <v>487</v>
      </c>
      <c r="E88" t="str">
        <f>"3283"</f>
        <v>3283</v>
      </c>
      <c r="F88" t="s">
        <v>553</v>
      </c>
      <c r="G88">
        <v>6</v>
      </c>
      <c r="H88">
        <v>8</v>
      </c>
      <c r="I88" t="s">
        <v>554</v>
      </c>
      <c r="K88" t="s">
        <v>490</v>
      </c>
      <c r="L88" t="s">
        <v>25</v>
      </c>
      <c r="M88">
        <v>98006</v>
      </c>
      <c r="N88" t="s">
        <v>555</v>
      </c>
      <c r="O88" t="s">
        <v>556</v>
      </c>
      <c r="P88" t="s">
        <v>557</v>
      </c>
      <c r="Q88" t="s">
        <v>30</v>
      </c>
      <c r="R88" t="s">
        <v>31</v>
      </c>
      <c r="S88" t="s">
        <v>104</v>
      </c>
    </row>
    <row r="89" spans="1:19" x14ac:dyDescent="0.45">
      <c r="A89" t="str">
        <f t="shared" si="5"/>
        <v>17801</v>
      </c>
      <c r="B89" t="s">
        <v>19</v>
      </c>
      <c r="C89" t="str">
        <f t="shared" si="6"/>
        <v>17405</v>
      </c>
      <c r="D89" t="s">
        <v>487</v>
      </c>
      <c r="E89" t="str">
        <f>"3338"</f>
        <v>3338</v>
      </c>
      <c r="F89" t="s">
        <v>262</v>
      </c>
      <c r="G89">
        <v>6</v>
      </c>
      <c r="H89">
        <v>8</v>
      </c>
      <c r="I89" t="s">
        <v>558</v>
      </c>
      <c r="K89" t="s">
        <v>490</v>
      </c>
      <c r="L89" t="s">
        <v>25</v>
      </c>
      <c r="M89">
        <v>98006</v>
      </c>
      <c r="N89" t="s">
        <v>559</v>
      </c>
      <c r="O89" t="s">
        <v>560</v>
      </c>
      <c r="P89" t="s">
        <v>561</v>
      </c>
      <c r="Q89" t="s">
        <v>30</v>
      </c>
      <c r="R89" t="s">
        <v>31</v>
      </c>
      <c r="S89" t="s">
        <v>104</v>
      </c>
    </row>
    <row r="90" spans="1:19" x14ac:dyDescent="0.45">
      <c r="A90" t="str">
        <f t="shared" si="5"/>
        <v>17801</v>
      </c>
      <c r="B90" t="s">
        <v>19</v>
      </c>
      <c r="C90" t="str">
        <f t="shared" si="6"/>
        <v>17405</v>
      </c>
      <c r="D90" t="s">
        <v>487</v>
      </c>
      <c r="E90" t="str">
        <f>"3339"</f>
        <v>3339</v>
      </c>
      <c r="F90" t="s">
        <v>562</v>
      </c>
      <c r="G90" t="s">
        <v>22</v>
      </c>
      <c r="H90">
        <v>5</v>
      </c>
      <c r="I90" t="s">
        <v>563</v>
      </c>
      <c r="K90" t="s">
        <v>490</v>
      </c>
      <c r="L90" t="s">
        <v>25</v>
      </c>
      <c r="M90" t="s">
        <v>564</v>
      </c>
      <c r="N90" t="s">
        <v>565</v>
      </c>
      <c r="O90" t="s">
        <v>566</v>
      </c>
      <c r="P90" t="s">
        <v>567</v>
      </c>
      <c r="Q90" t="s">
        <v>30</v>
      </c>
      <c r="R90" t="s">
        <v>31</v>
      </c>
      <c r="S90" t="s">
        <v>32</v>
      </c>
    </row>
    <row r="91" spans="1:19" x14ac:dyDescent="0.45">
      <c r="A91" t="str">
        <f t="shared" si="5"/>
        <v>17801</v>
      </c>
      <c r="B91" t="s">
        <v>19</v>
      </c>
      <c r="C91" t="str">
        <f t="shared" si="6"/>
        <v>17405</v>
      </c>
      <c r="D91" t="s">
        <v>487</v>
      </c>
      <c r="E91" t="str">
        <f>"3435"</f>
        <v>3435</v>
      </c>
      <c r="F91" t="s">
        <v>568</v>
      </c>
      <c r="G91">
        <v>6</v>
      </c>
      <c r="H91">
        <v>8</v>
      </c>
      <c r="I91" t="s">
        <v>569</v>
      </c>
      <c r="K91" t="s">
        <v>490</v>
      </c>
      <c r="L91" t="s">
        <v>25</v>
      </c>
      <c r="M91">
        <v>98008</v>
      </c>
      <c r="N91" t="s">
        <v>570</v>
      </c>
      <c r="O91" t="s">
        <v>571</v>
      </c>
      <c r="P91" t="s">
        <v>572</v>
      </c>
      <c r="Q91" t="s">
        <v>30</v>
      </c>
      <c r="R91" t="s">
        <v>31</v>
      </c>
      <c r="S91" t="s">
        <v>104</v>
      </c>
    </row>
    <row r="92" spans="1:19" x14ac:dyDescent="0.45">
      <c r="A92" t="str">
        <f t="shared" si="5"/>
        <v>17801</v>
      </c>
      <c r="B92" t="s">
        <v>19</v>
      </c>
      <c r="C92" t="str">
        <f t="shared" si="6"/>
        <v>17405</v>
      </c>
      <c r="D92" t="s">
        <v>487</v>
      </c>
      <c r="E92" t="str">
        <f>"3436"</f>
        <v>3436</v>
      </c>
      <c r="F92" t="s">
        <v>573</v>
      </c>
      <c r="G92" t="s">
        <v>22</v>
      </c>
      <c r="H92">
        <v>5</v>
      </c>
      <c r="I92" t="s">
        <v>574</v>
      </c>
      <c r="K92" t="s">
        <v>575</v>
      </c>
      <c r="L92" t="s">
        <v>25</v>
      </c>
      <c r="M92" t="s">
        <v>576</v>
      </c>
      <c r="N92" t="s">
        <v>577</v>
      </c>
      <c r="O92" t="s">
        <v>578</v>
      </c>
      <c r="P92" t="s">
        <v>579</v>
      </c>
      <c r="Q92" t="s">
        <v>30</v>
      </c>
      <c r="R92" t="s">
        <v>31</v>
      </c>
      <c r="S92" t="s">
        <v>32</v>
      </c>
    </row>
    <row r="93" spans="1:19" x14ac:dyDescent="0.45">
      <c r="A93" t="str">
        <f t="shared" si="5"/>
        <v>17801</v>
      </c>
      <c r="B93" t="s">
        <v>19</v>
      </c>
      <c r="C93" t="str">
        <f t="shared" si="6"/>
        <v>17405</v>
      </c>
      <c r="D93" t="s">
        <v>487</v>
      </c>
      <c r="E93" t="str">
        <f>"3437"</f>
        <v>3437</v>
      </c>
      <c r="F93" t="s">
        <v>580</v>
      </c>
      <c r="G93" t="s">
        <v>22</v>
      </c>
      <c r="H93">
        <v>5</v>
      </c>
      <c r="I93" t="s">
        <v>581</v>
      </c>
      <c r="K93" t="s">
        <v>490</v>
      </c>
      <c r="L93" t="s">
        <v>25</v>
      </c>
      <c r="M93" t="s">
        <v>582</v>
      </c>
      <c r="N93" t="s">
        <v>583</v>
      </c>
      <c r="O93" t="s">
        <v>584</v>
      </c>
      <c r="P93" t="s">
        <v>534</v>
      </c>
      <c r="Q93" t="s">
        <v>30</v>
      </c>
      <c r="R93" t="s">
        <v>31</v>
      </c>
      <c r="S93" t="s">
        <v>32</v>
      </c>
    </row>
    <row r="94" spans="1:19" x14ac:dyDescent="0.45">
      <c r="A94" t="str">
        <f t="shared" si="5"/>
        <v>17801</v>
      </c>
      <c r="B94" t="s">
        <v>19</v>
      </c>
      <c r="C94" t="str">
        <f t="shared" si="6"/>
        <v>17405</v>
      </c>
      <c r="D94" t="s">
        <v>487</v>
      </c>
      <c r="E94" t="str">
        <f>"3486"</f>
        <v>3486</v>
      </c>
      <c r="F94" t="s">
        <v>585</v>
      </c>
      <c r="G94">
        <v>9</v>
      </c>
      <c r="H94">
        <v>12</v>
      </c>
      <c r="I94" t="s">
        <v>586</v>
      </c>
      <c r="K94" t="s">
        <v>490</v>
      </c>
      <c r="L94" t="s">
        <v>25</v>
      </c>
      <c r="M94" t="s">
        <v>587</v>
      </c>
      <c r="N94" t="s">
        <v>588</v>
      </c>
      <c r="O94" t="s">
        <v>589</v>
      </c>
      <c r="P94" t="s">
        <v>590</v>
      </c>
      <c r="Q94" t="s">
        <v>30</v>
      </c>
      <c r="R94" t="s">
        <v>31</v>
      </c>
      <c r="S94" t="s">
        <v>58</v>
      </c>
    </row>
    <row r="95" spans="1:19" x14ac:dyDescent="0.45">
      <c r="A95" t="str">
        <f t="shared" si="5"/>
        <v>17801</v>
      </c>
      <c r="B95" t="s">
        <v>19</v>
      </c>
      <c r="C95" t="str">
        <f t="shared" si="6"/>
        <v>17405</v>
      </c>
      <c r="D95" t="s">
        <v>487</v>
      </c>
      <c r="E95" t="str">
        <f>"3588"</f>
        <v>3588</v>
      </c>
      <c r="F95" t="s">
        <v>591</v>
      </c>
      <c r="G95">
        <v>9</v>
      </c>
      <c r="H95">
        <v>12</v>
      </c>
      <c r="I95" t="s">
        <v>592</v>
      </c>
      <c r="K95" t="s">
        <v>490</v>
      </c>
      <c r="L95" t="s">
        <v>25</v>
      </c>
      <c r="M95" t="s">
        <v>593</v>
      </c>
      <c r="N95" t="s">
        <v>594</v>
      </c>
      <c r="O95" t="s">
        <v>595</v>
      </c>
      <c r="P95" t="s">
        <v>596</v>
      </c>
      <c r="Q95" t="s">
        <v>30</v>
      </c>
      <c r="R95" t="s">
        <v>31</v>
      </c>
      <c r="S95" t="s">
        <v>58</v>
      </c>
    </row>
    <row r="96" spans="1:19" x14ac:dyDescent="0.45">
      <c r="A96" t="str">
        <f t="shared" si="5"/>
        <v>17801</v>
      </c>
      <c r="B96" t="s">
        <v>19</v>
      </c>
      <c r="C96" t="str">
        <f t="shared" si="6"/>
        <v>17405</v>
      </c>
      <c r="D96" t="s">
        <v>487</v>
      </c>
      <c r="E96" t="str">
        <f>"3631"</f>
        <v>3631</v>
      </c>
      <c r="F96" t="s">
        <v>597</v>
      </c>
      <c r="G96">
        <v>6</v>
      </c>
      <c r="H96">
        <v>8</v>
      </c>
      <c r="I96" t="s">
        <v>598</v>
      </c>
      <c r="K96" t="s">
        <v>490</v>
      </c>
      <c r="L96" t="s">
        <v>25</v>
      </c>
      <c r="M96">
        <v>98007</v>
      </c>
      <c r="N96" t="s">
        <v>599</v>
      </c>
      <c r="O96" t="s">
        <v>600</v>
      </c>
      <c r="P96" t="s">
        <v>601</v>
      </c>
      <c r="Q96" t="s">
        <v>30</v>
      </c>
      <c r="R96" t="s">
        <v>31</v>
      </c>
      <c r="S96" t="s">
        <v>104</v>
      </c>
    </row>
    <row r="97" spans="1:19" x14ac:dyDescent="0.45">
      <c r="A97" t="str">
        <f t="shared" si="5"/>
        <v>17801</v>
      </c>
      <c r="B97" t="s">
        <v>19</v>
      </c>
      <c r="C97" t="str">
        <f t="shared" si="6"/>
        <v>17405</v>
      </c>
      <c r="D97" t="s">
        <v>487</v>
      </c>
      <c r="E97" t="str">
        <f>"3633"</f>
        <v>3633</v>
      </c>
      <c r="F97" t="s">
        <v>602</v>
      </c>
      <c r="G97" t="s">
        <v>22</v>
      </c>
      <c r="H97">
        <v>5</v>
      </c>
      <c r="I97" t="s">
        <v>603</v>
      </c>
      <c r="K97" t="s">
        <v>490</v>
      </c>
      <c r="L97" t="s">
        <v>25</v>
      </c>
      <c r="M97" t="s">
        <v>604</v>
      </c>
      <c r="N97" t="s">
        <v>605</v>
      </c>
      <c r="O97" t="s">
        <v>606</v>
      </c>
      <c r="P97" t="s">
        <v>607</v>
      </c>
      <c r="Q97" t="s">
        <v>30</v>
      </c>
      <c r="R97" t="s">
        <v>31</v>
      </c>
      <c r="S97" t="s">
        <v>32</v>
      </c>
    </row>
    <row r="98" spans="1:19" x14ac:dyDescent="0.45">
      <c r="A98" t="str">
        <f t="shared" ref="A98:A129" si="7">"17801"</f>
        <v>17801</v>
      </c>
      <c r="B98" t="s">
        <v>19</v>
      </c>
      <c r="C98" t="str">
        <f t="shared" si="6"/>
        <v>17405</v>
      </c>
      <c r="D98" t="s">
        <v>487</v>
      </c>
      <c r="E98" t="str">
        <f>"3634"</f>
        <v>3634</v>
      </c>
      <c r="F98" t="s">
        <v>608</v>
      </c>
      <c r="G98" t="s">
        <v>70</v>
      </c>
      <c r="H98">
        <v>5</v>
      </c>
      <c r="I98" t="s">
        <v>609</v>
      </c>
      <c r="K98" t="s">
        <v>490</v>
      </c>
      <c r="L98" t="s">
        <v>25</v>
      </c>
      <c r="M98" t="s">
        <v>610</v>
      </c>
      <c r="N98" t="s">
        <v>611</v>
      </c>
      <c r="O98" t="s">
        <v>612</v>
      </c>
      <c r="P98" t="s">
        <v>613</v>
      </c>
      <c r="Q98" t="s">
        <v>30</v>
      </c>
      <c r="R98" t="s">
        <v>31</v>
      </c>
      <c r="S98" t="s">
        <v>32</v>
      </c>
    </row>
    <row r="99" spans="1:19" x14ac:dyDescent="0.45">
      <c r="A99" t="str">
        <f t="shared" si="7"/>
        <v>17801</v>
      </c>
      <c r="B99" t="s">
        <v>19</v>
      </c>
      <c r="C99" t="str">
        <f t="shared" si="6"/>
        <v>17405</v>
      </c>
      <c r="D99" t="s">
        <v>487</v>
      </c>
      <c r="E99" t="str">
        <f>"3705"</f>
        <v>3705</v>
      </c>
      <c r="F99" t="s">
        <v>614</v>
      </c>
      <c r="G99" t="s">
        <v>22</v>
      </c>
      <c r="H99">
        <v>5</v>
      </c>
      <c r="I99" t="s">
        <v>615</v>
      </c>
      <c r="K99" t="s">
        <v>490</v>
      </c>
      <c r="L99" t="s">
        <v>25</v>
      </c>
      <c r="M99">
        <v>98008</v>
      </c>
      <c r="N99" t="s">
        <v>616</v>
      </c>
      <c r="O99" t="s">
        <v>617</v>
      </c>
      <c r="P99" t="s">
        <v>618</v>
      </c>
      <c r="Q99" t="s">
        <v>30</v>
      </c>
      <c r="R99" t="s">
        <v>31</v>
      </c>
      <c r="S99" t="s">
        <v>32</v>
      </c>
    </row>
    <row r="100" spans="1:19" x14ac:dyDescent="0.45">
      <c r="A100" t="str">
        <f t="shared" si="7"/>
        <v>17801</v>
      </c>
      <c r="B100" t="s">
        <v>19</v>
      </c>
      <c r="C100" t="str">
        <f t="shared" si="6"/>
        <v>17405</v>
      </c>
      <c r="D100" t="s">
        <v>487</v>
      </c>
      <c r="E100" t="str">
        <f>"3742"</f>
        <v>3742</v>
      </c>
      <c r="F100" t="s">
        <v>619</v>
      </c>
      <c r="G100" t="s">
        <v>22</v>
      </c>
      <c r="H100">
        <v>5</v>
      </c>
      <c r="I100" t="s">
        <v>620</v>
      </c>
      <c r="K100" t="s">
        <v>490</v>
      </c>
      <c r="L100" t="s">
        <v>25</v>
      </c>
      <c r="M100">
        <v>98005</v>
      </c>
      <c r="N100" t="s">
        <v>621</v>
      </c>
      <c r="O100" t="s">
        <v>622</v>
      </c>
      <c r="P100" t="s">
        <v>623</v>
      </c>
      <c r="Q100" t="s">
        <v>30</v>
      </c>
      <c r="R100" t="s">
        <v>31</v>
      </c>
      <c r="S100" t="s">
        <v>32</v>
      </c>
    </row>
    <row r="101" spans="1:19" x14ac:dyDescent="0.45">
      <c r="A101" t="str">
        <f t="shared" si="7"/>
        <v>17801</v>
      </c>
      <c r="B101" t="s">
        <v>19</v>
      </c>
      <c r="C101" t="str">
        <f t="shared" si="6"/>
        <v>17405</v>
      </c>
      <c r="D101" t="s">
        <v>487</v>
      </c>
      <c r="E101" t="str">
        <f>"3789"</f>
        <v>3789</v>
      </c>
      <c r="F101" t="s">
        <v>624</v>
      </c>
      <c r="G101" t="s">
        <v>70</v>
      </c>
      <c r="H101">
        <v>5</v>
      </c>
      <c r="I101" t="s">
        <v>625</v>
      </c>
      <c r="K101" t="s">
        <v>490</v>
      </c>
      <c r="L101" t="s">
        <v>25</v>
      </c>
      <c r="M101" t="s">
        <v>626</v>
      </c>
      <c r="N101" t="s">
        <v>627</v>
      </c>
      <c r="O101" t="s">
        <v>628</v>
      </c>
      <c r="P101" t="s">
        <v>629</v>
      </c>
      <c r="Q101" t="s">
        <v>30</v>
      </c>
      <c r="R101" t="s">
        <v>31</v>
      </c>
      <c r="S101" t="s">
        <v>32</v>
      </c>
    </row>
    <row r="102" spans="1:19" x14ac:dyDescent="0.45">
      <c r="A102" t="str">
        <f t="shared" si="7"/>
        <v>17801</v>
      </c>
      <c r="B102" t="s">
        <v>19</v>
      </c>
      <c r="C102" t="str">
        <f>"17406"</f>
        <v>17406</v>
      </c>
      <c r="D102" t="s">
        <v>630</v>
      </c>
      <c r="E102" t="str">
        <f>"2564"</f>
        <v>2564</v>
      </c>
      <c r="F102" t="s">
        <v>631</v>
      </c>
      <c r="G102">
        <v>6</v>
      </c>
      <c r="H102">
        <v>8</v>
      </c>
      <c r="I102" t="s">
        <v>632</v>
      </c>
      <c r="K102" t="s">
        <v>633</v>
      </c>
      <c r="L102" t="s">
        <v>25</v>
      </c>
      <c r="M102" t="s">
        <v>634</v>
      </c>
      <c r="N102" t="s">
        <v>635</v>
      </c>
      <c r="O102" t="s">
        <v>636</v>
      </c>
      <c r="P102" t="s">
        <v>637</v>
      </c>
      <c r="Q102" t="s">
        <v>30</v>
      </c>
      <c r="R102" t="s">
        <v>31</v>
      </c>
      <c r="S102" t="s">
        <v>104</v>
      </c>
    </row>
    <row r="103" spans="1:19" x14ac:dyDescent="0.45">
      <c r="A103" t="str">
        <f t="shared" si="7"/>
        <v>17801</v>
      </c>
      <c r="B103" t="s">
        <v>19</v>
      </c>
      <c r="C103" t="str">
        <f>"17406"</f>
        <v>17406</v>
      </c>
      <c r="D103" t="s">
        <v>630</v>
      </c>
      <c r="E103" t="str">
        <f>"2848"</f>
        <v>2848</v>
      </c>
      <c r="F103" t="s">
        <v>638</v>
      </c>
      <c r="G103">
        <v>9</v>
      </c>
      <c r="H103">
        <v>12</v>
      </c>
      <c r="I103" t="s">
        <v>639</v>
      </c>
      <c r="K103" t="s">
        <v>640</v>
      </c>
      <c r="L103" t="s">
        <v>25</v>
      </c>
      <c r="M103" t="s">
        <v>634</v>
      </c>
      <c r="N103" t="s">
        <v>641</v>
      </c>
      <c r="O103" t="s">
        <v>642</v>
      </c>
      <c r="P103" t="s">
        <v>643</v>
      </c>
      <c r="Q103" t="s">
        <v>30</v>
      </c>
      <c r="R103" t="s">
        <v>31</v>
      </c>
      <c r="S103" t="s">
        <v>58</v>
      </c>
    </row>
    <row r="104" spans="1:19" x14ac:dyDescent="0.45">
      <c r="A104" t="str">
        <f t="shared" si="7"/>
        <v>17801</v>
      </c>
      <c r="B104" t="s">
        <v>19</v>
      </c>
      <c r="C104" t="str">
        <f>"17406"</f>
        <v>17406</v>
      </c>
      <c r="D104" t="s">
        <v>630</v>
      </c>
      <c r="E104" t="str">
        <f>"3226"</f>
        <v>3226</v>
      </c>
      <c r="F104" t="s">
        <v>644</v>
      </c>
      <c r="G104" t="s">
        <v>22</v>
      </c>
      <c r="H104">
        <v>5</v>
      </c>
      <c r="I104" t="s">
        <v>645</v>
      </c>
      <c r="K104" t="s">
        <v>640</v>
      </c>
      <c r="L104" t="s">
        <v>25</v>
      </c>
      <c r="M104" t="s">
        <v>634</v>
      </c>
      <c r="N104" t="s">
        <v>646</v>
      </c>
      <c r="O104" t="s">
        <v>647</v>
      </c>
      <c r="P104" t="s">
        <v>648</v>
      </c>
      <c r="Q104" t="s">
        <v>30</v>
      </c>
      <c r="R104" t="s">
        <v>31</v>
      </c>
      <c r="S104" t="s">
        <v>32</v>
      </c>
    </row>
    <row r="105" spans="1:19" x14ac:dyDescent="0.45">
      <c r="A105" t="str">
        <f t="shared" si="7"/>
        <v>17801</v>
      </c>
      <c r="B105" t="s">
        <v>19</v>
      </c>
      <c r="C105" t="str">
        <f>"17406"</f>
        <v>17406</v>
      </c>
      <c r="D105" t="s">
        <v>630</v>
      </c>
      <c r="E105" t="str">
        <f>"3488"</f>
        <v>3488</v>
      </c>
      <c r="F105" t="s">
        <v>649</v>
      </c>
      <c r="G105" t="s">
        <v>22</v>
      </c>
      <c r="H105">
        <v>5</v>
      </c>
      <c r="I105" t="s">
        <v>650</v>
      </c>
      <c r="K105" t="s">
        <v>633</v>
      </c>
      <c r="L105" t="s">
        <v>25</v>
      </c>
      <c r="M105" t="s">
        <v>634</v>
      </c>
      <c r="N105" t="s">
        <v>651</v>
      </c>
      <c r="O105" t="s">
        <v>652</v>
      </c>
      <c r="P105" t="s">
        <v>653</v>
      </c>
      <c r="Q105" t="s">
        <v>30</v>
      </c>
      <c r="R105" t="s">
        <v>31</v>
      </c>
      <c r="S105" t="s">
        <v>32</v>
      </c>
    </row>
    <row r="106" spans="1:19" x14ac:dyDescent="0.45">
      <c r="A106" t="str">
        <f t="shared" si="7"/>
        <v>17801</v>
      </c>
      <c r="B106" t="s">
        <v>19</v>
      </c>
      <c r="C106" t="str">
        <f>"17406"</f>
        <v>17406</v>
      </c>
      <c r="D106" t="s">
        <v>630</v>
      </c>
      <c r="E106" t="str">
        <f>"3635"</f>
        <v>3635</v>
      </c>
      <c r="F106" t="s">
        <v>654</v>
      </c>
      <c r="G106" t="s">
        <v>22</v>
      </c>
      <c r="H106">
        <v>5</v>
      </c>
      <c r="I106" t="s">
        <v>655</v>
      </c>
      <c r="K106" t="s">
        <v>633</v>
      </c>
      <c r="L106" t="s">
        <v>25</v>
      </c>
      <c r="M106" t="s">
        <v>634</v>
      </c>
      <c r="N106" t="s">
        <v>656</v>
      </c>
      <c r="O106" t="s">
        <v>657</v>
      </c>
      <c r="P106" t="s">
        <v>658</v>
      </c>
      <c r="Q106" t="s">
        <v>30</v>
      </c>
      <c r="R106" t="s">
        <v>31</v>
      </c>
      <c r="S106" t="s">
        <v>32</v>
      </c>
    </row>
    <row r="107" spans="1:19" x14ac:dyDescent="0.45">
      <c r="A107" t="str">
        <f t="shared" si="7"/>
        <v>17801</v>
      </c>
      <c r="B107" t="s">
        <v>19</v>
      </c>
      <c r="C107" t="str">
        <f t="shared" ref="C107:C114" si="8">"17407"</f>
        <v>17407</v>
      </c>
      <c r="D107" t="s">
        <v>659</v>
      </c>
      <c r="E107" t="str">
        <f>"1756"</f>
        <v>1756</v>
      </c>
      <c r="F107" t="s">
        <v>660</v>
      </c>
      <c r="G107">
        <v>9</v>
      </c>
      <c r="H107">
        <v>12</v>
      </c>
      <c r="I107" t="s">
        <v>661</v>
      </c>
      <c r="K107" t="s">
        <v>662</v>
      </c>
      <c r="L107" t="s">
        <v>25</v>
      </c>
      <c r="M107">
        <v>98014</v>
      </c>
      <c r="N107" t="s">
        <v>663</v>
      </c>
      <c r="O107" t="s">
        <v>664</v>
      </c>
      <c r="P107" t="s">
        <v>665</v>
      </c>
      <c r="Q107" t="s">
        <v>157</v>
      </c>
      <c r="R107" t="s">
        <v>158</v>
      </c>
      <c r="S107" t="s">
        <v>58</v>
      </c>
    </row>
    <row r="108" spans="1:19" x14ac:dyDescent="0.45">
      <c r="A108" t="str">
        <f t="shared" si="7"/>
        <v>17801</v>
      </c>
      <c r="B108" t="s">
        <v>19</v>
      </c>
      <c r="C108" t="str">
        <f t="shared" si="8"/>
        <v>17407</v>
      </c>
      <c r="D108" t="s">
        <v>659</v>
      </c>
      <c r="E108" t="str">
        <f>"1854"</f>
        <v>1854</v>
      </c>
      <c r="F108" t="s">
        <v>666</v>
      </c>
      <c r="G108" t="s">
        <v>22</v>
      </c>
      <c r="H108">
        <v>12</v>
      </c>
      <c r="I108" t="s">
        <v>667</v>
      </c>
      <c r="J108" t="s">
        <v>311</v>
      </c>
      <c r="K108" t="s">
        <v>662</v>
      </c>
      <c r="L108" t="s">
        <v>25</v>
      </c>
      <c r="M108" t="s">
        <v>668</v>
      </c>
      <c r="N108" t="s">
        <v>663</v>
      </c>
      <c r="O108" t="s">
        <v>664</v>
      </c>
      <c r="P108" t="s">
        <v>665</v>
      </c>
      <c r="Q108" t="s">
        <v>157</v>
      </c>
      <c r="R108" t="s">
        <v>158</v>
      </c>
      <c r="S108" t="s">
        <v>68</v>
      </c>
    </row>
    <row r="109" spans="1:19" x14ac:dyDescent="0.45">
      <c r="A109" t="str">
        <f t="shared" si="7"/>
        <v>17801</v>
      </c>
      <c r="B109" t="s">
        <v>19</v>
      </c>
      <c r="C109" t="str">
        <f t="shared" si="8"/>
        <v>17407</v>
      </c>
      <c r="D109" t="s">
        <v>659</v>
      </c>
      <c r="E109" t="str">
        <f>"2485"</f>
        <v>2485</v>
      </c>
      <c r="F109" t="s">
        <v>669</v>
      </c>
      <c r="G109" t="s">
        <v>22</v>
      </c>
      <c r="H109">
        <v>5</v>
      </c>
      <c r="I109" t="s">
        <v>670</v>
      </c>
      <c r="K109" t="s">
        <v>662</v>
      </c>
      <c r="L109" t="s">
        <v>25</v>
      </c>
      <c r="M109" t="s">
        <v>671</v>
      </c>
      <c r="N109" t="s">
        <v>672</v>
      </c>
      <c r="O109" t="s">
        <v>673</v>
      </c>
      <c r="P109" t="s">
        <v>674</v>
      </c>
      <c r="Q109" t="s">
        <v>30</v>
      </c>
      <c r="R109" t="s">
        <v>31</v>
      </c>
      <c r="S109" t="s">
        <v>32</v>
      </c>
    </row>
    <row r="110" spans="1:19" x14ac:dyDescent="0.45">
      <c r="A110" t="str">
        <f t="shared" si="7"/>
        <v>17801</v>
      </c>
      <c r="B110" t="s">
        <v>19</v>
      </c>
      <c r="C110" t="str">
        <f t="shared" si="8"/>
        <v>17407</v>
      </c>
      <c r="D110" t="s">
        <v>659</v>
      </c>
      <c r="E110" t="str">
        <f>"3006"</f>
        <v>3006</v>
      </c>
      <c r="F110" t="s">
        <v>675</v>
      </c>
      <c r="G110" t="s">
        <v>70</v>
      </c>
      <c r="H110">
        <v>5</v>
      </c>
      <c r="I110" t="s">
        <v>676</v>
      </c>
      <c r="K110" t="s">
        <v>677</v>
      </c>
      <c r="L110" t="s">
        <v>25</v>
      </c>
      <c r="M110" t="s">
        <v>678</v>
      </c>
      <c r="N110" t="s">
        <v>679</v>
      </c>
      <c r="O110" t="s">
        <v>680</v>
      </c>
      <c r="P110" t="s">
        <v>681</v>
      </c>
      <c r="Q110" t="s">
        <v>30</v>
      </c>
      <c r="R110" t="s">
        <v>31</v>
      </c>
      <c r="S110" t="s">
        <v>32</v>
      </c>
    </row>
    <row r="111" spans="1:19" x14ac:dyDescent="0.45">
      <c r="A111" t="str">
        <f t="shared" si="7"/>
        <v>17801</v>
      </c>
      <c r="B111" t="s">
        <v>19</v>
      </c>
      <c r="C111" t="str">
        <f t="shared" si="8"/>
        <v>17407</v>
      </c>
      <c r="D111" t="s">
        <v>659</v>
      </c>
      <c r="E111" t="str">
        <f>"3101"</f>
        <v>3101</v>
      </c>
      <c r="F111" t="s">
        <v>682</v>
      </c>
      <c r="G111" t="s">
        <v>70</v>
      </c>
      <c r="H111">
        <v>5</v>
      </c>
      <c r="I111" t="s">
        <v>683</v>
      </c>
      <c r="K111" t="s">
        <v>677</v>
      </c>
      <c r="L111" t="s">
        <v>25</v>
      </c>
      <c r="M111" t="s">
        <v>684</v>
      </c>
      <c r="N111" t="s">
        <v>685</v>
      </c>
      <c r="O111" t="s">
        <v>686</v>
      </c>
      <c r="P111" t="s">
        <v>687</v>
      </c>
      <c r="Q111" t="s">
        <v>30</v>
      </c>
      <c r="R111" t="s">
        <v>31</v>
      </c>
      <c r="S111" t="s">
        <v>32</v>
      </c>
    </row>
    <row r="112" spans="1:19" x14ac:dyDescent="0.45">
      <c r="A112" t="str">
        <f t="shared" si="7"/>
        <v>17801</v>
      </c>
      <c r="B112" t="s">
        <v>19</v>
      </c>
      <c r="C112" t="str">
        <f t="shared" si="8"/>
        <v>17407</v>
      </c>
      <c r="D112" t="s">
        <v>659</v>
      </c>
      <c r="E112" t="str">
        <f>"3524"</f>
        <v>3524</v>
      </c>
      <c r="F112" t="s">
        <v>688</v>
      </c>
      <c r="G112">
        <v>9</v>
      </c>
      <c r="H112">
        <v>12</v>
      </c>
      <c r="I112" t="s">
        <v>689</v>
      </c>
      <c r="K112" t="s">
        <v>677</v>
      </c>
      <c r="L112" t="s">
        <v>25</v>
      </c>
      <c r="M112" t="s">
        <v>690</v>
      </c>
      <c r="N112" t="s">
        <v>691</v>
      </c>
      <c r="O112" t="s">
        <v>692</v>
      </c>
      <c r="P112" t="s">
        <v>693</v>
      </c>
      <c r="Q112" t="s">
        <v>30</v>
      </c>
      <c r="R112" t="s">
        <v>31</v>
      </c>
      <c r="S112" t="s">
        <v>58</v>
      </c>
    </row>
    <row r="113" spans="1:19" x14ac:dyDescent="0.45">
      <c r="A113" t="str">
        <f t="shared" si="7"/>
        <v>17801</v>
      </c>
      <c r="B113" t="s">
        <v>19</v>
      </c>
      <c r="C113" t="str">
        <f t="shared" si="8"/>
        <v>17407</v>
      </c>
      <c r="D113" t="s">
        <v>659</v>
      </c>
      <c r="E113" t="str">
        <f>"4318"</f>
        <v>4318</v>
      </c>
      <c r="F113" t="s">
        <v>694</v>
      </c>
      <c r="G113">
        <v>6</v>
      </c>
      <c r="H113">
        <v>8</v>
      </c>
      <c r="I113" t="s">
        <v>695</v>
      </c>
      <c r="K113" t="s">
        <v>662</v>
      </c>
      <c r="L113" t="s">
        <v>25</v>
      </c>
      <c r="M113" t="s">
        <v>696</v>
      </c>
      <c r="N113" t="s">
        <v>697</v>
      </c>
      <c r="O113" t="s">
        <v>698</v>
      </c>
      <c r="P113" t="s">
        <v>699</v>
      </c>
      <c r="Q113" t="s">
        <v>30</v>
      </c>
      <c r="R113" t="s">
        <v>31</v>
      </c>
      <c r="S113" t="s">
        <v>104</v>
      </c>
    </row>
    <row r="114" spans="1:19" x14ac:dyDescent="0.45">
      <c r="A114" t="str">
        <f t="shared" si="7"/>
        <v>17801</v>
      </c>
      <c r="B114" t="s">
        <v>19</v>
      </c>
      <c r="C114" t="str">
        <f t="shared" si="8"/>
        <v>17407</v>
      </c>
      <c r="D114" t="s">
        <v>659</v>
      </c>
      <c r="E114" t="str">
        <f>"4332"</f>
        <v>4332</v>
      </c>
      <c r="F114" t="s">
        <v>700</v>
      </c>
      <c r="G114" t="s">
        <v>70</v>
      </c>
      <c r="H114">
        <v>5</v>
      </c>
      <c r="I114" t="s">
        <v>701</v>
      </c>
      <c r="K114" t="s">
        <v>662</v>
      </c>
      <c r="L114" t="s">
        <v>25</v>
      </c>
      <c r="M114" t="s">
        <v>702</v>
      </c>
      <c r="N114" t="s">
        <v>703</v>
      </c>
      <c r="O114" t="s">
        <v>704</v>
      </c>
      <c r="P114" t="s">
        <v>705</v>
      </c>
      <c r="Q114" t="s">
        <v>30</v>
      </c>
      <c r="R114" t="s">
        <v>31</v>
      </c>
      <c r="S114" t="s">
        <v>32</v>
      </c>
    </row>
    <row r="115" spans="1:19" x14ac:dyDescent="0.45">
      <c r="A115" t="str">
        <f t="shared" si="7"/>
        <v>17801</v>
      </c>
      <c r="B115" t="s">
        <v>19</v>
      </c>
      <c r="C115" t="str">
        <f t="shared" ref="C115:C133" si="9">"17408"</f>
        <v>17408</v>
      </c>
      <c r="D115" t="s">
        <v>706</v>
      </c>
      <c r="E115" t="str">
        <f>"2326"</f>
        <v>2326</v>
      </c>
      <c r="F115" t="s">
        <v>707</v>
      </c>
      <c r="G115" t="s">
        <v>70</v>
      </c>
      <c r="H115">
        <v>5</v>
      </c>
      <c r="I115" t="s">
        <v>708</v>
      </c>
      <c r="K115" t="s">
        <v>47</v>
      </c>
      <c r="L115" t="s">
        <v>25</v>
      </c>
      <c r="M115" t="s">
        <v>709</v>
      </c>
      <c r="N115" t="s">
        <v>710</v>
      </c>
      <c r="O115" t="s">
        <v>711</v>
      </c>
      <c r="P115" t="s">
        <v>712</v>
      </c>
      <c r="Q115" t="s">
        <v>30</v>
      </c>
      <c r="R115" t="s">
        <v>31</v>
      </c>
      <c r="S115" t="s">
        <v>32</v>
      </c>
    </row>
    <row r="116" spans="1:19" x14ac:dyDescent="0.45">
      <c r="A116" t="str">
        <f t="shared" si="7"/>
        <v>17801</v>
      </c>
      <c r="B116" t="s">
        <v>19</v>
      </c>
      <c r="C116" t="str">
        <f t="shared" si="9"/>
        <v>17408</v>
      </c>
      <c r="D116" t="s">
        <v>706</v>
      </c>
      <c r="E116" t="str">
        <f>"2394"</f>
        <v>2394</v>
      </c>
      <c r="F116" t="s">
        <v>274</v>
      </c>
      <c r="G116">
        <v>6</v>
      </c>
      <c r="H116">
        <v>8</v>
      </c>
      <c r="I116" t="s">
        <v>713</v>
      </c>
      <c r="K116" t="s">
        <v>47</v>
      </c>
      <c r="L116" t="s">
        <v>25</v>
      </c>
      <c r="M116" t="s">
        <v>714</v>
      </c>
      <c r="N116" t="s">
        <v>715</v>
      </c>
      <c r="O116" t="s">
        <v>716</v>
      </c>
      <c r="P116" t="s">
        <v>717</v>
      </c>
      <c r="Q116" t="s">
        <v>30</v>
      </c>
      <c r="R116" t="s">
        <v>31</v>
      </c>
      <c r="S116" t="s">
        <v>104</v>
      </c>
    </row>
    <row r="117" spans="1:19" x14ac:dyDescent="0.45">
      <c r="A117" t="str">
        <f t="shared" si="7"/>
        <v>17801</v>
      </c>
      <c r="B117" t="s">
        <v>19</v>
      </c>
      <c r="C117" t="str">
        <f t="shared" si="9"/>
        <v>17408</v>
      </c>
      <c r="D117" t="s">
        <v>706</v>
      </c>
      <c r="E117" t="str">
        <f>"2659"</f>
        <v>2659</v>
      </c>
      <c r="F117" t="s">
        <v>718</v>
      </c>
      <c r="G117" t="s">
        <v>70</v>
      </c>
      <c r="H117">
        <v>5</v>
      </c>
      <c r="I117" t="s">
        <v>719</v>
      </c>
      <c r="K117" t="s">
        <v>47</v>
      </c>
      <c r="L117" t="s">
        <v>25</v>
      </c>
      <c r="M117" t="s">
        <v>720</v>
      </c>
      <c r="N117" t="s">
        <v>721</v>
      </c>
      <c r="O117" t="s">
        <v>722</v>
      </c>
      <c r="P117" t="s">
        <v>723</v>
      </c>
      <c r="Q117" t="s">
        <v>30</v>
      </c>
      <c r="R117" t="s">
        <v>31</v>
      </c>
      <c r="S117" t="s">
        <v>32</v>
      </c>
    </row>
    <row r="118" spans="1:19" x14ac:dyDescent="0.45">
      <c r="A118" t="str">
        <f t="shared" si="7"/>
        <v>17801</v>
      </c>
      <c r="B118" t="s">
        <v>19</v>
      </c>
      <c r="C118" t="str">
        <f t="shared" si="9"/>
        <v>17408</v>
      </c>
      <c r="D118" t="s">
        <v>706</v>
      </c>
      <c r="E118" t="str">
        <f>"2702"</f>
        <v>2702</v>
      </c>
      <c r="F118" t="s">
        <v>724</v>
      </c>
      <c r="G118">
        <v>9</v>
      </c>
      <c r="H118">
        <v>12</v>
      </c>
      <c r="I118" t="s">
        <v>725</v>
      </c>
      <c r="K118" t="s">
        <v>47</v>
      </c>
      <c r="L118" t="s">
        <v>25</v>
      </c>
      <c r="M118" t="s">
        <v>726</v>
      </c>
      <c r="N118" t="s">
        <v>727</v>
      </c>
      <c r="O118" t="s">
        <v>728</v>
      </c>
      <c r="P118" t="s">
        <v>729</v>
      </c>
      <c r="Q118" t="s">
        <v>157</v>
      </c>
      <c r="R118" t="s">
        <v>158</v>
      </c>
      <c r="S118" t="s">
        <v>58</v>
      </c>
    </row>
    <row r="119" spans="1:19" x14ac:dyDescent="0.45">
      <c r="A119" t="str">
        <f t="shared" si="7"/>
        <v>17801</v>
      </c>
      <c r="B119" t="s">
        <v>19</v>
      </c>
      <c r="C119" t="str">
        <f t="shared" si="9"/>
        <v>17408</v>
      </c>
      <c r="D119" t="s">
        <v>706</v>
      </c>
      <c r="E119" t="str">
        <f>"2795"</f>
        <v>2795</v>
      </c>
      <c r="F119" t="s">
        <v>730</v>
      </c>
      <c r="G119">
        <v>9</v>
      </c>
      <c r="H119">
        <v>12</v>
      </c>
      <c r="I119" t="s">
        <v>731</v>
      </c>
      <c r="K119" t="s">
        <v>47</v>
      </c>
      <c r="L119" t="s">
        <v>25</v>
      </c>
      <c r="M119" t="s">
        <v>732</v>
      </c>
      <c r="N119" t="s">
        <v>733</v>
      </c>
      <c r="O119" t="s">
        <v>734</v>
      </c>
      <c r="P119" t="s">
        <v>735</v>
      </c>
      <c r="Q119" t="s">
        <v>30</v>
      </c>
      <c r="R119" t="s">
        <v>31</v>
      </c>
      <c r="S119" t="s">
        <v>58</v>
      </c>
    </row>
    <row r="120" spans="1:19" x14ac:dyDescent="0.45">
      <c r="A120" t="str">
        <f t="shared" si="7"/>
        <v>17801</v>
      </c>
      <c r="B120" t="s">
        <v>19</v>
      </c>
      <c r="C120" t="str">
        <f t="shared" si="9"/>
        <v>17408</v>
      </c>
      <c r="D120" t="s">
        <v>706</v>
      </c>
      <c r="E120" t="str">
        <f>"2932"</f>
        <v>2932</v>
      </c>
      <c r="F120" t="s">
        <v>736</v>
      </c>
      <c r="G120" t="s">
        <v>22</v>
      </c>
      <c r="H120">
        <v>5</v>
      </c>
      <c r="I120" t="s">
        <v>737</v>
      </c>
      <c r="K120" t="s">
        <v>47</v>
      </c>
      <c r="L120" t="s">
        <v>25</v>
      </c>
      <c r="M120">
        <v>98002</v>
      </c>
      <c r="N120" t="s">
        <v>738</v>
      </c>
      <c r="O120" t="s">
        <v>739</v>
      </c>
      <c r="P120" t="s">
        <v>740</v>
      </c>
      <c r="Q120" t="s">
        <v>30</v>
      </c>
      <c r="R120" t="s">
        <v>31</v>
      </c>
      <c r="S120" t="s">
        <v>32</v>
      </c>
    </row>
    <row r="121" spans="1:19" x14ac:dyDescent="0.45">
      <c r="A121" t="str">
        <f t="shared" si="7"/>
        <v>17801</v>
      </c>
      <c r="B121" t="s">
        <v>19</v>
      </c>
      <c r="C121" t="str">
        <f t="shared" si="9"/>
        <v>17408</v>
      </c>
      <c r="D121" t="s">
        <v>706</v>
      </c>
      <c r="E121" t="str">
        <f>"3169"</f>
        <v>3169</v>
      </c>
      <c r="F121" t="s">
        <v>741</v>
      </c>
      <c r="G121">
        <v>6</v>
      </c>
      <c r="H121">
        <v>8</v>
      </c>
      <c r="I121" t="s">
        <v>742</v>
      </c>
      <c r="K121" t="s">
        <v>47</v>
      </c>
      <c r="L121" t="s">
        <v>25</v>
      </c>
      <c r="M121" t="s">
        <v>743</v>
      </c>
      <c r="N121" t="s">
        <v>744</v>
      </c>
      <c r="O121" t="s">
        <v>745</v>
      </c>
      <c r="P121" t="s">
        <v>746</v>
      </c>
      <c r="Q121" t="s">
        <v>30</v>
      </c>
      <c r="R121" t="s">
        <v>31</v>
      </c>
      <c r="S121" t="s">
        <v>104</v>
      </c>
    </row>
    <row r="122" spans="1:19" x14ac:dyDescent="0.45">
      <c r="A122" t="str">
        <f t="shared" si="7"/>
        <v>17801</v>
      </c>
      <c r="B122" t="s">
        <v>19</v>
      </c>
      <c r="C122" t="str">
        <f t="shared" si="9"/>
        <v>17408</v>
      </c>
      <c r="D122" t="s">
        <v>706</v>
      </c>
      <c r="E122" t="str">
        <f>"3227"</f>
        <v>3227</v>
      </c>
      <c r="F122" t="s">
        <v>747</v>
      </c>
      <c r="G122" t="s">
        <v>22</v>
      </c>
      <c r="H122">
        <v>5</v>
      </c>
      <c r="I122" t="s">
        <v>748</v>
      </c>
      <c r="K122" t="s">
        <v>47</v>
      </c>
      <c r="L122" t="s">
        <v>25</v>
      </c>
      <c r="M122" t="s">
        <v>749</v>
      </c>
      <c r="N122" t="s">
        <v>750</v>
      </c>
      <c r="O122" t="s">
        <v>751</v>
      </c>
      <c r="P122" t="s">
        <v>752</v>
      </c>
      <c r="Q122" t="s">
        <v>30</v>
      </c>
      <c r="R122" t="s">
        <v>31</v>
      </c>
      <c r="S122" t="s">
        <v>32</v>
      </c>
    </row>
    <row r="123" spans="1:19" x14ac:dyDescent="0.45">
      <c r="A123" t="str">
        <f t="shared" si="7"/>
        <v>17801</v>
      </c>
      <c r="B123" t="s">
        <v>19</v>
      </c>
      <c r="C123" t="str">
        <f t="shared" si="9"/>
        <v>17408</v>
      </c>
      <c r="D123" t="s">
        <v>706</v>
      </c>
      <c r="E123" t="str">
        <f>"3439"</f>
        <v>3439</v>
      </c>
      <c r="F123" t="s">
        <v>753</v>
      </c>
      <c r="G123" t="s">
        <v>22</v>
      </c>
      <c r="H123">
        <v>5</v>
      </c>
      <c r="I123" t="s">
        <v>754</v>
      </c>
      <c r="K123" t="s">
        <v>47</v>
      </c>
      <c r="L123" t="s">
        <v>25</v>
      </c>
      <c r="M123" t="s">
        <v>755</v>
      </c>
      <c r="N123" t="s">
        <v>756</v>
      </c>
      <c r="O123" t="s">
        <v>757</v>
      </c>
      <c r="P123" t="s">
        <v>758</v>
      </c>
      <c r="Q123" t="s">
        <v>30</v>
      </c>
      <c r="R123" t="s">
        <v>31</v>
      </c>
      <c r="S123" t="s">
        <v>32</v>
      </c>
    </row>
    <row r="124" spans="1:19" x14ac:dyDescent="0.45">
      <c r="A124" t="str">
        <f t="shared" si="7"/>
        <v>17801</v>
      </c>
      <c r="B124" t="s">
        <v>19</v>
      </c>
      <c r="C124" t="str">
        <f t="shared" si="9"/>
        <v>17408</v>
      </c>
      <c r="D124" t="s">
        <v>706</v>
      </c>
      <c r="E124" t="str">
        <f>"3525"</f>
        <v>3525</v>
      </c>
      <c r="F124" t="s">
        <v>759</v>
      </c>
      <c r="G124" t="s">
        <v>22</v>
      </c>
      <c r="H124">
        <v>5</v>
      </c>
      <c r="I124" t="s">
        <v>760</v>
      </c>
      <c r="K124" t="s">
        <v>47</v>
      </c>
      <c r="L124" t="s">
        <v>25</v>
      </c>
      <c r="M124" t="s">
        <v>761</v>
      </c>
      <c r="N124" t="s">
        <v>762</v>
      </c>
      <c r="O124" t="s">
        <v>763</v>
      </c>
      <c r="P124" t="s">
        <v>764</v>
      </c>
      <c r="Q124" t="s">
        <v>30</v>
      </c>
      <c r="R124" t="s">
        <v>31</v>
      </c>
      <c r="S124" t="s">
        <v>32</v>
      </c>
    </row>
    <row r="125" spans="1:19" x14ac:dyDescent="0.45">
      <c r="A125" t="str">
        <f t="shared" si="7"/>
        <v>17801</v>
      </c>
      <c r="B125" t="s">
        <v>19</v>
      </c>
      <c r="C125" t="str">
        <f t="shared" si="9"/>
        <v>17408</v>
      </c>
      <c r="D125" t="s">
        <v>706</v>
      </c>
      <c r="E125" t="str">
        <f>"3669"</f>
        <v>3669</v>
      </c>
      <c r="F125" t="s">
        <v>765</v>
      </c>
      <c r="G125" t="s">
        <v>22</v>
      </c>
      <c r="H125">
        <v>5</v>
      </c>
      <c r="I125" t="s">
        <v>766</v>
      </c>
      <c r="K125" t="s">
        <v>47</v>
      </c>
      <c r="L125" t="s">
        <v>25</v>
      </c>
      <c r="M125" t="s">
        <v>767</v>
      </c>
      <c r="N125" t="s">
        <v>768</v>
      </c>
      <c r="O125" t="s">
        <v>769</v>
      </c>
      <c r="P125" t="s">
        <v>770</v>
      </c>
      <c r="Q125" t="s">
        <v>30</v>
      </c>
      <c r="R125" t="s">
        <v>31</v>
      </c>
      <c r="S125" t="s">
        <v>32</v>
      </c>
    </row>
    <row r="126" spans="1:19" x14ac:dyDescent="0.45">
      <c r="A126" t="str">
        <f t="shared" si="7"/>
        <v>17801</v>
      </c>
      <c r="B126" t="s">
        <v>19</v>
      </c>
      <c r="C126" t="str">
        <f t="shared" si="9"/>
        <v>17408</v>
      </c>
      <c r="D126" t="s">
        <v>706</v>
      </c>
      <c r="E126" t="str">
        <f>"3745"</f>
        <v>3745</v>
      </c>
      <c r="F126" t="s">
        <v>771</v>
      </c>
      <c r="G126" t="s">
        <v>70</v>
      </c>
      <c r="H126">
        <v>5</v>
      </c>
      <c r="I126" t="s">
        <v>772</v>
      </c>
      <c r="K126" t="s">
        <v>47</v>
      </c>
      <c r="L126" t="s">
        <v>25</v>
      </c>
      <c r="M126" t="s">
        <v>773</v>
      </c>
      <c r="N126" t="s">
        <v>774</v>
      </c>
      <c r="O126" t="s">
        <v>775</v>
      </c>
      <c r="P126" t="s">
        <v>776</v>
      </c>
      <c r="Q126" t="s">
        <v>30</v>
      </c>
      <c r="R126" t="s">
        <v>31</v>
      </c>
      <c r="S126" t="s">
        <v>32</v>
      </c>
    </row>
    <row r="127" spans="1:19" x14ac:dyDescent="0.45">
      <c r="A127" t="str">
        <f t="shared" si="7"/>
        <v>17801</v>
      </c>
      <c r="B127" t="s">
        <v>19</v>
      </c>
      <c r="C127" t="str">
        <f t="shared" si="9"/>
        <v>17408</v>
      </c>
      <c r="D127" t="s">
        <v>706</v>
      </c>
      <c r="E127" t="str">
        <f>"3825"</f>
        <v>3825</v>
      </c>
      <c r="F127" t="s">
        <v>777</v>
      </c>
      <c r="G127" t="s">
        <v>22</v>
      </c>
      <c r="H127">
        <v>5</v>
      </c>
      <c r="I127" t="s">
        <v>778</v>
      </c>
      <c r="K127" t="s">
        <v>779</v>
      </c>
      <c r="L127" t="s">
        <v>25</v>
      </c>
      <c r="M127" t="s">
        <v>780</v>
      </c>
      <c r="N127" t="s">
        <v>781</v>
      </c>
      <c r="O127" t="s">
        <v>782</v>
      </c>
      <c r="P127" t="s">
        <v>783</v>
      </c>
      <c r="Q127" t="s">
        <v>30</v>
      </c>
      <c r="R127" t="s">
        <v>31</v>
      </c>
      <c r="S127" t="s">
        <v>32</v>
      </c>
    </row>
    <row r="128" spans="1:19" x14ac:dyDescent="0.45">
      <c r="A128" t="str">
        <f t="shared" si="7"/>
        <v>17801</v>
      </c>
      <c r="B128" t="s">
        <v>19</v>
      </c>
      <c r="C128" t="str">
        <f t="shared" si="9"/>
        <v>17408</v>
      </c>
      <c r="D128" t="s">
        <v>706</v>
      </c>
      <c r="E128" t="str">
        <f>"4120"</f>
        <v>4120</v>
      </c>
      <c r="F128" t="s">
        <v>784</v>
      </c>
      <c r="G128" t="s">
        <v>22</v>
      </c>
      <c r="H128">
        <v>5</v>
      </c>
      <c r="I128" t="s">
        <v>785</v>
      </c>
      <c r="K128" t="s">
        <v>47</v>
      </c>
      <c r="L128" t="s">
        <v>25</v>
      </c>
      <c r="M128" t="s">
        <v>786</v>
      </c>
      <c r="N128" t="s">
        <v>787</v>
      </c>
      <c r="O128" t="s">
        <v>788</v>
      </c>
      <c r="P128" t="s">
        <v>789</v>
      </c>
      <c r="Q128" t="s">
        <v>30</v>
      </c>
      <c r="R128" t="s">
        <v>31</v>
      </c>
      <c r="S128" t="s">
        <v>32</v>
      </c>
    </row>
    <row r="129" spans="1:19" x14ac:dyDescent="0.45">
      <c r="A129" t="str">
        <f t="shared" si="7"/>
        <v>17801</v>
      </c>
      <c r="B129" t="s">
        <v>19</v>
      </c>
      <c r="C129" t="str">
        <f t="shared" si="9"/>
        <v>17408</v>
      </c>
      <c r="D129" t="s">
        <v>706</v>
      </c>
      <c r="E129" t="str">
        <f>"4347"</f>
        <v>4347</v>
      </c>
      <c r="F129" t="s">
        <v>423</v>
      </c>
      <c r="G129" t="s">
        <v>70</v>
      </c>
      <c r="H129">
        <v>5</v>
      </c>
      <c r="I129" t="s">
        <v>790</v>
      </c>
      <c r="K129" t="s">
        <v>47</v>
      </c>
      <c r="L129" t="s">
        <v>25</v>
      </c>
      <c r="M129" t="s">
        <v>791</v>
      </c>
      <c r="N129" t="s">
        <v>792</v>
      </c>
      <c r="O129" t="s">
        <v>793</v>
      </c>
      <c r="P129" t="s">
        <v>794</v>
      </c>
      <c r="Q129" t="s">
        <v>30</v>
      </c>
      <c r="R129" t="s">
        <v>31</v>
      </c>
      <c r="S129" t="s">
        <v>32</v>
      </c>
    </row>
    <row r="130" spans="1:19" x14ac:dyDescent="0.45">
      <c r="A130" t="str">
        <f t="shared" ref="A130:A161" si="10">"17801"</f>
        <v>17801</v>
      </c>
      <c r="B130" t="s">
        <v>19</v>
      </c>
      <c r="C130" t="str">
        <f t="shared" si="9"/>
        <v>17408</v>
      </c>
      <c r="D130" t="s">
        <v>706</v>
      </c>
      <c r="E130" t="str">
        <f>"4385"</f>
        <v>4385</v>
      </c>
      <c r="F130" t="s">
        <v>795</v>
      </c>
      <c r="G130">
        <v>6</v>
      </c>
      <c r="H130">
        <v>8</v>
      </c>
      <c r="I130" t="s">
        <v>796</v>
      </c>
      <c r="K130" t="s">
        <v>47</v>
      </c>
      <c r="L130" t="s">
        <v>25</v>
      </c>
      <c r="M130" t="s">
        <v>797</v>
      </c>
      <c r="N130" t="s">
        <v>798</v>
      </c>
      <c r="O130" t="s">
        <v>799</v>
      </c>
      <c r="P130" t="s">
        <v>800</v>
      </c>
      <c r="Q130" t="s">
        <v>30</v>
      </c>
      <c r="R130" t="s">
        <v>31</v>
      </c>
      <c r="S130" t="s">
        <v>104</v>
      </c>
    </row>
    <row r="131" spans="1:19" x14ac:dyDescent="0.45">
      <c r="A131" t="str">
        <f t="shared" si="10"/>
        <v>17801</v>
      </c>
      <c r="B131" t="s">
        <v>19</v>
      </c>
      <c r="C131" t="str">
        <f t="shared" si="9"/>
        <v>17408</v>
      </c>
      <c r="D131" t="s">
        <v>706</v>
      </c>
      <c r="E131" t="str">
        <f>"4417"</f>
        <v>4417</v>
      </c>
      <c r="F131" t="s">
        <v>801</v>
      </c>
      <c r="G131" t="s">
        <v>70</v>
      </c>
      <c r="H131">
        <v>5</v>
      </c>
      <c r="I131" t="s">
        <v>802</v>
      </c>
      <c r="K131" t="s">
        <v>47</v>
      </c>
      <c r="L131" t="s">
        <v>25</v>
      </c>
      <c r="M131" t="s">
        <v>803</v>
      </c>
      <c r="N131" t="s">
        <v>804</v>
      </c>
      <c r="O131" t="s">
        <v>805</v>
      </c>
      <c r="P131" t="s">
        <v>806</v>
      </c>
      <c r="Q131" t="s">
        <v>30</v>
      </c>
      <c r="R131" t="s">
        <v>31</v>
      </c>
      <c r="S131" t="s">
        <v>32</v>
      </c>
    </row>
    <row r="132" spans="1:19" x14ac:dyDescent="0.45">
      <c r="A132" t="str">
        <f t="shared" si="10"/>
        <v>17801</v>
      </c>
      <c r="B132" t="s">
        <v>19</v>
      </c>
      <c r="C132" t="str">
        <f t="shared" si="9"/>
        <v>17408</v>
      </c>
      <c r="D132" t="s">
        <v>706</v>
      </c>
      <c r="E132" t="str">
        <f>"4462"</f>
        <v>4462</v>
      </c>
      <c r="F132" t="s">
        <v>807</v>
      </c>
      <c r="G132">
        <v>6</v>
      </c>
      <c r="H132">
        <v>8</v>
      </c>
      <c r="I132" t="s">
        <v>808</v>
      </c>
      <c r="K132" t="s">
        <v>47</v>
      </c>
      <c r="L132" t="s">
        <v>25</v>
      </c>
      <c r="M132" t="s">
        <v>809</v>
      </c>
      <c r="N132" t="s">
        <v>810</v>
      </c>
      <c r="O132" t="s">
        <v>811</v>
      </c>
      <c r="P132" t="s">
        <v>812</v>
      </c>
      <c r="Q132" t="s">
        <v>30</v>
      </c>
      <c r="R132" t="s">
        <v>31</v>
      </c>
      <c r="S132" t="s">
        <v>104</v>
      </c>
    </row>
    <row r="133" spans="1:19" x14ac:dyDescent="0.45">
      <c r="A133" t="str">
        <f t="shared" si="10"/>
        <v>17801</v>
      </c>
      <c r="B133" t="s">
        <v>19</v>
      </c>
      <c r="C133" t="str">
        <f t="shared" si="9"/>
        <v>17408</v>
      </c>
      <c r="D133" t="s">
        <v>706</v>
      </c>
      <c r="E133" t="str">
        <f>"4474"</f>
        <v>4474</v>
      </c>
      <c r="F133" t="s">
        <v>813</v>
      </c>
      <c r="G133">
        <v>9</v>
      </c>
      <c r="H133">
        <v>12</v>
      </c>
      <c r="I133" t="s">
        <v>814</v>
      </c>
      <c r="K133" t="s">
        <v>47</v>
      </c>
      <c r="L133" t="s">
        <v>25</v>
      </c>
      <c r="M133" t="s">
        <v>815</v>
      </c>
      <c r="N133" t="s">
        <v>816</v>
      </c>
      <c r="O133" t="s">
        <v>817</v>
      </c>
      <c r="P133" t="s">
        <v>818</v>
      </c>
      <c r="Q133" t="s">
        <v>30</v>
      </c>
      <c r="R133" t="s">
        <v>31</v>
      </c>
      <c r="S133" t="s">
        <v>58</v>
      </c>
    </row>
    <row r="134" spans="1:19" x14ac:dyDescent="0.45">
      <c r="A134" t="str">
        <f t="shared" si="10"/>
        <v>17801</v>
      </c>
      <c r="B134" t="s">
        <v>19</v>
      </c>
      <c r="C134" t="str">
        <f t="shared" ref="C134:C140" si="11">"17409"</f>
        <v>17409</v>
      </c>
      <c r="D134" t="s">
        <v>819</v>
      </c>
      <c r="E134" t="str">
        <f>"2849"</f>
        <v>2849</v>
      </c>
      <c r="F134" t="s">
        <v>820</v>
      </c>
      <c r="G134">
        <v>9</v>
      </c>
      <c r="H134">
        <v>12</v>
      </c>
      <c r="I134" t="s">
        <v>821</v>
      </c>
      <c r="K134" t="s">
        <v>822</v>
      </c>
      <c r="L134" t="s">
        <v>25</v>
      </c>
      <c r="M134">
        <v>98038</v>
      </c>
      <c r="N134" t="s">
        <v>823</v>
      </c>
      <c r="O134" t="s">
        <v>824</v>
      </c>
      <c r="P134" t="s">
        <v>825</v>
      </c>
      <c r="Q134" t="s">
        <v>30</v>
      </c>
      <c r="R134" t="s">
        <v>31</v>
      </c>
      <c r="S134" t="s">
        <v>58</v>
      </c>
    </row>
    <row r="135" spans="1:19" x14ac:dyDescent="0.45">
      <c r="A135" t="str">
        <f t="shared" si="10"/>
        <v>17801</v>
      </c>
      <c r="B135" t="s">
        <v>19</v>
      </c>
      <c r="C135" t="str">
        <f t="shared" si="11"/>
        <v>17409</v>
      </c>
      <c r="D135" t="s">
        <v>819</v>
      </c>
      <c r="E135" t="str">
        <f>"3286"</f>
        <v>3286</v>
      </c>
      <c r="F135" t="s">
        <v>826</v>
      </c>
      <c r="G135" t="s">
        <v>22</v>
      </c>
      <c r="H135">
        <v>5</v>
      </c>
      <c r="I135" t="s">
        <v>827</v>
      </c>
      <c r="K135" t="s">
        <v>822</v>
      </c>
      <c r="L135" t="s">
        <v>25</v>
      </c>
      <c r="M135" t="s">
        <v>828</v>
      </c>
      <c r="N135" t="s">
        <v>829</v>
      </c>
      <c r="O135" t="s">
        <v>830</v>
      </c>
      <c r="P135" t="s">
        <v>831</v>
      </c>
      <c r="Q135" t="s">
        <v>30</v>
      </c>
      <c r="R135" t="s">
        <v>31</v>
      </c>
      <c r="S135" t="s">
        <v>32</v>
      </c>
    </row>
    <row r="136" spans="1:19" x14ac:dyDescent="0.45">
      <c r="A136" t="str">
        <f t="shared" si="10"/>
        <v>17801</v>
      </c>
      <c r="B136" t="s">
        <v>19</v>
      </c>
      <c r="C136" t="str">
        <f t="shared" si="11"/>
        <v>17409</v>
      </c>
      <c r="D136" t="s">
        <v>819</v>
      </c>
      <c r="E136" t="str">
        <f>"3341"</f>
        <v>3341</v>
      </c>
      <c r="F136" t="s">
        <v>832</v>
      </c>
      <c r="G136">
        <v>6</v>
      </c>
      <c r="H136">
        <v>8</v>
      </c>
      <c r="I136" t="s">
        <v>833</v>
      </c>
      <c r="K136" t="s">
        <v>834</v>
      </c>
      <c r="L136" t="s">
        <v>25</v>
      </c>
      <c r="M136">
        <v>98051</v>
      </c>
      <c r="N136" t="s">
        <v>835</v>
      </c>
      <c r="O136" t="s">
        <v>836</v>
      </c>
      <c r="P136" t="s">
        <v>837</v>
      </c>
      <c r="Q136" t="s">
        <v>30</v>
      </c>
      <c r="R136" t="s">
        <v>31</v>
      </c>
      <c r="S136" t="s">
        <v>104</v>
      </c>
    </row>
    <row r="137" spans="1:19" x14ac:dyDescent="0.45">
      <c r="A137" t="str">
        <f t="shared" si="10"/>
        <v>17801</v>
      </c>
      <c r="B137" t="s">
        <v>19</v>
      </c>
      <c r="C137" t="str">
        <f t="shared" si="11"/>
        <v>17409</v>
      </c>
      <c r="D137" t="s">
        <v>819</v>
      </c>
      <c r="E137" t="str">
        <f>"3589"</f>
        <v>3589</v>
      </c>
      <c r="F137" t="s">
        <v>838</v>
      </c>
      <c r="G137" t="s">
        <v>22</v>
      </c>
      <c r="H137">
        <v>5</v>
      </c>
      <c r="I137" t="s">
        <v>839</v>
      </c>
      <c r="K137" t="s">
        <v>822</v>
      </c>
      <c r="L137" t="s">
        <v>25</v>
      </c>
      <c r="M137" t="s">
        <v>840</v>
      </c>
      <c r="N137" t="s">
        <v>841</v>
      </c>
      <c r="O137" t="s">
        <v>842</v>
      </c>
      <c r="P137" t="s">
        <v>843</v>
      </c>
      <c r="Q137" t="s">
        <v>30</v>
      </c>
      <c r="R137" t="s">
        <v>31</v>
      </c>
      <c r="S137" t="s">
        <v>32</v>
      </c>
    </row>
    <row r="138" spans="1:19" x14ac:dyDescent="0.45">
      <c r="A138" t="str">
        <f t="shared" si="10"/>
        <v>17801</v>
      </c>
      <c r="B138" t="s">
        <v>19</v>
      </c>
      <c r="C138" t="str">
        <f t="shared" si="11"/>
        <v>17409</v>
      </c>
      <c r="D138" t="s">
        <v>819</v>
      </c>
      <c r="E138" t="str">
        <f>"3937"</f>
        <v>3937</v>
      </c>
      <c r="F138" t="s">
        <v>844</v>
      </c>
      <c r="G138">
        <v>6</v>
      </c>
      <c r="H138">
        <v>8</v>
      </c>
      <c r="I138" t="s">
        <v>845</v>
      </c>
      <c r="K138" t="s">
        <v>846</v>
      </c>
      <c r="L138" t="s">
        <v>25</v>
      </c>
      <c r="M138">
        <v>98042</v>
      </c>
      <c r="N138" t="s">
        <v>847</v>
      </c>
      <c r="O138" t="s">
        <v>848</v>
      </c>
      <c r="P138" t="s">
        <v>849</v>
      </c>
      <c r="Q138" t="s">
        <v>30</v>
      </c>
      <c r="R138" t="s">
        <v>31</v>
      </c>
      <c r="S138" t="s">
        <v>104</v>
      </c>
    </row>
    <row r="139" spans="1:19" x14ac:dyDescent="0.45">
      <c r="A139" t="str">
        <f t="shared" si="10"/>
        <v>17801</v>
      </c>
      <c r="B139" t="s">
        <v>19</v>
      </c>
      <c r="C139" t="str">
        <f t="shared" si="11"/>
        <v>17409</v>
      </c>
      <c r="D139" t="s">
        <v>819</v>
      </c>
      <c r="E139" t="str">
        <f>"4415"</f>
        <v>4415</v>
      </c>
      <c r="F139" t="s">
        <v>850</v>
      </c>
      <c r="G139" t="s">
        <v>22</v>
      </c>
      <c r="H139">
        <v>5</v>
      </c>
      <c r="I139" t="s">
        <v>851</v>
      </c>
      <c r="K139" t="s">
        <v>822</v>
      </c>
      <c r="L139" t="s">
        <v>25</v>
      </c>
      <c r="M139" t="s">
        <v>852</v>
      </c>
      <c r="N139" t="s">
        <v>853</v>
      </c>
      <c r="O139" t="s">
        <v>854</v>
      </c>
      <c r="P139" t="s">
        <v>855</v>
      </c>
      <c r="Q139" t="s">
        <v>30</v>
      </c>
      <c r="R139" t="s">
        <v>31</v>
      </c>
      <c r="S139" t="s">
        <v>32</v>
      </c>
    </row>
    <row r="140" spans="1:19" x14ac:dyDescent="0.45">
      <c r="A140" t="str">
        <f t="shared" si="10"/>
        <v>17801</v>
      </c>
      <c r="B140" t="s">
        <v>19</v>
      </c>
      <c r="C140" t="str">
        <f t="shared" si="11"/>
        <v>17409</v>
      </c>
      <c r="D140" t="s">
        <v>819</v>
      </c>
      <c r="E140" t="str">
        <f>"4453"</f>
        <v>4453</v>
      </c>
      <c r="F140" t="s">
        <v>856</v>
      </c>
      <c r="G140" t="s">
        <v>22</v>
      </c>
      <c r="H140">
        <v>5</v>
      </c>
      <c r="I140" t="s">
        <v>857</v>
      </c>
      <c r="K140" t="s">
        <v>822</v>
      </c>
      <c r="L140" t="s">
        <v>25</v>
      </c>
      <c r="M140" t="s">
        <v>858</v>
      </c>
      <c r="N140" t="s">
        <v>859</v>
      </c>
      <c r="O140" t="s">
        <v>860</v>
      </c>
      <c r="P140" t="s">
        <v>861</v>
      </c>
      <c r="Q140" t="s">
        <v>30</v>
      </c>
      <c r="R140" t="s">
        <v>31</v>
      </c>
      <c r="S140" t="s">
        <v>32</v>
      </c>
    </row>
    <row r="141" spans="1:19" x14ac:dyDescent="0.45">
      <c r="A141" t="str">
        <f t="shared" si="10"/>
        <v>17801</v>
      </c>
      <c r="B141" t="s">
        <v>19</v>
      </c>
      <c r="C141" t="str">
        <f t="shared" ref="C141:C148" si="12">"17410"</f>
        <v>17410</v>
      </c>
      <c r="D141" t="s">
        <v>862</v>
      </c>
      <c r="E141" t="str">
        <f>"1502"</f>
        <v>1502</v>
      </c>
      <c r="F141" t="s">
        <v>863</v>
      </c>
      <c r="G141">
        <v>9</v>
      </c>
      <c r="H141">
        <v>12</v>
      </c>
      <c r="I141" t="s">
        <v>864</v>
      </c>
      <c r="K141" t="s">
        <v>865</v>
      </c>
      <c r="L141" t="s">
        <v>25</v>
      </c>
      <c r="M141">
        <v>98065</v>
      </c>
      <c r="N141" t="s">
        <v>866</v>
      </c>
      <c r="O141" t="s">
        <v>867</v>
      </c>
      <c r="P141" t="s">
        <v>868</v>
      </c>
      <c r="Q141" t="s">
        <v>157</v>
      </c>
      <c r="R141" t="s">
        <v>158</v>
      </c>
      <c r="S141" t="s">
        <v>58</v>
      </c>
    </row>
    <row r="142" spans="1:19" x14ac:dyDescent="0.45">
      <c r="A142" t="str">
        <f t="shared" si="10"/>
        <v>17801</v>
      </c>
      <c r="B142" t="s">
        <v>19</v>
      </c>
      <c r="C142" t="str">
        <f t="shared" si="12"/>
        <v>17410</v>
      </c>
      <c r="D142" t="s">
        <v>862</v>
      </c>
      <c r="E142" t="str">
        <f>"2124"</f>
        <v>2124</v>
      </c>
      <c r="F142" t="s">
        <v>869</v>
      </c>
      <c r="G142">
        <v>6</v>
      </c>
      <c r="H142">
        <v>8</v>
      </c>
      <c r="I142" t="s">
        <v>870</v>
      </c>
      <c r="K142" t="s">
        <v>871</v>
      </c>
      <c r="L142" t="s">
        <v>25</v>
      </c>
      <c r="M142" t="s">
        <v>872</v>
      </c>
      <c r="N142" t="s">
        <v>873</v>
      </c>
      <c r="O142" t="s">
        <v>874</v>
      </c>
      <c r="P142" t="s">
        <v>875</v>
      </c>
      <c r="Q142" t="s">
        <v>30</v>
      </c>
      <c r="R142" t="s">
        <v>31</v>
      </c>
      <c r="S142" t="s">
        <v>104</v>
      </c>
    </row>
    <row r="143" spans="1:19" x14ac:dyDescent="0.45">
      <c r="A143" t="str">
        <f t="shared" si="10"/>
        <v>17801</v>
      </c>
      <c r="B143" t="s">
        <v>19</v>
      </c>
      <c r="C143" t="str">
        <f t="shared" si="12"/>
        <v>17410</v>
      </c>
      <c r="D143" t="s">
        <v>862</v>
      </c>
      <c r="E143" t="str">
        <f>"2222"</f>
        <v>2222</v>
      </c>
      <c r="F143" t="s">
        <v>876</v>
      </c>
      <c r="G143" t="s">
        <v>70</v>
      </c>
      <c r="H143">
        <v>5</v>
      </c>
      <c r="I143" t="s">
        <v>877</v>
      </c>
      <c r="K143" t="s">
        <v>878</v>
      </c>
      <c r="L143" t="s">
        <v>25</v>
      </c>
      <c r="M143" t="s">
        <v>879</v>
      </c>
      <c r="N143" t="s">
        <v>880</v>
      </c>
      <c r="O143" t="s">
        <v>881</v>
      </c>
      <c r="P143" t="s">
        <v>882</v>
      </c>
      <c r="Q143" t="s">
        <v>30</v>
      </c>
      <c r="R143" t="s">
        <v>31</v>
      </c>
      <c r="S143" t="s">
        <v>32</v>
      </c>
    </row>
    <row r="144" spans="1:19" x14ac:dyDescent="0.45">
      <c r="A144" t="str">
        <f t="shared" si="10"/>
        <v>17801</v>
      </c>
      <c r="B144" t="s">
        <v>19</v>
      </c>
      <c r="C144" t="str">
        <f t="shared" si="12"/>
        <v>17410</v>
      </c>
      <c r="D144" t="s">
        <v>862</v>
      </c>
      <c r="E144" t="str">
        <f>"2287"</f>
        <v>2287</v>
      </c>
      <c r="F144" t="s">
        <v>883</v>
      </c>
      <c r="G144" t="s">
        <v>70</v>
      </c>
      <c r="H144">
        <v>5</v>
      </c>
      <c r="I144" t="s">
        <v>884</v>
      </c>
      <c r="K144" t="s">
        <v>885</v>
      </c>
      <c r="L144" t="s">
        <v>25</v>
      </c>
      <c r="M144" t="s">
        <v>886</v>
      </c>
      <c r="N144" t="s">
        <v>887</v>
      </c>
      <c r="O144" t="s">
        <v>888</v>
      </c>
      <c r="P144" t="s">
        <v>889</v>
      </c>
      <c r="Q144" t="s">
        <v>30</v>
      </c>
      <c r="R144" t="s">
        <v>31</v>
      </c>
      <c r="S144" t="s">
        <v>32</v>
      </c>
    </row>
    <row r="145" spans="1:19" x14ac:dyDescent="0.45">
      <c r="A145" t="str">
        <f t="shared" si="10"/>
        <v>17801</v>
      </c>
      <c r="B145" t="s">
        <v>19</v>
      </c>
      <c r="C145" t="str">
        <f t="shared" si="12"/>
        <v>17410</v>
      </c>
      <c r="D145" t="s">
        <v>862</v>
      </c>
      <c r="E145" t="str">
        <f>"2288"</f>
        <v>2288</v>
      </c>
      <c r="F145" t="s">
        <v>890</v>
      </c>
      <c r="G145" t="s">
        <v>22</v>
      </c>
      <c r="H145">
        <v>5</v>
      </c>
      <c r="I145" t="s">
        <v>891</v>
      </c>
      <c r="K145" t="s">
        <v>871</v>
      </c>
      <c r="L145" t="s">
        <v>25</v>
      </c>
      <c r="M145" t="s">
        <v>872</v>
      </c>
      <c r="N145" t="s">
        <v>892</v>
      </c>
      <c r="O145" t="s">
        <v>893</v>
      </c>
      <c r="P145" t="s">
        <v>894</v>
      </c>
      <c r="Q145" t="s">
        <v>30</v>
      </c>
      <c r="R145" t="s">
        <v>31</v>
      </c>
      <c r="S145" t="s">
        <v>32</v>
      </c>
    </row>
    <row r="146" spans="1:19" x14ac:dyDescent="0.45">
      <c r="A146" t="str">
        <f t="shared" si="10"/>
        <v>17801</v>
      </c>
      <c r="B146" t="s">
        <v>19</v>
      </c>
      <c r="C146" t="str">
        <f t="shared" si="12"/>
        <v>17410</v>
      </c>
      <c r="D146" t="s">
        <v>862</v>
      </c>
      <c r="E146" t="str">
        <f>"2850"</f>
        <v>2850</v>
      </c>
      <c r="F146" t="s">
        <v>895</v>
      </c>
      <c r="G146">
        <v>9</v>
      </c>
      <c r="H146">
        <v>12</v>
      </c>
      <c r="I146" t="s">
        <v>896</v>
      </c>
      <c r="K146" t="s">
        <v>871</v>
      </c>
      <c r="L146" t="s">
        <v>25</v>
      </c>
      <c r="M146" t="s">
        <v>872</v>
      </c>
      <c r="N146" t="s">
        <v>897</v>
      </c>
      <c r="O146" t="s">
        <v>898</v>
      </c>
      <c r="P146" t="s">
        <v>899</v>
      </c>
      <c r="Q146" t="s">
        <v>30</v>
      </c>
      <c r="R146" t="s">
        <v>31</v>
      </c>
      <c r="S146" t="s">
        <v>58</v>
      </c>
    </row>
    <row r="147" spans="1:19" x14ac:dyDescent="0.45">
      <c r="A147" t="str">
        <f t="shared" si="10"/>
        <v>17801</v>
      </c>
      <c r="B147" t="s">
        <v>19</v>
      </c>
      <c r="C147" t="str">
        <f t="shared" si="12"/>
        <v>17410</v>
      </c>
      <c r="D147" t="s">
        <v>862</v>
      </c>
      <c r="E147" t="str">
        <f>"4308"</f>
        <v>4308</v>
      </c>
      <c r="F147" t="s">
        <v>900</v>
      </c>
      <c r="G147" t="s">
        <v>70</v>
      </c>
      <c r="H147">
        <v>5</v>
      </c>
      <c r="I147" t="s">
        <v>901</v>
      </c>
      <c r="K147" t="s">
        <v>885</v>
      </c>
      <c r="L147" t="s">
        <v>25</v>
      </c>
      <c r="M147" t="s">
        <v>886</v>
      </c>
      <c r="N147" t="s">
        <v>902</v>
      </c>
      <c r="O147" t="s">
        <v>903</v>
      </c>
      <c r="P147" t="s">
        <v>904</v>
      </c>
      <c r="Q147" t="s">
        <v>30</v>
      </c>
      <c r="R147" t="s">
        <v>31</v>
      </c>
      <c r="S147" t="s">
        <v>32</v>
      </c>
    </row>
    <row r="148" spans="1:19" x14ac:dyDescent="0.45">
      <c r="A148" t="str">
        <f t="shared" si="10"/>
        <v>17801</v>
      </c>
      <c r="B148" t="s">
        <v>19</v>
      </c>
      <c r="C148" t="str">
        <f t="shared" si="12"/>
        <v>17410</v>
      </c>
      <c r="D148" t="s">
        <v>862</v>
      </c>
      <c r="E148" t="str">
        <f>"4397"</f>
        <v>4397</v>
      </c>
      <c r="F148" t="s">
        <v>905</v>
      </c>
      <c r="G148">
        <v>6</v>
      </c>
      <c r="H148">
        <v>8</v>
      </c>
      <c r="I148" t="s">
        <v>906</v>
      </c>
      <c r="K148" t="s">
        <v>878</v>
      </c>
      <c r="L148" t="s">
        <v>25</v>
      </c>
      <c r="M148" t="s">
        <v>879</v>
      </c>
      <c r="N148" t="s">
        <v>907</v>
      </c>
      <c r="O148" t="s">
        <v>908</v>
      </c>
      <c r="P148" t="s">
        <v>909</v>
      </c>
      <c r="Q148" t="s">
        <v>30</v>
      </c>
      <c r="R148" t="s">
        <v>31</v>
      </c>
      <c r="S148" t="s">
        <v>104</v>
      </c>
    </row>
    <row r="149" spans="1:19" x14ac:dyDescent="0.45">
      <c r="A149" t="str">
        <f t="shared" si="10"/>
        <v>17801</v>
      </c>
      <c r="B149" t="s">
        <v>19</v>
      </c>
      <c r="C149" t="str">
        <f t="shared" ref="C149:C169" si="13">"17411"</f>
        <v>17411</v>
      </c>
      <c r="D149" t="s">
        <v>910</v>
      </c>
      <c r="E149" t="str">
        <f>"1624"</f>
        <v>1624</v>
      </c>
      <c r="F149" t="s">
        <v>911</v>
      </c>
      <c r="G149" t="s">
        <v>22</v>
      </c>
      <c r="H149">
        <v>12</v>
      </c>
      <c r="I149" t="s">
        <v>912</v>
      </c>
      <c r="K149" t="s">
        <v>913</v>
      </c>
      <c r="L149" t="s">
        <v>25</v>
      </c>
      <c r="M149">
        <v>98029</v>
      </c>
      <c r="N149" t="s">
        <v>914</v>
      </c>
      <c r="O149" t="s">
        <v>915</v>
      </c>
      <c r="P149" t="s">
        <v>916</v>
      </c>
      <c r="Q149" t="s">
        <v>66</v>
      </c>
      <c r="R149" t="s">
        <v>67</v>
      </c>
      <c r="S149" t="s">
        <v>68</v>
      </c>
    </row>
    <row r="150" spans="1:19" x14ac:dyDescent="0.45">
      <c r="A150" t="str">
        <f t="shared" si="10"/>
        <v>17801</v>
      </c>
      <c r="B150" t="s">
        <v>19</v>
      </c>
      <c r="C150" t="str">
        <f t="shared" si="13"/>
        <v>17411</v>
      </c>
      <c r="D150" t="s">
        <v>910</v>
      </c>
      <c r="E150" t="str">
        <f>"2738"</f>
        <v>2738</v>
      </c>
      <c r="F150" t="s">
        <v>917</v>
      </c>
      <c r="G150" t="s">
        <v>70</v>
      </c>
      <c r="H150">
        <v>5</v>
      </c>
      <c r="I150" t="s">
        <v>918</v>
      </c>
      <c r="K150" t="s">
        <v>913</v>
      </c>
      <c r="L150" t="s">
        <v>25</v>
      </c>
      <c r="M150" t="s">
        <v>919</v>
      </c>
      <c r="N150" t="s">
        <v>920</v>
      </c>
      <c r="O150" t="s">
        <v>921</v>
      </c>
      <c r="P150" t="s">
        <v>922</v>
      </c>
      <c r="Q150" t="s">
        <v>30</v>
      </c>
      <c r="R150" t="s">
        <v>31</v>
      </c>
      <c r="S150" t="s">
        <v>32</v>
      </c>
    </row>
    <row r="151" spans="1:19" x14ac:dyDescent="0.45">
      <c r="A151" t="str">
        <f t="shared" si="10"/>
        <v>17801</v>
      </c>
      <c r="B151" t="s">
        <v>19</v>
      </c>
      <c r="C151" t="str">
        <f t="shared" si="13"/>
        <v>17411</v>
      </c>
      <c r="D151" t="s">
        <v>910</v>
      </c>
      <c r="E151" t="str">
        <f>"3038"</f>
        <v>3038</v>
      </c>
      <c r="F151" t="s">
        <v>923</v>
      </c>
      <c r="G151">
        <v>6</v>
      </c>
      <c r="H151">
        <v>8</v>
      </c>
      <c r="I151" t="s">
        <v>924</v>
      </c>
      <c r="K151" t="s">
        <v>913</v>
      </c>
      <c r="L151" t="s">
        <v>25</v>
      </c>
      <c r="M151" t="s">
        <v>925</v>
      </c>
      <c r="N151" t="s">
        <v>926</v>
      </c>
      <c r="O151" t="s">
        <v>927</v>
      </c>
      <c r="P151" t="s">
        <v>928</v>
      </c>
      <c r="Q151" t="s">
        <v>30</v>
      </c>
      <c r="R151" t="s">
        <v>31</v>
      </c>
      <c r="S151" t="s">
        <v>104</v>
      </c>
    </row>
    <row r="152" spans="1:19" x14ac:dyDescent="0.45">
      <c r="A152" t="str">
        <f t="shared" si="10"/>
        <v>17801</v>
      </c>
      <c r="B152" t="s">
        <v>19</v>
      </c>
      <c r="C152" t="str">
        <f t="shared" si="13"/>
        <v>17411</v>
      </c>
      <c r="D152" t="s">
        <v>910</v>
      </c>
      <c r="E152" t="str">
        <f>"3228"</f>
        <v>3228</v>
      </c>
      <c r="F152" t="s">
        <v>929</v>
      </c>
      <c r="G152" t="s">
        <v>22</v>
      </c>
      <c r="H152">
        <v>5</v>
      </c>
      <c r="I152" t="s">
        <v>930</v>
      </c>
      <c r="K152" t="s">
        <v>931</v>
      </c>
      <c r="L152" t="s">
        <v>25</v>
      </c>
      <c r="M152" t="s">
        <v>932</v>
      </c>
      <c r="N152" t="s">
        <v>933</v>
      </c>
      <c r="O152" t="s">
        <v>934</v>
      </c>
      <c r="P152" t="s">
        <v>935</v>
      </c>
      <c r="Q152" t="s">
        <v>30</v>
      </c>
      <c r="R152" t="s">
        <v>31</v>
      </c>
      <c r="S152" t="s">
        <v>32</v>
      </c>
    </row>
    <row r="153" spans="1:19" x14ac:dyDescent="0.45">
      <c r="A153" t="str">
        <f t="shared" si="10"/>
        <v>17801</v>
      </c>
      <c r="B153" t="s">
        <v>19</v>
      </c>
      <c r="C153" t="str">
        <f t="shared" si="13"/>
        <v>17411</v>
      </c>
      <c r="D153" t="s">
        <v>910</v>
      </c>
      <c r="E153" t="str">
        <f>"3385"</f>
        <v>3385</v>
      </c>
      <c r="F153" t="s">
        <v>936</v>
      </c>
      <c r="G153">
        <v>9</v>
      </c>
      <c r="H153">
        <v>12</v>
      </c>
      <c r="I153" t="s">
        <v>937</v>
      </c>
      <c r="K153" t="s">
        <v>913</v>
      </c>
      <c r="L153" t="s">
        <v>25</v>
      </c>
      <c r="M153" t="s">
        <v>938</v>
      </c>
      <c r="N153" t="s">
        <v>939</v>
      </c>
      <c r="O153" t="s">
        <v>940</v>
      </c>
      <c r="P153" t="s">
        <v>941</v>
      </c>
      <c r="Q153" t="s">
        <v>30</v>
      </c>
      <c r="R153" t="s">
        <v>31</v>
      </c>
      <c r="S153" t="s">
        <v>58</v>
      </c>
    </row>
    <row r="154" spans="1:19" x14ac:dyDescent="0.45">
      <c r="A154" t="str">
        <f t="shared" si="10"/>
        <v>17801</v>
      </c>
      <c r="B154" t="s">
        <v>19</v>
      </c>
      <c r="C154" t="str">
        <f t="shared" si="13"/>
        <v>17411</v>
      </c>
      <c r="D154" t="s">
        <v>910</v>
      </c>
      <c r="E154" t="str">
        <f>"3386"</f>
        <v>3386</v>
      </c>
      <c r="F154" t="s">
        <v>942</v>
      </c>
      <c r="G154" t="s">
        <v>70</v>
      </c>
      <c r="H154">
        <v>5</v>
      </c>
      <c r="I154" t="s">
        <v>943</v>
      </c>
      <c r="K154" t="s">
        <v>944</v>
      </c>
      <c r="L154" t="s">
        <v>25</v>
      </c>
      <c r="M154" t="s">
        <v>945</v>
      </c>
      <c r="N154" t="s">
        <v>946</v>
      </c>
      <c r="O154" t="s">
        <v>947</v>
      </c>
      <c r="P154" t="s">
        <v>948</v>
      </c>
      <c r="Q154" t="s">
        <v>30</v>
      </c>
      <c r="R154" t="s">
        <v>31</v>
      </c>
      <c r="S154" t="s">
        <v>32</v>
      </c>
    </row>
    <row r="155" spans="1:19" x14ac:dyDescent="0.45">
      <c r="A155" t="str">
        <f t="shared" si="10"/>
        <v>17801</v>
      </c>
      <c r="B155" t="s">
        <v>19</v>
      </c>
      <c r="C155" t="str">
        <f t="shared" si="13"/>
        <v>17411</v>
      </c>
      <c r="D155" t="s">
        <v>910</v>
      </c>
      <c r="E155" t="str">
        <f>"3440"</f>
        <v>3440</v>
      </c>
      <c r="F155" t="s">
        <v>949</v>
      </c>
      <c r="G155" t="s">
        <v>22</v>
      </c>
      <c r="H155">
        <v>5</v>
      </c>
      <c r="I155" t="s">
        <v>950</v>
      </c>
      <c r="K155" t="s">
        <v>951</v>
      </c>
      <c r="L155" t="s">
        <v>25</v>
      </c>
      <c r="M155" t="s">
        <v>952</v>
      </c>
      <c r="N155" t="s">
        <v>953</v>
      </c>
      <c r="O155" t="s">
        <v>954</v>
      </c>
      <c r="P155" t="s">
        <v>955</v>
      </c>
      <c r="Q155" t="s">
        <v>30</v>
      </c>
      <c r="R155" t="s">
        <v>31</v>
      </c>
      <c r="S155" t="s">
        <v>32</v>
      </c>
    </row>
    <row r="156" spans="1:19" x14ac:dyDescent="0.45">
      <c r="A156" t="str">
        <f t="shared" si="10"/>
        <v>17801</v>
      </c>
      <c r="B156" t="s">
        <v>19</v>
      </c>
      <c r="C156" t="str">
        <f t="shared" si="13"/>
        <v>17411</v>
      </c>
      <c r="D156" t="s">
        <v>910</v>
      </c>
      <c r="E156" t="str">
        <f>"3569"</f>
        <v>3569</v>
      </c>
      <c r="F156" t="s">
        <v>956</v>
      </c>
      <c r="G156">
        <v>5</v>
      </c>
      <c r="H156">
        <v>12</v>
      </c>
      <c r="I156" t="s">
        <v>957</v>
      </c>
      <c r="K156" t="s">
        <v>871</v>
      </c>
      <c r="L156" t="s">
        <v>25</v>
      </c>
      <c r="M156" t="s">
        <v>958</v>
      </c>
      <c r="N156" t="s">
        <v>959</v>
      </c>
      <c r="O156" t="s">
        <v>960</v>
      </c>
      <c r="P156" t="s">
        <v>961</v>
      </c>
      <c r="Q156" t="s">
        <v>962</v>
      </c>
      <c r="R156" t="s">
        <v>963</v>
      </c>
      <c r="S156" t="s">
        <v>159</v>
      </c>
    </row>
    <row r="157" spans="1:19" x14ac:dyDescent="0.45">
      <c r="A157" t="str">
        <f t="shared" si="10"/>
        <v>17801</v>
      </c>
      <c r="B157" t="s">
        <v>19</v>
      </c>
      <c r="C157" t="str">
        <f t="shared" si="13"/>
        <v>17411</v>
      </c>
      <c r="D157" t="s">
        <v>910</v>
      </c>
      <c r="E157" t="str">
        <f>"3636"</f>
        <v>3636</v>
      </c>
      <c r="F157" t="s">
        <v>964</v>
      </c>
      <c r="G157">
        <v>6</v>
      </c>
      <c r="H157">
        <v>8</v>
      </c>
      <c r="I157" t="s">
        <v>965</v>
      </c>
      <c r="K157" t="s">
        <v>951</v>
      </c>
      <c r="L157" t="s">
        <v>25</v>
      </c>
      <c r="M157" t="s">
        <v>966</v>
      </c>
      <c r="N157" t="s">
        <v>967</v>
      </c>
      <c r="O157" t="s">
        <v>968</v>
      </c>
      <c r="P157" t="s">
        <v>969</v>
      </c>
      <c r="Q157" t="s">
        <v>30</v>
      </c>
      <c r="R157" t="s">
        <v>31</v>
      </c>
      <c r="S157" t="s">
        <v>104</v>
      </c>
    </row>
    <row r="158" spans="1:19" x14ac:dyDescent="0.45">
      <c r="A158" t="str">
        <f t="shared" si="10"/>
        <v>17801</v>
      </c>
      <c r="B158" t="s">
        <v>19</v>
      </c>
      <c r="C158" t="str">
        <f t="shared" si="13"/>
        <v>17411</v>
      </c>
      <c r="D158" t="s">
        <v>910</v>
      </c>
      <c r="E158" t="str">
        <f>"3637"</f>
        <v>3637</v>
      </c>
      <c r="F158" t="s">
        <v>970</v>
      </c>
      <c r="G158" t="s">
        <v>70</v>
      </c>
      <c r="H158">
        <v>5</v>
      </c>
      <c r="I158" t="s">
        <v>971</v>
      </c>
      <c r="K158" t="s">
        <v>951</v>
      </c>
      <c r="L158" t="s">
        <v>25</v>
      </c>
      <c r="M158" t="s">
        <v>972</v>
      </c>
      <c r="N158" t="s">
        <v>973</v>
      </c>
      <c r="O158" t="s">
        <v>974</v>
      </c>
      <c r="P158" t="s">
        <v>975</v>
      </c>
      <c r="Q158" t="s">
        <v>30</v>
      </c>
      <c r="R158" t="s">
        <v>31</v>
      </c>
      <c r="S158" t="s">
        <v>32</v>
      </c>
    </row>
    <row r="159" spans="1:19" x14ac:dyDescent="0.45">
      <c r="A159" t="str">
        <f t="shared" si="10"/>
        <v>17801</v>
      </c>
      <c r="B159" t="s">
        <v>19</v>
      </c>
      <c r="C159" t="str">
        <f t="shared" si="13"/>
        <v>17411</v>
      </c>
      <c r="D159" t="s">
        <v>910</v>
      </c>
      <c r="E159" t="str">
        <f>"3673"</f>
        <v>3673</v>
      </c>
      <c r="F159" t="s">
        <v>976</v>
      </c>
      <c r="G159" t="s">
        <v>70</v>
      </c>
      <c r="H159">
        <v>5</v>
      </c>
      <c r="I159" t="s">
        <v>977</v>
      </c>
      <c r="K159" t="s">
        <v>913</v>
      </c>
      <c r="L159" t="s">
        <v>25</v>
      </c>
      <c r="M159" t="s">
        <v>978</v>
      </c>
      <c r="N159" t="s">
        <v>979</v>
      </c>
      <c r="O159" t="s">
        <v>980</v>
      </c>
      <c r="P159" t="s">
        <v>981</v>
      </c>
      <c r="Q159" t="s">
        <v>30</v>
      </c>
      <c r="R159" t="s">
        <v>31</v>
      </c>
      <c r="S159" t="s">
        <v>32</v>
      </c>
    </row>
    <row r="160" spans="1:19" x14ac:dyDescent="0.45">
      <c r="A160" t="str">
        <f t="shared" si="10"/>
        <v>17801</v>
      </c>
      <c r="B160" t="s">
        <v>19</v>
      </c>
      <c r="C160" t="str">
        <f t="shared" si="13"/>
        <v>17411</v>
      </c>
      <c r="D160" t="s">
        <v>910</v>
      </c>
      <c r="E160" t="str">
        <f>"3746"</f>
        <v>3746</v>
      </c>
      <c r="F160" t="s">
        <v>982</v>
      </c>
      <c r="G160" t="s">
        <v>22</v>
      </c>
      <c r="H160">
        <v>5</v>
      </c>
      <c r="I160" t="s">
        <v>983</v>
      </c>
      <c r="K160" t="s">
        <v>951</v>
      </c>
      <c r="L160" t="s">
        <v>25</v>
      </c>
      <c r="M160" t="s">
        <v>984</v>
      </c>
      <c r="N160" t="s">
        <v>985</v>
      </c>
      <c r="O160" t="s">
        <v>986</v>
      </c>
      <c r="P160" t="s">
        <v>987</v>
      </c>
      <c r="Q160" t="s">
        <v>30</v>
      </c>
      <c r="R160" t="s">
        <v>31</v>
      </c>
      <c r="S160" t="s">
        <v>32</v>
      </c>
    </row>
    <row r="161" spans="1:19" x14ac:dyDescent="0.45">
      <c r="A161" t="str">
        <f t="shared" si="10"/>
        <v>17801</v>
      </c>
      <c r="B161" t="s">
        <v>19</v>
      </c>
      <c r="C161" t="str">
        <f t="shared" si="13"/>
        <v>17411</v>
      </c>
      <c r="D161" t="s">
        <v>910</v>
      </c>
      <c r="E161" t="str">
        <f>"3879"</f>
        <v>3879</v>
      </c>
      <c r="F161" t="s">
        <v>988</v>
      </c>
      <c r="G161">
        <v>6</v>
      </c>
      <c r="H161">
        <v>8</v>
      </c>
      <c r="I161" t="s">
        <v>989</v>
      </c>
      <c r="K161" t="s">
        <v>944</v>
      </c>
      <c r="L161" t="s">
        <v>25</v>
      </c>
      <c r="M161">
        <v>98075</v>
      </c>
      <c r="N161" t="s">
        <v>990</v>
      </c>
      <c r="O161" t="s">
        <v>991</v>
      </c>
      <c r="P161" t="s">
        <v>992</v>
      </c>
      <c r="Q161" t="s">
        <v>30</v>
      </c>
      <c r="R161" t="s">
        <v>31</v>
      </c>
      <c r="S161" t="s">
        <v>104</v>
      </c>
    </row>
    <row r="162" spans="1:19" x14ac:dyDescent="0.45">
      <c r="A162" t="str">
        <f t="shared" ref="A162:A180" si="14">"17801"</f>
        <v>17801</v>
      </c>
      <c r="B162" t="s">
        <v>19</v>
      </c>
      <c r="C162" t="str">
        <f t="shared" si="13"/>
        <v>17411</v>
      </c>
      <c r="D162" t="s">
        <v>910</v>
      </c>
      <c r="E162" t="str">
        <f>"3962"</f>
        <v>3962</v>
      </c>
      <c r="F162" t="s">
        <v>993</v>
      </c>
      <c r="G162">
        <v>9</v>
      </c>
      <c r="H162">
        <v>12</v>
      </c>
      <c r="I162" t="s">
        <v>994</v>
      </c>
      <c r="K162" t="s">
        <v>951</v>
      </c>
      <c r="L162" t="s">
        <v>25</v>
      </c>
      <c r="M162" t="s">
        <v>995</v>
      </c>
      <c r="N162" t="s">
        <v>996</v>
      </c>
      <c r="O162" t="s">
        <v>997</v>
      </c>
      <c r="P162" t="s">
        <v>998</v>
      </c>
      <c r="Q162" t="s">
        <v>30</v>
      </c>
      <c r="R162" t="s">
        <v>31</v>
      </c>
      <c r="S162" t="s">
        <v>58</v>
      </c>
    </row>
    <row r="163" spans="1:19" x14ac:dyDescent="0.45">
      <c r="A163" t="str">
        <f t="shared" si="14"/>
        <v>17801</v>
      </c>
      <c r="B163" t="s">
        <v>19</v>
      </c>
      <c r="C163" t="str">
        <f t="shared" si="13"/>
        <v>17411</v>
      </c>
      <c r="D163" t="s">
        <v>910</v>
      </c>
      <c r="E163" t="str">
        <f>"4300"</f>
        <v>4300</v>
      </c>
      <c r="F163" t="s">
        <v>999</v>
      </c>
      <c r="G163" t="s">
        <v>70</v>
      </c>
      <c r="H163">
        <v>5</v>
      </c>
      <c r="I163" t="s">
        <v>1000</v>
      </c>
      <c r="K163" t="s">
        <v>913</v>
      </c>
      <c r="L163" t="s">
        <v>25</v>
      </c>
      <c r="M163" t="s">
        <v>1001</v>
      </c>
      <c r="N163" t="s">
        <v>1002</v>
      </c>
      <c r="O163" t="s">
        <v>1003</v>
      </c>
      <c r="P163" t="s">
        <v>1004</v>
      </c>
      <c r="Q163" t="s">
        <v>30</v>
      </c>
      <c r="R163" t="s">
        <v>31</v>
      </c>
      <c r="S163" t="s">
        <v>32</v>
      </c>
    </row>
    <row r="164" spans="1:19" x14ac:dyDescent="0.45">
      <c r="A164" t="str">
        <f t="shared" si="14"/>
        <v>17801</v>
      </c>
      <c r="B164" t="s">
        <v>19</v>
      </c>
      <c r="C164" t="str">
        <f t="shared" si="13"/>
        <v>17411</v>
      </c>
      <c r="D164" t="s">
        <v>910</v>
      </c>
      <c r="E164" t="str">
        <f>"4375"</f>
        <v>4375</v>
      </c>
      <c r="F164" t="s">
        <v>1005</v>
      </c>
      <c r="G164" t="s">
        <v>70</v>
      </c>
      <c r="H164">
        <v>5</v>
      </c>
      <c r="I164" t="s">
        <v>1006</v>
      </c>
      <c r="K164" t="s">
        <v>931</v>
      </c>
      <c r="L164" t="s">
        <v>25</v>
      </c>
      <c r="M164" t="s">
        <v>1007</v>
      </c>
      <c r="N164" t="s">
        <v>1008</v>
      </c>
      <c r="O164" t="s">
        <v>1009</v>
      </c>
      <c r="P164" t="s">
        <v>1010</v>
      </c>
      <c r="Q164" t="s">
        <v>30</v>
      </c>
      <c r="R164" t="s">
        <v>31</v>
      </c>
      <c r="S164" t="s">
        <v>32</v>
      </c>
    </row>
    <row r="165" spans="1:19" x14ac:dyDescent="0.45">
      <c r="A165" t="str">
        <f t="shared" si="14"/>
        <v>17801</v>
      </c>
      <c r="B165" t="s">
        <v>19</v>
      </c>
      <c r="C165" t="str">
        <f t="shared" si="13"/>
        <v>17411</v>
      </c>
      <c r="D165" t="s">
        <v>910</v>
      </c>
      <c r="E165" t="str">
        <f>"4376"</f>
        <v>4376</v>
      </c>
      <c r="F165" t="s">
        <v>1011</v>
      </c>
      <c r="G165" t="s">
        <v>22</v>
      </c>
      <c r="H165">
        <v>5</v>
      </c>
      <c r="I165" t="s">
        <v>1012</v>
      </c>
      <c r="K165" t="s">
        <v>913</v>
      </c>
      <c r="L165" t="s">
        <v>25</v>
      </c>
      <c r="M165">
        <v>98075</v>
      </c>
      <c r="N165" t="s">
        <v>1013</v>
      </c>
      <c r="O165" t="s">
        <v>1014</v>
      </c>
      <c r="P165" t="s">
        <v>1015</v>
      </c>
      <c r="Q165" t="s">
        <v>30</v>
      </c>
      <c r="R165" t="s">
        <v>31</v>
      </c>
      <c r="S165" t="s">
        <v>32</v>
      </c>
    </row>
    <row r="166" spans="1:19" x14ac:dyDescent="0.45">
      <c r="A166" t="str">
        <f t="shared" si="14"/>
        <v>17801</v>
      </c>
      <c r="B166" t="s">
        <v>19</v>
      </c>
      <c r="C166" t="str">
        <f t="shared" si="13"/>
        <v>17411</v>
      </c>
      <c r="D166" t="s">
        <v>910</v>
      </c>
      <c r="E166" t="str">
        <f>"4460"</f>
        <v>4460</v>
      </c>
      <c r="F166" t="s">
        <v>1016</v>
      </c>
      <c r="G166">
        <v>6</v>
      </c>
      <c r="H166">
        <v>8</v>
      </c>
      <c r="I166" t="s">
        <v>1017</v>
      </c>
      <c r="K166" t="s">
        <v>913</v>
      </c>
      <c r="L166" t="s">
        <v>25</v>
      </c>
      <c r="M166" t="s">
        <v>1018</v>
      </c>
      <c r="N166" t="s">
        <v>1019</v>
      </c>
      <c r="O166" t="s">
        <v>1020</v>
      </c>
      <c r="P166" t="s">
        <v>1021</v>
      </c>
      <c r="Q166" t="s">
        <v>30</v>
      </c>
      <c r="R166" t="s">
        <v>31</v>
      </c>
      <c r="S166" t="s">
        <v>104</v>
      </c>
    </row>
    <row r="167" spans="1:19" x14ac:dyDescent="0.45">
      <c r="A167" t="str">
        <f t="shared" si="14"/>
        <v>17801</v>
      </c>
      <c r="B167" t="s">
        <v>19</v>
      </c>
      <c r="C167" t="str">
        <f t="shared" si="13"/>
        <v>17411</v>
      </c>
      <c r="D167" t="s">
        <v>910</v>
      </c>
      <c r="E167" t="str">
        <f>"4493"</f>
        <v>4493</v>
      </c>
      <c r="F167" t="s">
        <v>1022</v>
      </c>
      <c r="G167" t="s">
        <v>70</v>
      </c>
      <c r="H167">
        <v>5</v>
      </c>
      <c r="I167" t="s">
        <v>1023</v>
      </c>
      <c r="K167" t="s">
        <v>913</v>
      </c>
      <c r="L167" t="s">
        <v>25</v>
      </c>
      <c r="M167" t="s">
        <v>1024</v>
      </c>
      <c r="N167" t="s">
        <v>1025</v>
      </c>
      <c r="O167" t="s">
        <v>1026</v>
      </c>
      <c r="P167" t="s">
        <v>1027</v>
      </c>
      <c r="Q167" t="s">
        <v>30</v>
      </c>
      <c r="R167" t="s">
        <v>31</v>
      </c>
      <c r="S167" t="s">
        <v>32</v>
      </c>
    </row>
    <row r="168" spans="1:19" x14ac:dyDescent="0.45">
      <c r="A168" t="str">
        <f t="shared" si="14"/>
        <v>17801</v>
      </c>
      <c r="B168" t="s">
        <v>19</v>
      </c>
      <c r="C168" t="str">
        <f t="shared" si="13"/>
        <v>17411</v>
      </c>
      <c r="D168" t="s">
        <v>910</v>
      </c>
      <c r="E168" t="str">
        <f>"4495"</f>
        <v>4495</v>
      </c>
      <c r="F168" t="s">
        <v>1028</v>
      </c>
      <c r="G168">
        <v>9</v>
      </c>
      <c r="H168">
        <v>12</v>
      </c>
      <c r="I168" t="s">
        <v>1029</v>
      </c>
      <c r="K168" t="s">
        <v>944</v>
      </c>
      <c r="L168" t="s">
        <v>25</v>
      </c>
      <c r="M168" t="s">
        <v>1030</v>
      </c>
      <c r="N168" t="s">
        <v>1031</v>
      </c>
      <c r="O168" t="s">
        <v>1032</v>
      </c>
      <c r="P168" t="s">
        <v>1033</v>
      </c>
      <c r="Q168" t="s">
        <v>30</v>
      </c>
      <c r="R168" t="s">
        <v>31</v>
      </c>
      <c r="S168" t="s">
        <v>58</v>
      </c>
    </row>
    <row r="169" spans="1:19" x14ac:dyDescent="0.45">
      <c r="A169" t="str">
        <f t="shared" si="14"/>
        <v>17801</v>
      </c>
      <c r="B169" t="s">
        <v>19</v>
      </c>
      <c r="C169" t="str">
        <f t="shared" si="13"/>
        <v>17411</v>
      </c>
      <c r="D169" t="s">
        <v>910</v>
      </c>
      <c r="E169" t="str">
        <f>"4565"</f>
        <v>4565</v>
      </c>
      <c r="F169" t="s">
        <v>1034</v>
      </c>
      <c r="G169" t="s">
        <v>70</v>
      </c>
      <c r="H169">
        <v>5</v>
      </c>
      <c r="I169" t="s">
        <v>1035</v>
      </c>
      <c r="K169" t="s">
        <v>944</v>
      </c>
      <c r="L169" t="s">
        <v>25</v>
      </c>
      <c r="M169" t="s">
        <v>1036</v>
      </c>
      <c r="N169" t="s">
        <v>1037</v>
      </c>
      <c r="O169" t="s">
        <v>1038</v>
      </c>
      <c r="P169" t="s">
        <v>1039</v>
      </c>
      <c r="Q169" t="s">
        <v>30</v>
      </c>
      <c r="R169" t="s">
        <v>31</v>
      </c>
      <c r="S169" t="s">
        <v>32</v>
      </c>
    </row>
    <row r="170" spans="1:19" x14ac:dyDescent="0.45">
      <c r="A170" t="str">
        <f t="shared" si="14"/>
        <v>17801</v>
      </c>
      <c r="B170" t="s">
        <v>19</v>
      </c>
      <c r="C170" t="str">
        <f t="shared" ref="C170:C180" si="15">"17412"</f>
        <v>17412</v>
      </c>
      <c r="D170" t="s">
        <v>1040</v>
      </c>
      <c r="E170" t="str">
        <f>"1667"</f>
        <v>1667</v>
      </c>
      <c r="F170" t="s">
        <v>1041</v>
      </c>
      <c r="G170" t="s">
        <v>22</v>
      </c>
      <c r="H170">
        <v>12</v>
      </c>
      <c r="I170" t="s">
        <v>1042</v>
      </c>
      <c r="K170" t="s">
        <v>1043</v>
      </c>
      <c r="L170" t="s">
        <v>25</v>
      </c>
      <c r="M170" t="s">
        <v>1044</v>
      </c>
      <c r="N170" t="s">
        <v>1045</v>
      </c>
      <c r="O170" t="s">
        <v>1046</v>
      </c>
      <c r="P170" t="s">
        <v>1047</v>
      </c>
      <c r="Q170" t="s">
        <v>66</v>
      </c>
      <c r="R170" t="s">
        <v>67</v>
      </c>
      <c r="S170" t="s">
        <v>68</v>
      </c>
    </row>
    <row r="171" spans="1:19" x14ac:dyDescent="0.45">
      <c r="A171" t="str">
        <f t="shared" si="14"/>
        <v>17801</v>
      </c>
      <c r="B171" t="s">
        <v>19</v>
      </c>
      <c r="C171" t="str">
        <f t="shared" si="15"/>
        <v>17412</v>
      </c>
      <c r="D171" t="s">
        <v>1040</v>
      </c>
      <c r="E171" t="str">
        <f>"1771"</f>
        <v>1771</v>
      </c>
      <c r="F171" t="s">
        <v>1048</v>
      </c>
      <c r="G171" t="s">
        <v>70</v>
      </c>
      <c r="H171">
        <v>8</v>
      </c>
      <c r="I171" t="s">
        <v>1049</v>
      </c>
      <c r="K171" t="s">
        <v>1043</v>
      </c>
      <c r="L171" t="s">
        <v>25</v>
      </c>
      <c r="M171">
        <v>98155</v>
      </c>
      <c r="N171" t="s">
        <v>1050</v>
      </c>
      <c r="O171" t="s">
        <v>1051</v>
      </c>
      <c r="P171" t="s">
        <v>1052</v>
      </c>
      <c r="Q171" t="s">
        <v>157</v>
      </c>
      <c r="R171" t="s">
        <v>158</v>
      </c>
      <c r="S171" t="s">
        <v>159</v>
      </c>
    </row>
    <row r="172" spans="1:19" x14ac:dyDescent="0.45">
      <c r="A172" t="str">
        <f t="shared" si="14"/>
        <v>17801</v>
      </c>
      <c r="B172" t="s">
        <v>19</v>
      </c>
      <c r="C172" t="str">
        <f t="shared" si="15"/>
        <v>17412</v>
      </c>
      <c r="D172" t="s">
        <v>1040</v>
      </c>
      <c r="E172" t="str">
        <f>"2185"</f>
        <v>2185</v>
      </c>
      <c r="F172" t="s">
        <v>1053</v>
      </c>
      <c r="G172" t="s">
        <v>70</v>
      </c>
      <c r="H172">
        <v>6</v>
      </c>
      <c r="I172" t="s">
        <v>1054</v>
      </c>
      <c r="K172" t="s">
        <v>1055</v>
      </c>
      <c r="L172" t="s">
        <v>25</v>
      </c>
      <c r="M172" t="s">
        <v>1056</v>
      </c>
      <c r="N172" t="s">
        <v>1057</v>
      </c>
      <c r="O172" t="s">
        <v>1058</v>
      </c>
      <c r="P172" t="s">
        <v>1059</v>
      </c>
      <c r="Q172" t="s">
        <v>30</v>
      </c>
      <c r="R172" t="s">
        <v>31</v>
      </c>
      <c r="S172" t="s">
        <v>32</v>
      </c>
    </row>
    <row r="173" spans="1:19" x14ac:dyDescent="0.45">
      <c r="A173" t="str">
        <f t="shared" si="14"/>
        <v>17801</v>
      </c>
      <c r="B173" t="s">
        <v>19</v>
      </c>
      <c r="C173" t="str">
        <f t="shared" si="15"/>
        <v>17412</v>
      </c>
      <c r="D173" t="s">
        <v>1040</v>
      </c>
      <c r="E173" t="str">
        <f>"2612"</f>
        <v>2612</v>
      </c>
      <c r="F173" t="s">
        <v>1060</v>
      </c>
      <c r="G173" t="s">
        <v>70</v>
      </c>
      <c r="H173">
        <v>12</v>
      </c>
      <c r="I173" t="s">
        <v>1061</v>
      </c>
      <c r="K173" t="s">
        <v>1043</v>
      </c>
      <c r="L173" t="s">
        <v>25</v>
      </c>
      <c r="M173" t="s">
        <v>1062</v>
      </c>
      <c r="N173" t="s">
        <v>1063</v>
      </c>
      <c r="O173" t="s">
        <v>1064</v>
      </c>
      <c r="P173" t="s">
        <v>1065</v>
      </c>
      <c r="Q173" t="s">
        <v>962</v>
      </c>
      <c r="R173" t="s">
        <v>963</v>
      </c>
      <c r="S173" t="s">
        <v>330</v>
      </c>
    </row>
    <row r="174" spans="1:19" x14ac:dyDescent="0.45">
      <c r="A174" t="str">
        <f t="shared" si="14"/>
        <v>17801</v>
      </c>
      <c r="B174" t="s">
        <v>19</v>
      </c>
      <c r="C174" t="str">
        <f t="shared" si="15"/>
        <v>17412</v>
      </c>
      <c r="D174" t="s">
        <v>1040</v>
      </c>
      <c r="E174" t="str">
        <f>"2703"</f>
        <v>2703</v>
      </c>
      <c r="F174" t="s">
        <v>1066</v>
      </c>
      <c r="G174" t="s">
        <v>70</v>
      </c>
      <c r="H174">
        <v>6</v>
      </c>
      <c r="I174" t="s">
        <v>1067</v>
      </c>
      <c r="K174" t="s">
        <v>1043</v>
      </c>
      <c r="L174" t="s">
        <v>25</v>
      </c>
      <c r="M174" t="s">
        <v>1068</v>
      </c>
      <c r="N174" t="s">
        <v>1069</v>
      </c>
      <c r="O174" t="s">
        <v>1070</v>
      </c>
      <c r="P174" t="s">
        <v>1071</v>
      </c>
      <c r="Q174" t="s">
        <v>30</v>
      </c>
      <c r="R174" t="s">
        <v>31</v>
      </c>
      <c r="S174" t="s">
        <v>32</v>
      </c>
    </row>
    <row r="175" spans="1:19" x14ac:dyDescent="0.45">
      <c r="A175" t="str">
        <f t="shared" si="14"/>
        <v>17801</v>
      </c>
      <c r="B175" t="s">
        <v>19</v>
      </c>
      <c r="C175" t="str">
        <f t="shared" si="15"/>
        <v>17412</v>
      </c>
      <c r="D175" t="s">
        <v>1040</v>
      </c>
      <c r="E175" t="str">
        <f>"2990"</f>
        <v>2990</v>
      </c>
      <c r="F175" t="s">
        <v>1072</v>
      </c>
      <c r="G175" t="s">
        <v>70</v>
      </c>
      <c r="H175">
        <v>6</v>
      </c>
      <c r="I175" t="s">
        <v>1073</v>
      </c>
      <c r="K175" t="s">
        <v>1043</v>
      </c>
      <c r="L175" t="s">
        <v>25</v>
      </c>
      <c r="M175" t="s">
        <v>1074</v>
      </c>
      <c r="N175" t="s">
        <v>1075</v>
      </c>
      <c r="O175" t="s">
        <v>1076</v>
      </c>
      <c r="P175" t="s">
        <v>1077</v>
      </c>
      <c r="Q175" t="s">
        <v>30</v>
      </c>
      <c r="R175" t="s">
        <v>31</v>
      </c>
      <c r="S175" t="s">
        <v>32</v>
      </c>
    </row>
    <row r="176" spans="1:19" x14ac:dyDescent="0.45">
      <c r="A176" t="str">
        <f t="shared" si="14"/>
        <v>17801</v>
      </c>
      <c r="B176" t="s">
        <v>19</v>
      </c>
      <c r="C176" t="str">
        <f t="shared" si="15"/>
        <v>17412</v>
      </c>
      <c r="D176" t="s">
        <v>1040</v>
      </c>
      <c r="E176" t="str">
        <f>"3104"</f>
        <v>3104</v>
      </c>
      <c r="F176" t="s">
        <v>1078</v>
      </c>
      <c r="G176" t="s">
        <v>70</v>
      </c>
      <c r="H176">
        <v>6</v>
      </c>
      <c r="I176" t="s">
        <v>1079</v>
      </c>
      <c r="K176" t="s">
        <v>1043</v>
      </c>
      <c r="L176" t="s">
        <v>25</v>
      </c>
      <c r="M176" t="s">
        <v>1080</v>
      </c>
      <c r="N176" t="s">
        <v>1081</v>
      </c>
      <c r="O176" t="s">
        <v>1082</v>
      </c>
      <c r="P176" t="s">
        <v>1083</v>
      </c>
      <c r="Q176" t="s">
        <v>30</v>
      </c>
      <c r="R176" t="s">
        <v>31</v>
      </c>
      <c r="S176" t="s">
        <v>32</v>
      </c>
    </row>
    <row r="177" spans="1:19" x14ac:dyDescent="0.45">
      <c r="A177" t="str">
        <f t="shared" si="14"/>
        <v>17801</v>
      </c>
      <c r="B177" t="s">
        <v>19</v>
      </c>
      <c r="C177" t="str">
        <f t="shared" si="15"/>
        <v>17412</v>
      </c>
      <c r="D177" t="s">
        <v>1040</v>
      </c>
      <c r="E177" t="str">
        <f>"3230"</f>
        <v>3230</v>
      </c>
      <c r="F177" t="s">
        <v>1084</v>
      </c>
      <c r="G177" t="s">
        <v>70</v>
      </c>
      <c r="H177">
        <v>6</v>
      </c>
      <c r="I177" t="s">
        <v>1085</v>
      </c>
      <c r="K177" t="s">
        <v>1055</v>
      </c>
      <c r="L177" t="s">
        <v>25</v>
      </c>
      <c r="M177" t="s">
        <v>1086</v>
      </c>
      <c r="N177" t="s">
        <v>1087</v>
      </c>
      <c r="O177" t="s">
        <v>1088</v>
      </c>
      <c r="P177" t="s">
        <v>1089</v>
      </c>
      <c r="Q177" t="s">
        <v>30</v>
      </c>
      <c r="R177" t="s">
        <v>31</v>
      </c>
      <c r="S177" t="s">
        <v>32</v>
      </c>
    </row>
    <row r="178" spans="1:19" x14ac:dyDescent="0.45">
      <c r="A178" t="str">
        <f t="shared" si="14"/>
        <v>17801</v>
      </c>
      <c r="B178" t="s">
        <v>19</v>
      </c>
      <c r="C178" t="str">
        <f t="shared" si="15"/>
        <v>17412</v>
      </c>
      <c r="D178" t="s">
        <v>1040</v>
      </c>
      <c r="E178" t="str">
        <f>"3231"</f>
        <v>3231</v>
      </c>
      <c r="F178" t="s">
        <v>1090</v>
      </c>
      <c r="G178" t="s">
        <v>70</v>
      </c>
      <c r="H178">
        <v>6</v>
      </c>
      <c r="I178" t="s">
        <v>1091</v>
      </c>
      <c r="K178" t="s">
        <v>1043</v>
      </c>
      <c r="L178" t="s">
        <v>25</v>
      </c>
      <c r="M178" t="s">
        <v>1092</v>
      </c>
      <c r="N178" t="s">
        <v>1093</v>
      </c>
      <c r="O178" t="s">
        <v>1094</v>
      </c>
      <c r="P178" t="s">
        <v>1095</v>
      </c>
      <c r="Q178" t="s">
        <v>30</v>
      </c>
      <c r="R178" t="s">
        <v>31</v>
      </c>
      <c r="S178" t="s">
        <v>32</v>
      </c>
    </row>
    <row r="179" spans="1:19" x14ac:dyDescent="0.45">
      <c r="A179" t="str">
        <f t="shared" si="14"/>
        <v>17801</v>
      </c>
      <c r="B179" t="s">
        <v>19</v>
      </c>
      <c r="C179" t="str">
        <f t="shared" si="15"/>
        <v>17412</v>
      </c>
      <c r="D179" t="s">
        <v>1040</v>
      </c>
      <c r="E179" t="str">
        <f>"3343"</f>
        <v>3343</v>
      </c>
      <c r="F179" t="s">
        <v>1096</v>
      </c>
      <c r="G179">
        <v>9</v>
      </c>
      <c r="H179">
        <v>12</v>
      </c>
      <c r="I179" t="s">
        <v>1097</v>
      </c>
      <c r="K179" t="s">
        <v>1043</v>
      </c>
      <c r="L179" t="s">
        <v>25</v>
      </c>
      <c r="M179" t="s">
        <v>1098</v>
      </c>
      <c r="N179" t="s">
        <v>1099</v>
      </c>
      <c r="O179" t="s">
        <v>1100</v>
      </c>
      <c r="P179" t="s">
        <v>1101</v>
      </c>
      <c r="Q179" t="s">
        <v>30</v>
      </c>
      <c r="R179" t="s">
        <v>31</v>
      </c>
      <c r="S179" t="s">
        <v>58</v>
      </c>
    </row>
    <row r="180" spans="1:19" x14ac:dyDescent="0.45">
      <c r="A180" t="str">
        <f t="shared" si="14"/>
        <v>17801</v>
      </c>
      <c r="B180" t="s">
        <v>19</v>
      </c>
      <c r="C180" t="str">
        <f t="shared" si="15"/>
        <v>17412</v>
      </c>
      <c r="D180" t="s">
        <v>1040</v>
      </c>
      <c r="E180" t="str">
        <f>"3387"</f>
        <v>3387</v>
      </c>
      <c r="F180" t="s">
        <v>1102</v>
      </c>
      <c r="G180">
        <v>7</v>
      </c>
      <c r="H180">
        <v>8</v>
      </c>
      <c r="I180" t="s">
        <v>1103</v>
      </c>
      <c r="K180" t="s">
        <v>1043</v>
      </c>
      <c r="L180" t="s">
        <v>25</v>
      </c>
      <c r="M180" t="s">
        <v>1104</v>
      </c>
      <c r="N180" t="s">
        <v>1105</v>
      </c>
      <c r="O180" t="s">
        <v>1106</v>
      </c>
      <c r="P180" t="s">
        <v>1107</v>
      </c>
      <c r="Q180" t="s">
        <v>30</v>
      </c>
      <c r="R180" t="s">
        <v>31</v>
      </c>
      <c r="S180" t="s">
        <v>104</v>
      </c>
    </row>
    <row r="181" spans="1:19" x14ac:dyDescent="0.45">
      <c r="A181" t="str">
        <f>"32801"</f>
        <v>32801</v>
      </c>
      <c r="B181" t="s">
        <v>1108</v>
      </c>
      <c r="C181" t="str">
        <f>"01109"</f>
        <v>01109</v>
      </c>
      <c r="D181" t="s">
        <v>1109</v>
      </c>
      <c r="E181" t="str">
        <f>"3075"</f>
        <v>3075</v>
      </c>
      <c r="F181" t="s">
        <v>1110</v>
      </c>
      <c r="G181" t="s">
        <v>22</v>
      </c>
      <c r="H181">
        <v>12</v>
      </c>
      <c r="I181" t="s">
        <v>1111</v>
      </c>
      <c r="K181" t="s">
        <v>1112</v>
      </c>
      <c r="L181" t="s">
        <v>25</v>
      </c>
      <c r="M181" t="s">
        <v>1113</v>
      </c>
      <c r="N181" t="s">
        <v>1114</v>
      </c>
      <c r="O181" t="s">
        <v>1115</v>
      </c>
      <c r="P181" t="s">
        <v>1116</v>
      </c>
      <c r="Q181" t="s">
        <v>30</v>
      </c>
      <c r="R181" t="s">
        <v>31</v>
      </c>
      <c r="S181" t="s">
        <v>68</v>
      </c>
    </row>
    <row r="182" spans="1:19" x14ac:dyDescent="0.45">
      <c r="A182" t="str">
        <f>"32801"</f>
        <v>32801</v>
      </c>
      <c r="B182" t="s">
        <v>1108</v>
      </c>
      <c r="C182" t="str">
        <f>"01122"</f>
        <v>01122</v>
      </c>
      <c r="D182" t="s">
        <v>1117</v>
      </c>
      <c r="E182" t="str">
        <f>"3142"</f>
        <v>3142</v>
      </c>
      <c r="F182" t="s">
        <v>1118</v>
      </c>
      <c r="G182" t="s">
        <v>70</v>
      </c>
      <c r="H182">
        <v>6</v>
      </c>
      <c r="I182" t="s">
        <v>1119</v>
      </c>
      <c r="K182" t="s">
        <v>1120</v>
      </c>
      <c r="L182" t="s">
        <v>25</v>
      </c>
      <c r="M182" t="s">
        <v>1121</v>
      </c>
      <c r="N182" t="s">
        <v>79</v>
      </c>
      <c r="Q182" t="s">
        <v>30</v>
      </c>
      <c r="R182" t="s">
        <v>31</v>
      </c>
      <c r="S182" t="s">
        <v>32</v>
      </c>
    </row>
    <row r="183" spans="1:19" x14ac:dyDescent="0.45">
      <c r="A183" t="str">
        <f>"11801"</f>
        <v>11801</v>
      </c>
      <c r="B183" t="s">
        <v>1122</v>
      </c>
      <c r="C183" t="str">
        <f>"01147"</f>
        <v>01147</v>
      </c>
      <c r="D183" t="s">
        <v>1123</v>
      </c>
      <c r="E183" t="str">
        <f>"2902"</f>
        <v>2902</v>
      </c>
      <c r="F183" t="s">
        <v>1124</v>
      </c>
      <c r="G183" t="s">
        <v>70</v>
      </c>
      <c r="H183">
        <v>6</v>
      </c>
      <c r="I183" t="s">
        <v>1125</v>
      </c>
      <c r="K183" t="s">
        <v>1126</v>
      </c>
      <c r="L183" t="s">
        <v>25</v>
      </c>
      <c r="M183" t="s">
        <v>1127</v>
      </c>
      <c r="N183" t="s">
        <v>1128</v>
      </c>
      <c r="O183" t="s">
        <v>1129</v>
      </c>
      <c r="P183" t="s">
        <v>1130</v>
      </c>
      <c r="Q183" t="s">
        <v>30</v>
      </c>
      <c r="R183" t="s">
        <v>31</v>
      </c>
      <c r="S183" t="s">
        <v>32</v>
      </c>
    </row>
    <row r="184" spans="1:19" x14ac:dyDescent="0.45">
      <c r="A184" t="str">
        <f>"11801"</f>
        <v>11801</v>
      </c>
      <c r="B184" t="s">
        <v>1122</v>
      </c>
      <c r="C184" t="str">
        <f>"01147"</f>
        <v>01147</v>
      </c>
      <c r="D184" t="s">
        <v>1123</v>
      </c>
      <c r="E184" t="str">
        <f>"2961"</f>
        <v>2961</v>
      </c>
      <c r="F184" t="s">
        <v>1131</v>
      </c>
      <c r="G184" t="s">
        <v>70</v>
      </c>
      <c r="H184">
        <v>6</v>
      </c>
      <c r="I184" t="s">
        <v>1132</v>
      </c>
      <c r="K184" t="s">
        <v>1126</v>
      </c>
      <c r="L184" t="s">
        <v>25</v>
      </c>
      <c r="M184" t="s">
        <v>1127</v>
      </c>
      <c r="N184" t="s">
        <v>1133</v>
      </c>
      <c r="O184" t="s">
        <v>1134</v>
      </c>
      <c r="P184" t="s">
        <v>1135</v>
      </c>
      <c r="Q184" t="s">
        <v>30</v>
      </c>
      <c r="R184" t="s">
        <v>31</v>
      </c>
      <c r="S184" t="s">
        <v>32</v>
      </c>
    </row>
    <row r="185" spans="1:19" x14ac:dyDescent="0.45">
      <c r="A185" t="str">
        <f>"11801"</f>
        <v>11801</v>
      </c>
      <c r="B185" t="s">
        <v>1122</v>
      </c>
      <c r="C185" t="str">
        <f>"01147"</f>
        <v>01147</v>
      </c>
      <c r="D185" t="s">
        <v>1123</v>
      </c>
      <c r="E185" t="str">
        <f>"3015"</f>
        <v>3015</v>
      </c>
      <c r="F185" t="s">
        <v>1136</v>
      </c>
      <c r="G185">
        <v>9</v>
      </c>
      <c r="H185">
        <v>12</v>
      </c>
      <c r="I185" t="s">
        <v>1137</v>
      </c>
      <c r="K185" t="s">
        <v>1126</v>
      </c>
      <c r="L185" t="s">
        <v>25</v>
      </c>
      <c r="M185" t="s">
        <v>1127</v>
      </c>
      <c r="N185" t="s">
        <v>1138</v>
      </c>
      <c r="O185" t="s">
        <v>1139</v>
      </c>
      <c r="P185" t="s">
        <v>1140</v>
      </c>
      <c r="Q185" t="s">
        <v>30</v>
      </c>
      <c r="R185" t="s">
        <v>31</v>
      </c>
      <c r="S185" t="s">
        <v>58</v>
      </c>
    </row>
    <row r="186" spans="1:19" x14ac:dyDescent="0.45">
      <c r="A186" t="str">
        <f>"11801"</f>
        <v>11801</v>
      </c>
      <c r="B186" t="s">
        <v>1122</v>
      </c>
      <c r="C186" t="str">
        <f>"01147"</f>
        <v>01147</v>
      </c>
      <c r="D186" t="s">
        <v>1123</v>
      </c>
      <c r="E186" t="str">
        <f>"3471"</f>
        <v>3471</v>
      </c>
      <c r="F186" t="s">
        <v>1141</v>
      </c>
      <c r="G186">
        <v>6</v>
      </c>
      <c r="H186">
        <v>8</v>
      </c>
      <c r="I186" t="s">
        <v>1142</v>
      </c>
      <c r="K186" t="s">
        <v>1126</v>
      </c>
      <c r="L186" t="s">
        <v>25</v>
      </c>
      <c r="M186" t="s">
        <v>1127</v>
      </c>
      <c r="N186" t="s">
        <v>1143</v>
      </c>
      <c r="O186" t="s">
        <v>1144</v>
      </c>
      <c r="P186" t="s">
        <v>1145</v>
      </c>
      <c r="Q186" t="s">
        <v>30</v>
      </c>
      <c r="R186" t="s">
        <v>31</v>
      </c>
      <c r="S186" t="s">
        <v>104</v>
      </c>
    </row>
    <row r="187" spans="1:19" x14ac:dyDescent="0.45">
      <c r="A187" t="str">
        <f>"11801"</f>
        <v>11801</v>
      </c>
      <c r="B187" t="s">
        <v>1122</v>
      </c>
      <c r="C187" t="str">
        <f>"01147"</f>
        <v>01147</v>
      </c>
      <c r="D187" t="s">
        <v>1123</v>
      </c>
      <c r="E187" t="str">
        <f>"3730"</f>
        <v>3730</v>
      </c>
      <c r="F187" t="s">
        <v>1146</v>
      </c>
      <c r="G187" t="s">
        <v>70</v>
      </c>
      <c r="H187">
        <v>6</v>
      </c>
      <c r="I187" t="s">
        <v>1147</v>
      </c>
      <c r="K187" t="s">
        <v>1126</v>
      </c>
      <c r="L187" t="s">
        <v>25</v>
      </c>
      <c r="M187" t="s">
        <v>1127</v>
      </c>
      <c r="N187" t="s">
        <v>1148</v>
      </c>
      <c r="O187" t="s">
        <v>1149</v>
      </c>
      <c r="P187" t="s">
        <v>1150</v>
      </c>
      <c r="Q187" t="s">
        <v>30</v>
      </c>
      <c r="R187" t="s">
        <v>31</v>
      </c>
      <c r="S187" t="s">
        <v>32</v>
      </c>
    </row>
    <row r="188" spans="1:19" x14ac:dyDescent="0.45">
      <c r="A188" t="str">
        <f>"32801"</f>
        <v>32801</v>
      </c>
      <c r="B188" t="s">
        <v>1108</v>
      </c>
      <c r="C188" t="str">
        <f>"01158"</f>
        <v>01158</v>
      </c>
      <c r="D188" t="s">
        <v>1151</v>
      </c>
      <c r="E188" t="str">
        <f>"2903"</f>
        <v>2903</v>
      </c>
      <c r="F188" t="s">
        <v>1152</v>
      </c>
      <c r="G188">
        <v>9</v>
      </c>
      <c r="H188">
        <v>12</v>
      </c>
      <c r="I188" t="s">
        <v>1153</v>
      </c>
      <c r="K188" t="s">
        <v>1154</v>
      </c>
      <c r="L188" t="s">
        <v>25</v>
      </c>
      <c r="M188">
        <v>99169</v>
      </c>
      <c r="N188" t="s">
        <v>1155</v>
      </c>
      <c r="O188" t="s">
        <v>1156</v>
      </c>
      <c r="P188" t="s">
        <v>1157</v>
      </c>
      <c r="Q188" t="s">
        <v>30</v>
      </c>
      <c r="R188" t="s">
        <v>31</v>
      </c>
      <c r="S188" t="s">
        <v>159</v>
      </c>
    </row>
    <row r="189" spans="1:19" x14ac:dyDescent="0.45">
      <c r="A189" t="str">
        <f>"32801"</f>
        <v>32801</v>
      </c>
      <c r="B189" t="s">
        <v>1108</v>
      </c>
      <c r="C189" t="str">
        <f>"01158"</f>
        <v>01158</v>
      </c>
      <c r="D189" t="s">
        <v>1151</v>
      </c>
      <c r="E189" t="str">
        <f>"3421"</f>
        <v>3421</v>
      </c>
      <c r="F189" t="s">
        <v>1158</v>
      </c>
      <c r="G189" t="s">
        <v>22</v>
      </c>
      <c r="H189">
        <v>5</v>
      </c>
      <c r="I189" t="s">
        <v>1159</v>
      </c>
      <c r="K189" t="s">
        <v>1160</v>
      </c>
      <c r="L189" t="s">
        <v>25</v>
      </c>
      <c r="M189" t="s">
        <v>1161</v>
      </c>
      <c r="N189" t="s">
        <v>1162</v>
      </c>
      <c r="O189" t="s">
        <v>1163</v>
      </c>
      <c r="P189" t="s">
        <v>1164</v>
      </c>
      <c r="Q189" t="s">
        <v>30</v>
      </c>
      <c r="R189" t="s">
        <v>31</v>
      </c>
      <c r="S189" t="s">
        <v>32</v>
      </c>
    </row>
    <row r="190" spans="1:19" x14ac:dyDescent="0.45">
      <c r="A190" t="str">
        <f>"32801"</f>
        <v>32801</v>
      </c>
      <c r="B190" t="s">
        <v>1108</v>
      </c>
      <c r="C190" t="str">
        <f>"01160"</f>
        <v>01160</v>
      </c>
      <c r="D190" t="s">
        <v>1165</v>
      </c>
      <c r="E190" t="str">
        <f>"2132"</f>
        <v>2132</v>
      </c>
      <c r="F190" t="s">
        <v>1166</v>
      </c>
      <c r="G190">
        <v>9</v>
      </c>
      <c r="H190">
        <v>12</v>
      </c>
      <c r="I190" t="s">
        <v>1167</v>
      </c>
      <c r="K190" t="s">
        <v>1154</v>
      </c>
      <c r="L190" t="s">
        <v>25</v>
      </c>
      <c r="M190" t="s">
        <v>1168</v>
      </c>
      <c r="N190" t="s">
        <v>1169</v>
      </c>
      <c r="O190" t="s">
        <v>1170</v>
      </c>
      <c r="P190" t="s">
        <v>1157</v>
      </c>
      <c r="Q190" t="s">
        <v>30</v>
      </c>
      <c r="R190" t="s">
        <v>31</v>
      </c>
      <c r="S190" t="s">
        <v>58</v>
      </c>
    </row>
    <row r="191" spans="1:19" x14ac:dyDescent="0.45">
      <c r="A191" t="str">
        <f>"32801"</f>
        <v>32801</v>
      </c>
      <c r="B191" t="s">
        <v>1108</v>
      </c>
      <c r="C191" t="str">
        <f>"01160"</f>
        <v>01160</v>
      </c>
      <c r="D191" t="s">
        <v>1165</v>
      </c>
      <c r="E191" t="str">
        <f>"2719"</f>
        <v>2719</v>
      </c>
      <c r="F191" t="s">
        <v>1171</v>
      </c>
      <c r="G191" t="s">
        <v>70</v>
      </c>
      <c r="H191">
        <v>5</v>
      </c>
      <c r="I191" t="s">
        <v>1172</v>
      </c>
      <c r="K191" t="s">
        <v>1154</v>
      </c>
      <c r="L191" t="s">
        <v>25</v>
      </c>
      <c r="M191" t="s">
        <v>1168</v>
      </c>
      <c r="N191" t="s">
        <v>1173</v>
      </c>
      <c r="O191" t="s">
        <v>1174</v>
      </c>
      <c r="P191" t="s">
        <v>1175</v>
      </c>
      <c r="Q191" t="s">
        <v>30</v>
      </c>
      <c r="R191" t="s">
        <v>31</v>
      </c>
      <c r="S191" t="s">
        <v>159</v>
      </c>
    </row>
    <row r="192" spans="1:19" x14ac:dyDescent="0.45">
      <c r="A192" t="str">
        <f t="shared" ref="A192:A223" si="16">"11801"</f>
        <v>11801</v>
      </c>
      <c r="B192" t="s">
        <v>1122</v>
      </c>
      <c r="C192" t="str">
        <f t="shared" ref="C192:C199" si="17">"02250"</f>
        <v>02250</v>
      </c>
      <c r="D192" t="s">
        <v>1176</v>
      </c>
      <c r="E192" t="str">
        <f>"1617"</f>
        <v>1617</v>
      </c>
      <c r="F192" t="s">
        <v>1177</v>
      </c>
      <c r="G192">
        <v>7</v>
      </c>
      <c r="H192">
        <v>12</v>
      </c>
      <c r="I192" t="s">
        <v>1178</v>
      </c>
      <c r="K192" t="s">
        <v>1179</v>
      </c>
      <c r="L192" t="s">
        <v>25</v>
      </c>
      <c r="M192" t="s">
        <v>1180</v>
      </c>
      <c r="N192" t="s">
        <v>1181</v>
      </c>
      <c r="O192" t="s">
        <v>1182</v>
      </c>
      <c r="P192" t="s">
        <v>1183</v>
      </c>
      <c r="Q192" t="s">
        <v>157</v>
      </c>
      <c r="R192" t="s">
        <v>158</v>
      </c>
      <c r="S192" t="s">
        <v>159</v>
      </c>
    </row>
    <row r="193" spans="1:19" x14ac:dyDescent="0.45">
      <c r="A193" t="str">
        <f t="shared" si="16"/>
        <v>11801</v>
      </c>
      <c r="B193" t="s">
        <v>1122</v>
      </c>
      <c r="C193" t="str">
        <f t="shared" si="17"/>
        <v>02250</v>
      </c>
      <c r="D193" t="s">
        <v>1176</v>
      </c>
      <c r="E193" t="str">
        <f>"2299"</f>
        <v>2299</v>
      </c>
      <c r="F193" t="s">
        <v>1184</v>
      </c>
      <c r="G193">
        <v>9</v>
      </c>
      <c r="H193">
        <v>12</v>
      </c>
      <c r="I193" t="s">
        <v>1185</v>
      </c>
      <c r="K193" t="s">
        <v>1179</v>
      </c>
      <c r="L193" t="s">
        <v>25</v>
      </c>
      <c r="M193" t="s">
        <v>1186</v>
      </c>
      <c r="N193" t="s">
        <v>1187</v>
      </c>
      <c r="O193" t="s">
        <v>1188</v>
      </c>
      <c r="P193" t="s">
        <v>1189</v>
      </c>
      <c r="Q193" t="s">
        <v>30</v>
      </c>
      <c r="R193" t="s">
        <v>31</v>
      </c>
      <c r="S193" t="s">
        <v>58</v>
      </c>
    </row>
    <row r="194" spans="1:19" x14ac:dyDescent="0.45">
      <c r="A194" t="str">
        <f t="shared" si="16"/>
        <v>11801</v>
      </c>
      <c r="B194" t="s">
        <v>1122</v>
      </c>
      <c r="C194" t="str">
        <f t="shared" si="17"/>
        <v>02250</v>
      </c>
      <c r="D194" t="s">
        <v>1176</v>
      </c>
      <c r="E194" t="str">
        <f>"2501"</f>
        <v>2501</v>
      </c>
      <c r="F194" t="s">
        <v>1190</v>
      </c>
      <c r="G194">
        <v>7</v>
      </c>
      <c r="H194">
        <v>8</v>
      </c>
      <c r="I194" t="s">
        <v>1191</v>
      </c>
      <c r="K194" t="s">
        <v>1179</v>
      </c>
      <c r="L194" t="s">
        <v>25</v>
      </c>
      <c r="M194" t="s">
        <v>1192</v>
      </c>
      <c r="N194" t="s">
        <v>1193</v>
      </c>
      <c r="O194" t="s">
        <v>1194</v>
      </c>
      <c r="P194" t="s">
        <v>1195</v>
      </c>
      <c r="Q194" t="s">
        <v>30</v>
      </c>
      <c r="R194" t="s">
        <v>31</v>
      </c>
      <c r="S194" t="s">
        <v>104</v>
      </c>
    </row>
    <row r="195" spans="1:19" x14ac:dyDescent="0.45">
      <c r="A195" t="str">
        <f t="shared" si="16"/>
        <v>11801</v>
      </c>
      <c r="B195" t="s">
        <v>1122</v>
      </c>
      <c r="C195" t="str">
        <f t="shared" si="17"/>
        <v>02250</v>
      </c>
      <c r="D195" t="s">
        <v>1176</v>
      </c>
      <c r="E195" t="str">
        <f>"2823"</f>
        <v>2823</v>
      </c>
      <c r="F195" t="s">
        <v>1196</v>
      </c>
      <c r="G195" t="s">
        <v>70</v>
      </c>
      <c r="H195">
        <v>6</v>
      </c>
      <c r="I195" t="s">
        <v>1197</v>
      </c>
      <c r="K195" t="s">
        <v>1179</v>
      </c>
      <c r="L195" t="s">
        <v>25</v>
      </c>
      <c r="M195" t="s">
        <v>1198</v>
      </c>
      <c r="N195" t="s">
        <v>1199</v>
      </c>
      <c r="O195" t="s">
        <v>1200</v>
      </c>
      <c r="P195" t="s">
        <v>1201</v>
      </c>
      <c r="Q195" t="s">
        <v>30</v>
      </c>
      <c r="R195" t="s">
        <v>31</v>
      </c>
      <c r="S195" t="s">
        <v>32</v>
      </c>
    </row>
    <row r="196" spans="1:19" x14ac:dyDescent="0.45">
      <c r="A196" t="str">
        <f t="shared" si="16"/>
        <v>11801</v>
      </c>
      <c r="B196" t="s">
        <v>1122</v>
      </c>
      <c r="C196" t="str">
        <f t="shared" si="17"/>
        <v>02250</v>
      </c>
      <c r="D196" t="s">
        <v>1176</v>
      </c>
      <c r="E196" t="str">
        <f>"2962"</f>
        <v>2962</v>
      </c>
      <c r="F196" t="s">
        <v>1202</v>
      </c>
      <c r="G196" t="s">
        <v>70</v>
      </c>
      <c r="H196">
        <v>6</v>
      </c>
      <c r="I196" t="s">
        <v>1203</v>
      </c>
      <c r="K196" t="s">
        <v>1179</v>
      </c>
      <c r="L196" t="s">
        <v>25</v>
      </c>
      <c r="M196" t="s">
        <v>1204</v>
      </c>
      <c r="N196" t="s">
        <v>1205</v>
      </c>
      <c r="O196" t="s">
        <v>1206</v>
      </c>
      <c r="P196" t="s">
        <v>1207</v>
      </c>
      <c r="Q196" t="s">
        <v>30</v>
      </c>
      <c r="R196" t="s">
        <v>31</v>
      </c>
      <c r="S196" t="s">
        <v>32</v>
      </c>
    </row>
    <row r="197" spans="1:19" x14ac:dyDescent="0.45">
      <c r="A197" t="str">
        <f t="shared" si="16"/>
        <v>11801</v>
      </c>
      <c r="B197" t="s">
        <v>1122</v>
      </c>
      <c r="C197" t="str">
        <f t="shared" si="17"/>
        <v>02250</v>
      </c>
      <c r="D197" t="s">
        <v>1176</v>
      </c>
      <c r="E197" t="str">
        <f>"3266"</f>
        <v>3266</v>
      </c>
      <c r="F197" t="s">
        <v>1208</v>
      </c>
      <c r="G197" t="s">
        <v>70</v>
      </c>
      <c r="H197">
        <v>6</v>
      </c>
      <c r="I197" t="s">
        <v>1209</v>
      </c>
      <c r="K197" t="s">
        <v>1179</v>
      </c>
      <c r="L197" t="s">
        <v>25</v>
      </c>
      <c r="M197" t="s">
        <v>1210</v>
      </c>
      <c r="N197" t="s">
        <v>1211</v>
      </c>
      <c r="O197" t="s">
        <v>1212</v>
      </c>
      <c r="P197" t="s">
        <v>1213</v>
      </c>
      <c r="Q197" t="s">
        <v>30</v>
      </c>
      <c r="R197" t="s">
        <v>31</v>
      </c>
      <c r="S197" t="s">
        <v>32</v>
      </c>
    </row>
    <row r="198" spans="1:19" x14ac:dyDescent="0.45">
      <c r="A198" t="str">
        <f t="shared" si="16"/>
        <v>11801</v>
      </c>
      <c r="B198" t="s">
        <v>1122</v>
      </c>
      <c r="C198" t="str">
        <f t="shared" si="17"/>
        <v>02250</v>
      </c>
      <c r="D198" t="s">
        <v>1176</v>
      </c>
      <c r="E198" t="str">
        <f>"3616"</f>
        <v>3616</v>
      </c>
      <c r="F198" t="s">
        <v>1214</v>
      </c>
      <c r="G198" t="s">
        <v>22</v>
      </c>
      <c r="H198">
        <v>12</v>
      </c>
      <c r="I198" t="s">
        <v>1215</v>
      </c>
      <c r="K198" t="s">
        <v>1179</v>
      </c>
      <c r="L198" t="s">
        <v>25</v>
      </c>
      <c r="M198" t="s">
        <v>1216</v>
      </c>
      <c r="N198" t="s">
        <v>1217</v>
      </c>
      <c r="O198" t="s">
        <v>1218</v>
      </c>
      <c r="P198" t="s">
        <v>1219</v>
      </c>
      <c r="Q198" t="s">
        <v>66</v>
      </c>
      <c r="R198" t="s">
        <v>67</v>
      </c>
      <c r="S198" t="s">
        <v>68</v>
      </c>
    </row>
    <row r="199" spans="1:19" x14ac:dyDescent="0.45">
      <c r="A199" t="str">
        <f t="shared" si="16"/>
        <v>11801</v>
      </c>
      <c r="B199" t="s">
        <v>1122</v>
      </c>
      <c r="C199" t="str">
        <f t="shared" si="17"/>
        <v>02250</v>
      </c>
      <c r="D199" t="s">
        <v>1176</v>
      </c>
      <c r="E199" t="str">
        <f>"4384"</f>
        <v>4384</v>
      </c>
      <c r="F199" t="s">
        <v>1220</v>
      </c>
      <c r="G199" t="s">
        <v>70</v>
      </c>
      <c r="H199">
        <v>6</v>
      </c>
      <c r="I199" t="s">
        <v>1221</v>
      </c>
      <c r="K199" t="s">
        <v>1179</v>
      </c>
      <c r="L199" t="s">
        <v>25</v>
      </c>
      <c r="M199" t="s">
        <v>1192</v>
      </c>
      <c r="N199" t="s">
        <v>1222</v>
      </c>
      <c r="O199" t="s">
        <v>1223</v>
      </c>
      <c r="P199" t="s">
        <v>1224</v>
      </c>
      <c r="Q199" t="s">
        <v>30</v>
      </c>
      <c r="R199" t="s">
        <v>31</v>
      </c>
      <c r="S199" t="s">
        <v>32</v>
      </c>
    </row>
    <row r="200" spans="1:19" x14ac:dyDescent="0.45">
      <c r="A200" t="str">
        <f t="shared" si="16"/>
        <v>11801</v>
      </c>
      <c r="B200" t="s">
        <v>1122</v>
      </c>
      <c r="C200" t="str">
        <f>"02420"</f>
        <v>02420</v>
      </c>
      <c r="D200" t="s">
        <v>1225</v>
      </c>
      <c r="E200" t="str">
        <f>"2434"</f>
        <v>2434</v>
      </c>
      <c r="F200" t="s">
        <v>1226</v>
      </c>
      <c r="G200">
        <v>6</v>
      </c>
      <c r="H200">
        <v>12</v>
      </c>
      <c r="I200" t="s">
        <v>1227</v>
      </c>
      <c r="K200" t="s">
        <v>1228</v>
      </c>
      <c r="L200" t="s">
        <v>25</v>
      </c>
      <c r="M200" t="s">
        <v>1229</v>
      </c>
      <c r="N200" t="s">
        <v>79</v>
      </c>
      <c r="Q200" t="s">
        <v>30</v>
      </c>
      <c r="R200" t="s">
        <v>31</v>
      </c>
      <c r="S200" t="s">
        <v>159</v>
      </c>
    </row>
    <row r="201" spans="1:19" x14ac:dyDescent="0.45">
      <c r="A201" t="str">
        <f t="shared" si="16"/>
        <v>11801</v>
      </c>
      <c r="B201" t="s">
        <v>1122</v>
      </c>
      <c r="C201" t="str">
        <f>"02420"</f>
        <v>02420</v>
      </c>
      <c r="D201" t="s">
        <v>1225</v>
      </c>
      <c r="E201" t="str">
        <f>"2507"</f>
        <v>2507</v>
      </c>
      <c r="F201" t="s">
        <v>1230</v>
      </c>
      <c r="G201" t="s">
        <v>22</v>
      </c>
      <c r="H201">
        <v>5</v>
      </c>
      <c r="I201" t="s">
        <v>1231</v>
      </c>
      <c r="K201" t="s">
        <v>1228</v>
      </c>
      <c r="L201" t="s">
        <v>25</v>
      </c>
      <c r="M201" t="s">
        <v>1229</v>
      </c>
      <c r="N201" t="s">
        <v>1232</v>
      </c>
      <c r="O201" t="s">
        <v>1233</v>
      </c>
      <c r="P201" t="s">
        <v>1234</v>
      </c>
      <c r="Q201" t="s">
        <v>30</v>
      </c>
      <c r="R201" t="s">
        <v>31</v>
      </c>
      <c r="S201" t="s">
        <v>32</v>
      </c>
    </row>
    <row r="202" spans="1:19" x14ac:dyDescent="0.45">
      <c r="A202" t="str">
        <f t="shared" si="16"/>
        <v>11801</v>
      </c>
      <c r="B202" t="s">
        <v>1122</v>
      </c>
      <c r="C202" t="str">
        <f t="shared" ref="C202:C225" si="18">"03017"</f>
        <v>03017</v>
      </c>
      <c r="D202" t="s">
        <v>1235</v>
      </c>
      <c r="E202" t="str">
        <f>"1884"</f>
        <v>1884</v>
      </c>
      <c r="F202" t="s">
        <v>1236</v>
      </c>
      <c r="G202">
        <v>6</v>
      </c>
      <c r="H202">
        <v>12</v>
      </c>
      <c r="I202" t="s">
        <v>1237</v>
      </c>
      <c r="K202" t="s">
        <v>1238</v>
      </c>
      <c r="L202" t="s">
        <v>25</v>
      </c>
      <c r="M202">
        <v>99338</v>
      </c>
      <c r="N202" t="s">
        <v>1239</v>
      </c>
      <c r="O202" t="s">
        <v>1240</v>
      </c>
      <c r="P202" t="s">
        <v>1241</v>
      </c>
      <c r="Q202" t="s">
        <v>157</v>
      </c>
      <c r="R202" t="s">
        <v>158</v>
      </c>
      <c r="S202" t="s">
        <v>159</v>
      </c>
    </row>
    <row r="203" spans="1:19" x14ac:dyDescent="0.45">
      <c r="A203" t="str">
        <f t="shared" si="16"/>
        <v>11801</v>
      </c>
      <c r="B203" t="s">
        <v>1122</v>
      </c>
      <c r="C203" t="str">
        <f t="shared" si="18"/>
        <v>03017</v>
      </c>
      <c r="D203" t="s">
        <v>1235</v>
      </c>
      <c r="E203" t="str">
        <f>"2000"</f>
        <v>2000</v>
      </c>
      <c r="F203" t="s">
        <v>1242</v>
      </c>
      <c r="G203" t="s">
        <v>22</v>
      </c>
      <c r="H203" t="s">
        <v>22</v>
      </c>
      <c r="I203" t="s">
        <v>1243</v>
      </c>
      <c r="K203" t="s">
        <v>1238</v>
      </c>
      <c r="L203" t="s">
        <v>25</v>
      </c>
      <c r="M203" t="s">
        <v>1244</v>
      </c>
      <c r="N203" t="s">
        <v>1245</v>
      </c>
      <c r="O203" t="s">
        <v>1246</v>
      </c>
      <c r="P203" t="s">
        <v>1247</v>
      </c>
      <c r="Q203" t="s">
        <v>30</v>
      </c>
      <c r="R203" t="s">
        <v>31</v>
      </c>
      <c r="S203" t="s">
        <v>1248</v>
      </c>
    </row>
    <row r="204" spans="1:19" x14ac:dyDescent="0.45">
      <c r="A204" t="str">
        <f t="shared" si="16"/>
        <v>11801</v>
      </c>
      <c r="B204" t="s">
        <v>1122</v>
      </c>
      <c r="C204" t="str">
        <f t="shared" si="18"/>
        <v>03017</v>
      </c>
      <c r="D204" t="s">
        <v>1235</v>
      </c>
      <c r="E204" t="str">
        <f>"2824"</f>
        <v>2824</v>
      </c>
      <c r="F204" t="s">
        <v>506</v>
      </c>
      <c r="G204" t="s">
        <v>22</v>
      </c>
      <c r="H204">
        <v>5</v>
      </c>
      <c r="I204" t="s">
        <v>1249</v>
      </c>
      <c r="K204" t="s">
        <v>1238</v>
      </c>
      <c r="L204" t="s">
        <v>25</v>
      </c>
      <c r="M204" t="s">
        <v>1250</v>
      </c>
      <c r="N204" t="s">
        <v>1251</v>
      </c>
      <c r="O204" t="s">
        <v>1252</v>
      </c>
      <c r="P204" t="s">
        <v>1253</v>
      </c>
      <c r="Q204" t="s">
        <v>30</v>
      </c>
      <c r="R204" t="s">
        <v>31</v>
      </c>
      <c r="S204" t="s">
        <v>32</v>
      </c>
    </row>
    <row r="205" spans="1:19" x14ac:dyDescent="0.45">
      <c r="A205" t="str">
        <f t="shared" si="16"/>
        <v>11801</v>
      </c>
      <c r="B205" t="s">
        <v>1122</v>
      </c>
      <c r="C205" t="str">
        <f t="shared" si="18"/>
        <v>03017</v>
      </c>
      <c r="D205" t="s">
        <v>1235</v>
      </c>
      <c r="E205" t="str">
        <f>"2825"</f>
        <v>2825</v>
      </c>
      <c r="F205" t="s">
        <v>1254</v>
      </c>
      <c r="G205" t="s">
        <v>22</v>
      </c>
      <c r="H205">
        <v>5</v>
      </c>
      <c r="I205" t="s">
        <v>1255</v>
      </c>
      <c r="K205" t="s">
        <v>1238</v>
      </c>
      <c r="L205" t="s">
        <v>25</v>
      </c>
      <c r="M205" t="s">
        <v>1256</v>
      </c>
      <c r="N205" t="s">
        <v>1257</v>
      </c>
      <c r="O205" t="s">
        <v>1258</v>
      </c>
      <c r="P205" t="s">
        <v>1259</v>
      </c>
      <c r="Q205" t="s">
        <v>30</v>
      </c>
      <c r="R205" t="s">
        <v>31</v>
      </c>
      <c r="S205" t="s">
        <v>32</v>
      </c>
    </row>
    <row r="206" spans="1:19" x14ac:dyDescent="0.45">
      <c r="A206" t="str">
        <f t="shared" si="16"/>
        <v>11801</v>
      </c>
      <c r="B206" t="s">
        <v>1122</v>
      </c>
      <c r="C206" t="str">
        <f t="shared" si="18"/>
        <v>03017</v>
      </c>
      <c r="D206" t="s">
        <v>1235</v>
      </c>
      <c r="E206" t="str">
        <f>"2826"</f>
        <v>2826</v>
      </c>
      <c r="F206" t="s">
        <v>1260</v>
      </c>
      <c r="G206">
        <v>9</v>
      </c>
      <c r="H206">
        <v>12</v>
      </c>
      <c r="I206" t="s">
        <v>1261</v>
      </c>
      <c r="J206" t="s">
        <v>1262</v>
      </c>
      <c r="K206" t="s">
        <v>1263</v>
      </c>
      <c r="L206" t="s">
        <v>25</v>
      </c>
      <c r="M206">
        <v>99336</v>
      </c>
      <c r="N206" t="s">
        <v>1264</v>
      </c>
      <c r="O206" t="s">
        <v>1265</v>
      </c>
      <c r="P206" t="s">
        <v>1266</v>
      </c>
      <c r="Q206" t="s">
        <v>30</v>
      </c>
      <c r="R206" t="s">
        <v>31</v>
      </c>
      <c r="S206" t="s">
        <v>58</v>
      </c>
    </row>
    <row r="207" spans="1:19" x14ac:dyDescent="0.45">
      <c r="A207" t="str">
        <f t="shared" si="16"/>
        <v>11801</v>
      </c>
      <c r="B207" t="s">
        <v>1122</v>
      </c>
      <c r="C207" t="str">
        <f t="shared" si="18"/>
        <v>03017</v>
      </c>
      <c r="D207" t="s">
        <v>1235</v>
      </c>
      <c r="E207" t="str">
        <f>"3077"</f>
        <v>3077</v>
      </c>
      <c r="F207" t="s">
        <v>1267</v>
      </c>
      <c r="G207" t="s">
        <v>70</v>
      </c>
      <c r="H207">
        <v>5</v>
      </c>
      <c r="I207" t="s">
        <v>1268</v>
      </c>
      <c r="K207" t="s">
        <v>1238</v>
      </c>
      <c r="L207" t="s">
        <v>25</v>
      </c>
      <c r="M207" t="s">
        <v>1269</v>
      </c>
      <c r="N207" t="s">
        <v>1270</v>
      </c>
      <c r="O207" t="s">
        <v>1271</v>
      </c>
      <c r="P207" t="s">
        <v>1272</v>
      </c>
      <c r="Q207" t="s">
        <v>30</v>
      </c>
      <c r="R207" t="s">
        <v>31</v>
      </c>
      <c r="S207" t="s">
        <v>32</v>
      </c>
    </row>
    <row r="208" spans="1:19" x14ac:dyDescent="0.45">
      <c r="A208" t="str">
        <f t="shared" si="16"/>
        <v>11801</v>
      </c>
      <c r="B208" t="s">
        <v>1122</v>
      </c>
      <c r="C208" t="str">
        <f t="shared" si="18"/>
        <v>03017</v>
      </c>
      <c r="D208" t="s">
        <v>1235</v>
      </c>
      <c r="E208" t="str">
        <f>"3144"</f>
        <v>3144</v>
      </c>
      <c r="F208" t="s">
        <v>707</v>
      </c>
      <c r="G208" t="s">
        <v>70</v>
      </c>
      <c r="H208">
        <v>5</v>
      </c>
      <c r="I208" t="s">
        <v>1273</v>
      </c>
      <c r="K208" t="s">
        <v>1238</v>
      </c>
      <c r="L208" t="s">
        <v>25</v>
      </c>
      <c r="M208" t="s">
        <v>1274</v>
      </c>
      <c r="N208" t="s">
        <v>1275</v>
      </c>
      <c r="O208" t="s">
        <v>1276</v>
      </c>
      <c r="P208" t="s">
        <v>1277</v>
      </c>
      <c r="Q208" t="s">
        <v>30</v>
      </c>
      <c r="R208" t="s">
        <v>31</v>
      </c>
      <c r="S208" t="s">
        <v>32</v>
      </c>
    </row>
    <row r="209" spans="1:19" x14ac:dyDescent="0.45">
      <c r="A209" t="str">
        <f t="shared" si="16"/>
        <v>11801</v>
      </c>
      <c r="B209" t="s">
        <v>1122</v>
      </c>
      <c r="C209" t="str">
        <f t="shared" si="18"/>
        <v>03017</v>
      </c>
      <c r="D209" t="s">
        <v>1235</v>
      </c>
      <c r="E209" t="str">
        <f>"3267"</f>
        <v>3267</v>
      </c>
      <c r="F209" t="s">
        <v>1278</v>
      </c>
      <c r="G209">
        <v>6</v>
      </c>
      <c r="H209">
        <v>8</v>
      </c>
      <c r="I209" t="s">
        <v>1279</v>
      </c>
      <c r="K209" t="s">
        <v>1238</v>
      </c>
      <c r="L209" t="s">
        <v>25</v>
      </c>
      <c r="M209" t="s">
        <v>1280</v>
      </c>
      <c r="N209" t="s">
        <v>1281</v>
      </c>
      <c r="O209" t="s">
        <v>1282</v>
      </c>
      <c r="P209" t="s">
        <v>1283</v>
      </c>
      <c r="Q209" t="s">
        <v>30</v>
      </c>
      <c r="R209" t="s">
        <v>31</v>
      </c>
      <c r="S209" t="s">
        <v>104</v>
      </c>
    </row>
    <row r="210" spans="1:19" x14ac:dyDescent="0.45">
      <c r="A210" t="str">
        <f t="shared" si="16"/>
        <v>11801</v>
      </c>
      <c r="B210" t="s">
        <v>1122</v>
      </c>
      <c r="C210" t="str">
        <f t="shared" si="18"/>
        <v>03017</v>
      </c>
      <c r="D210" t="s">
        <v>1235</v>
      </c>
      <c r="E210" t="str">
        <f>"3315"</f>
        <v>3315</v>
      </c>
      <c r="F210" t="s">
        <v>1284</v>
      </c>
      <c r="G210" t="s">
        <v>22</v>
      </c>
      <c r="H210">
        <v>5</v>
      </c>
      <c r="I210" t="s">
        <v>1285</v>
      </c>
      <c r="K210" t="s">
        <v>1238</v>
      </c>
      <c r="L210" t="s">
        <v>25</v>
      </c>
      <c r="M210" t="s">
        <v>1286</v>
      </c>
      <c r="N210" t="s">
        <v>1287</v>
      </c>
      <c r="O210" t="s">
        <v>1288</v>
      </c>
      <c r="P210" t="s">
        <v>1289</v>
      </c>
      <c r="Q210" t="s">
        <v>30</v>
      </c>
      <c r="R210" t="s">
        <v>31</v>
      </c>
      <c r="S210" t="s">
        <v>32</v>
      </c>
    </row>
    <row r="211" spans="1:19" x14ac:dyDescent="0.45">
      <c r="A211" t="str">
        <f t="shared" si="16"/>
        <v>11801</v>
      </c>
      <c r="B211" t="s">
        <v>1122</v>
      </c>
      <c r="C211" t="str">
        <f t="shared" si="18"/>
        <v>03017</v>
      </c>
      <c r="D211" t="s">
        <v>1235</v>
      </c>
      <c r="E211" t="str">
        <f>"3369"</f>
        <v>3369</v>
      </c>
      <c r="F211" t="s">
        <v>1290</v>
      </c>
      <c r="G211" t="s">
        <v>70</v>
      </c>
      <c r="H211">
        <v>5</v>
      </c>
      <c r="I211" t="s">
        <v>1291</v>
      </c>
      <c r="K211" t="s">
        <v>1238</v>
      </c>
      <c r="L211" t="s">
        <v>25</v>
      </c>
      <c r="M211" t="s">
        <v>1292</v>
      </c>
      <c r="N211" t="s">
        <v>1293</v>
      </c>
      <c r="O211" t="s">
        <v>1294</v>
      </c>
      <c r="P211" t="s">
        <v>1295</v>
      </c>
      <c r="Q211" t="s">
        <v>30</v>
      </c>
      <c r="R211" t="s">
        <v>31</v>
      </c>
      <c r="S211" t="s">
        <v>32</v>
      </c>
    </row>
    <row r="212" spans="1:19" x14ac:dyDescent="0.45">
      <c r="A212" t="str">
        <f t="shared" si="16"/>
        <v>11801</v>
      </c>
      <c r="B212" t="s">
        <v>1122</v>
      </c>
      <c r="C212" t="str">
        <f t="shared" si="18"/>
        <v>03017</v>
      </c>
      <c r="D212" t="s">
        <v>1235</v>
      </c>
      <c r="E212" t="str">
        <f>"3472"</f>
        <v>3472</v>
      </c>
      <c r="F212" t="s">
        <v>1296</v>
      </c>
      <c r="G212">
        <v>6</v>
      </c>
      <c r="H212">
        <v>8</v>
      </c>
      <c r="I212" t="s">
        <v>1297</v>
      </c>
      <c r="K212" t="s">
        <v>1238</v>
      </c>
      <c r="L212" t="s">
        <v>25</v>
      </c>
      <c r="M212" t="s">
        <v>1298</v>
      </c>
      <c r="N212" t="s">
        <v>1299</v>
      </c>
      <c r="O212" t="s">
        <v>1300</v>
      </c>
      <c r="P212" t="s">
        <v>1301</v>
      </c>
      <c r="Q212" t="s">
        <v>30</v>
      </c>
      <c r="R212" t="s">
        <v>31</v>
      </c>
      <c r="S212" t="s">
        <v>104</v>
      </c>
    </row>
    <row r="213" spans="1:19" x14ac:dyDescent="0.45">
      <c r="A213" t="str">
        <f t="shared" si="16"/>
        <v>11801</v>
      </c>
      <c r="B213" t="s">
        <v>1122</v>
      </c>
      <c r="C213" t="str">
        <f t="shared" si="18"/>
        <v>03017</v>
      </c>
      <c r="D213" t="s">
        <v>1235</v>
      </c>
      <c r="E213" t="str">
        <f>"3731"</f>
        <v>3731</v>
      </c>
      <c r="F213" t="s">
        <v>1302</v>
      </c>
      <c r="G213">
        <v>9</v>
      </c>
      <c r="H213">
        <v>12</v>
      </c>
      <c r="I213" t="s">
        <v>1303</v>
      </c>
      <c r="K213" t="s">
        <v>1238</v>
      </c>
      <c r="L213" t="s">
        <v>25</v>
      </c>
      <c r="M213" t="s">
        <v>1304</v>
      </c>
      <c r="N213" t="s">
        <v>1305</v>
      </c>
      <c r="O213" t="s">
        <v>1306</v>
      </c>
      <c r="P213" t="s">
        <v>1307</v>
      </c>
      <c r="Q213" t="s">
        <v>30</v>
      </c>
      <c r="R213" t="s">
        <v>31</v>
      </c>
      <c r="S213" t="s">
        <v>58</v>
      </c>
    </row>
    <row r="214" spans="1:19" x14ac:dyDescent="0.45">
      <c r="A214" t="str">
        <f t="shared" si="16"/>
        <v>11801</v>
      </c>
      <c r="B214" t="s">
        <v>1122</v>
      </c>
      <c r="C214" t="str">
        <f t="shared" si="18"/>
        <v>03017</v>
      </c>
      <c r="D214" t="s">
        <v>1235</v>
      </c>
      <c r="E214" t="str">
        <f>"4007"</f>
        <v>4007</v>
      </c>
      <c r="F214" t="s">
        <v>1308</v>
      </c>
      <c r="G214">
        <v>6</v>
      </c>
      <c r="H214">
        <v>12</v>
      </c>
      <c r="I214" t="s">
        <v>1309</v>
      </c>
      <c r="K214" t="s">
        <v>1238</v>
      </c>
      <c r="L214" t="s">
        <v>25</v>
      </c>
      <c r="M214" t="s">
        <v>1310</v>
      </c>
      <c r="N214" t="s">
        <v>1239</v>
      </c>
      <c r="O214" t="s">
        <v>1240</v>
      </c>
      <c r="P214" t="s">
        <v>1311</v>
      </c>
      <c r="Q214" t="s">
        <v>1312</v>
      </c>
      <c r="R214" t="s">
        <v>1313</v>
      </c>
      <c r="S214" t="s">
        <v>159</v>
      </c>
    </row>
    <row r="215" spans="1:19" x14ac:dyDescent="0.45">
      <c r="A215" t="str">
        <f t="shared" si="16"/>
        <v>11801</v>
      </c>
      <c r="B215" t="s">
        <v>1122</v>
      </c>
      <c r="C215" t="str">
        <f t="shared" si="18"/>
        <v>03017</v>
      </c>
      <c r="D215" t="s">
        <v>1235</v>
      </c>
      <c r="E215" t="str">
        <f>"4028"</f>
        <v>4028</v>
      </c>
      <c r="F215" t="s">
        <v>1314</v>
      </c>
      <c r="G215">
        <v>6</v>
      </c>
      <c r="H215">
        <v>8</v>
      </c>
      <c r="I215" t="s">
        <v>1315</v>
      </c>
      <c r="K215" t="s">
        <v>1238</v>
      </c>
      <c r="L215" t="s">
        <v>25</v>
      </c>
      <c r="M215" t="s">
        <v>1316</v>
      </c>
      <c r="N215" t="s">
        <v>1317</v>
      </c>
      <c r="O215" t="s">
        <v>1318</v>
      </c>
      <c r="P215" t="s">
        <v>1319</v>
      </c>
      <c r="Q215" t="s">
        <v>30</v>
      </c>
      <c r="R215" t="s">
        <v>31</v>
      </c>
      <c r="S215" t="s">
        <v>104</v>
      </c>
    </row>
    <row r="216" spans="1:19" x14ac:dyDescent="0.45">
      <c r="A216" t="str">
        <f t="shared" si="16"/>
        <v>11801</v>
      </c>
      <c r="B216" t="s">
        <v>1122</v>
      </c>
      <c r="C216" t="str">
        <f t="shared" si="18"/>
        <v>03017</v>
      </c>
      <c r="D216" t="s">
        <v>1235</v>
      </c>
      <c r="E216" t="str">
        <f>"4072"</f>
        <v>4072</v>
      </c>
      <c r="F216" t="s">
        <v>1320</v>
      </c>
      <c r="G216" t="s">
        <v>70</v>
      </c>
      <c r="H216">
        <v>5</v>
      </c>
      <c r="I216" t="s">
        <v>1321</v>
      </c>
      <c r="K216" t="s">
        <v>1238</v>
      </c>
      <c r="L216" t="s">
        <v>25</v>
      </c>
      <c r="M216" t="s">
        <v>1322</v>
      </c>
      <c r="N216" t="s">
        <v>1323</v>
      </c>
      <c r="O216" t="s">
        <v>1324</v>
      </c>
      <c r="P216" t="s">
        <v>1325</v>
      </c>
      <c r="Q216" t="s">
        <v>30</v>
      </c>
      <c r="R216" t="s">
        <v>31</v>
      </c>
      <c r="S216" t="s">
        <v>32</v>
      </c>
    </row>
    <row r="217" spans="1:19" x14ac:dyDescent="0.45">
      <c r="A217" t="str">
        <f t="shared" si="16"/>
        <v>11801</v>
      </c>
      <c r="B217" t="s">
        <v>1122</v>
      </c>
      <c r="C217" t="str">
        <f t="shared" si="18"/>
        <v>03017</v>
      </c>
      <c r="D217" t="s">
        <v>1235</v>
      </c>
      <c r="E217" t="str">
        <f>"4073"</f>
        <v>4073</v>
      </c>
      <c r="F217" t="s">
        <v>1326</v>
      </c>
      <c r="G217" t="s">
        <v>70</v>
      </c>
      <c r="H217">
        <v>5</v>
      </c>
      <c r="I217" t="s">
        <v>1327</v>
      </c>
      <c r="K217" t="s">
        <v>1238</v>
      </c>
      <c r="L217" t="s">
        <v>25</v>
      </c>
      <c r="M217" t="s">
        <v>1328</v>
      </c>
      <c r="N217" t="s">
        <v>1329</v>
      </c>
      <c r="O217" t="s">
        <v>1330</v>
      </c>
      <c r="P217" t="s">
        <v>1331</v>
      </c>
      <c r="Q217" t="s">
        <v>30</v>
      </c>
      <c r="R217" t="s">
        <v>31</v>
      </c>
      <c r="S217" t="s">
        <v>32</v>
      </c>
    </row>
    <row r="218" spans="1:19" x14ac:dyDescent="0.45">
      <c r="A218" t="str">
        <f t="shared" si="16"/>
        <v>11801</v>
      </c>
      <c r="B218" t="s">
        <v>1122</v>
      </c>
      <c r="C218" t="str">
        <f t="shared" si="18"/>
        <v>03017</v>
      </c>
      <c r="D218" t="s">
        <v>1235</v>
      </c>
      <c r="E218" t="str">
        <f>"4118"</f>
        <v>4118</v>
      </c>
      <c r="F218" t="s">
        <v>1332</v>
      </c>
      <c r="G218">
        <v>9</v>
      </c>
      <c r="H218">
        <v>12</v>
      </c>
      <c r="I218" t="s">
        <v>1333</v>
      </c>
      <c r="K218" t="s">
        <v>1238</v>
      </c>
      <c r="L218" t="s">
        <v>25</v>
      </c>
      <c r="M218" t="s">
        <v>1334</v>
      </c>
      <c r="N218" t="s">
        <v>1335</v>
      </c>
      <c r="O218" t="s">
        <v>1336</v>
      </c>
      <c r="P218" t="s">
        <v>1337</v>
      </c>
      <c r="Q218" t="s">
        <v>172</v>
      </c>
      <c r="R218" t="s">
        <v>173</v>
      </c>
      <c r="S218" t="s">
        <v>58</v>
      </c>
    </row>
    <row r="219" spans="1:19" x14ac:dyDescent="0.45">
      <c r="A219" t="str">
        <f t="shared" si="16"/>
        <v>11801</v>
      </c>
      <c r="B219" t="s">
        <v>1122</v>
      </c>
      <c r="C219" t="str">
        <f t="shared" si="18"/>
        <v>03017</v>
      </c>
      <c r="D219" t="s">
        <v>1235</v>
      </c>
      <c r="E219" t="str">
        <f>"4136"</f>
        <v>4136</v>
      </c>
      <c r="F219" t="s">
        <v>1338</v>
      </c>
      <c r="G219" t="s">
        <v>70</v>
      </c>
      <c r="H219">
        <v>5</v>
      </c>
      <c r="I219" t="s">
        <v>1339</v>
      </c>
      <c r="K219" t="s">
        <v>1238</v>
      </c>
      <c r="L219" t="s">
        <v>25</v>
      </c>
      <c r="M219" t="s">
        <v>1340</v>
      </c>
      <c r="N219" t="s">
        <v>1341</v>
      </c>
      <c r="O219" t="s">
        <v>1342</v>
      </c>
      <c r="P219" t="s">
        <v>1343</v>
      </c>
      <c r="Q219" t="s">
        <v>30</v>
      </c>
      <c r="R219" t="s">
        <v>31</v>
      </c>
      <c r="S219" t="s">
        <v>32</v>
      </c>
    </row>
    <row r="220" spans="1:19" x14ac:dyDescent="0.45">
      <c r="A220" t="str">
        <f t="shared" si="16"/>
        <v>11801</v>
      </c>
      <c r="B220" t="s">
        <v>1122</v>
      </c>
      <c r="C220" t="str">
        <f t="shared" si="18"/>
        <v>03017</v>
      </c>
      <c r="D220" t="s">
        <v>1235</v>
      </c>
      <c r="E220" t="str">
        <f>"4181"</f>
        <v>4181</v>
      </c>
      <c r="F220" t="s">
        <v>1344</v>
      </c>
      <c r="G220" t="s">
        <v>70</v>
      </c>
      <c r="H220">
        <v>5</v>
      </c>
      <c r="I220" t="s">
        <v>1345</v>
      </c>
      <c r="K220" t="s">
        <v>1238</v>
      </c>
      <c r="L220" t="s">
        <v>25</v>
      </c>
      <c r="M220" t="s">
        <v>1346</v>
      </c>
      <c r="N220" t="s">
        <v>1347</v>
      </c>
      <c r="O220" t="s">
        <v>1348</v>
      </c>
      <c r="P220" t="s">
        <v>1349</v>
      </c>
      <c r="Q220" t="s">
        <v>30</v>
      </c>
      <c r="R220" t="s">
        <v>31</v>
      </c>
      <c r="S220" t="s">
        <v>32</v>
      </c>
    </row>
    <row r="221" spans="1:19" x14ac:dyDescent="0.45">
      <c r="A221" t="str">
        <f t="shared" si="16"/>
        <v>11801</v>
      </c>
      <c r="B221" t="s">
        <v>1122</v>
      </c>
      <c r="C221" t="str">
        <f t="shared" si="18"/>
        <v>03017</v>
      </c>
      <c r="D221" t="s">
        <v>1235</v>
      </c>
      <c r="E221" t="str">
        <f>"4202"</f>
        <v>4202</v>
      </c>
      <c r="F221" t="s">
        <v>411</v>
      </c>
      <c r="G221" t="s">
        <v>70</v>
      </c>
      <c r="H221">
        <v>5</v>
      </c>
      <c r="I221" t="s">
        <v>1350</v>
      </c>
      <c r="K221" t="s">
        <v>1238</v>
      </c>
      <c r="L221" t="s">
        <v>25</v>
      </c>
      <c r="M221" t="s">
        <v>1351</v>
      </c>
      <c r="N221" t="s">
        <v>1352</v>
      </c>
      <c r="O221" t="s">
        <v>1353</v>
      </c>
      <c r="P221" t="s">
        <v>1354</v>
      </c>
      <c r="Q221" t="s">
        <v>30</v>
      </c>
      <c r="R221" t="s">
        <v>31</v>
      </c>
      <c r="S221" t="s">
        <v>32</v>
      </c>
    </row>
    <row r="222" spans="1:19" x14ac:dyDescent="0.45">
      <c r="A222" t="str">
        <f t="shared" si="16"/>
        <v>11801</v>
      </c>
      <c r="B222" t="s">
        <v>1122</v>
      </c>
      <c r="C222" t="str">
        <f t="shared" si="18"/>
        <v>03017</v>
      </c>
      <c r="D222" t="s">
        <v>1235</v>
      </c>
      <c r="E222" t="str">
        <f>"4418"</f>
        <v>4418</v>
      </c>
      <c r="F222" t="s">
        <v>1355</v>
      </c>
      <c r="G222" t="s">
        <v>22</v>
      </c>
      <c r="H222">
        <v>5</v>
      </c>
      <c r="I222" t="s">
        <v>1356</v>
      </c>
      <c r="K222" t="s">
        <v>1238</v>
      </c>
      <c r="L222" t="s">
        <v>25</v>
      </c>
      <c r="M222" t="s">
        <v>1357</v>
      </c>
      <c r="N222" t="s">
        <v>1358</v>
      </c>
      <c r="O222" t="s">
        <v>1359</v>
      </c>
      <c r="P222" t="s">
        <v>1360</v>
      </c>
      <c r="Q222" t="s">
        <v>30</v>
      </c>
      <c r="R222" t="s">
        <v>31</v>
      </c>
      <c r="S222" t="s">
        <v>32</v>
      </c>
    </row>
    <row r="223" spans="1:19" x14ac:dyDescent="0.45">
      <c r="A223" t="str">
        <f t="shared" si="16"/>
        <v>11801</v>
      </c>
      <c r="B223" t="s">
        <v>1122</v>
      </c>
      <c r="C223" t="str">
        <f t="shared" si="18"/>
        <v>03017</v>
      </c>
      <c r="D223" t="s">
        <v>1235</v>
      </c>
      <c r="E223" t="str">
        <f>"4429"</f>
        <v>4429</v>
      </c>
      <c r="F223" t="s">
        <v>1361</v>
      </c>
      <c r="G223">
        <v>6</v>
      </c>
      <c r="H223">
        <v>8</v>
      </c>
      <c r="I223" t="s">
        <v>1362</v>
      </c>
      <c r="K223" t="s">
        <v>1238</v>
      </c>
      <c r="L223" t="s">
        <v>25</v>
      </c>
      <c r="M223" t="s">
        <v>1363</v>
      </c>
      <c r="N223" t="s">
        <v>1364</v>
      </c>
      <c r="O223" t="s">
        <v>1365</v>
      </c>
      <c r="P223" t="s">
        <v>1366</v>
      </c>
      <c r="Q223" t="s">
        <v>30</v>
      </c>
      <c r="R223" t="s">
        <v>31</v>
      </c>
      <c r="S223" t="s">
        <v>104</v>
      </c>
    </row>
    <row r="224" spans="1:19" x14ac:dyDescent="0.45">
      <c r="A224" t="str">
        <f t="shared" ref="A224:A254" si="19">"11801"</f>
        <v>11801</v>
      </c>
      <c r="B224" t="s">
        <v>1122</v>
      </c>
      <c r="C224" t="str">
        <f t="shared" si="18"/>
        <v>03017</v>
      </c>
      <c r="D224" t="s">
        <v>1235</v>
      </c>
      <c r="E224" t="str">
        <f>"4446"</f>
        <v>4446</v>
      </c>
      <c r="F224" t="s">
        <v>1367</v>
      </c>
      <c r="G224" t="s">
        <v>70</v>
      </c>
      <c r="H224">
        <v>5</v>
      </c>
      <c r="I224" t="s">
        <v>1368</v>
      </c>
      <c r="K224" t="s">
        <v>1238</v>
      </c>
      <c r="L224" t="s">
        <v>25</v>
      </c>
      <c r="M224" t="s">
        <v>1369</v>
      </c>
      <c r="N224" t="s">
        <v>1370</v>
      </c>
      <c r="O224" t="s">
        <v>1371</v>
      </c>
      <c r="P224" t="s">
        <v>1372</v>
      </c>
      <c r="Q224" t="s">
        <v>30</v>
      </c>
      <c r="R224" t="s">
        <v>31</v>
      </c>
      <c r="S224" t="s">
        <v>32</v>
      </c>
    </row>
    <row r="225" spans="1:19" x14ac:dyDescent="0.45">
      <c r="A225" t="str">
        <f t="shared" si="19"/>
        <v>11801</v>
      </c>
      <c r="B225" t="s">
        <v>1122</v>
      </c>
      <c r="C225" t="str">
        <f t="shared" si="18"/>
        <v>03017</v>
      </c>
      <c r="D225" t="s">
        <v>1235</v>
      </c>
      <c r="E225" t="str">
        <f>"4484"</f>
        <v>4484</v>
      </c>
      <c r="F225" t="s">
        <v>1373</v>
      </c>
      <c r="G225">
        <v>9</v>
      </c>
      <c r="H225">
        <v>12</v>
      </c>
      <c r="I225" t="s">
        <v>1374</v>
      </c>
      <c r="K225" t="s">
        <v>1238</v>
      </c>
      <c r="L225" t="s">
        <v>25</v>
      </c>
      <c r="M225" t="s">
        <v>1375</v>
      </c>
      <c r="N225" t="s">
        <v>1376</v>
      </c>
      <c r="O225" t="s">
        <v>1377</v>
      </c>
      <c r="P225" t="s">
        <v>1378</v>
      </c>
      <c r="Q225" t="s">
        <v>30</v>
      </c>
      <c r="R225" t="s">
        <v>31</v>
      </c>
      <c r="S225" t="s">
        <v>58</v>
      </c>
    </row>
    <row r="226" spans="1:19" x14ac:dyDescent="0.45">
      <c r="A226" t="str">
        <f t="shared" si="19"/>
        <v>11801</v>
      </c>
      <c r="B226" t="s">
        <v>1122</v>
      </c>
      <c r="C226" t="str">
        <f>"03050"</f>
        <v>03050</v>
      </c>
      <c r="D226" t="s">
        <v>1379</v>
      </c>
      <c r="E226" t="str">
        <f>"2133"</f>
        <v>2133</v>
      </c>
      <c r="F226" t="s">
        <v>1380</v>
      </c>
      <c r="G226" t="s">
        <v>70</v>
      </c>
      <c r="H226">
        <v>8</v>
      </c>
      <c r="I226" t="s">
        <v>1381</v>
      </c>
      <c r="J226" t="s">
        <v>1382</v>
      </c>
      <c r="K226" t="s">
        <v>1383</v>
      </c>
      <c r="L226" t="s">
        <v>25</v>
      </c>
      <c r="M226" t="s">
        <v>1384</v>
      </c>
      <c r="N226" t="s">
        <v>1385</v>
      </c>
      <c r="O226" t="s">
        <v>1386</v>
      </c>
      <c r="P226" t="s">
        <v>1387</v>
      </c>
      <c r="Q226" t="s">
        <v>30</v>
      </c>
      <c r="R226" t="s">
        <v>31</v>
      </c>
      <c r="S226" t="s">
        <v>159</v>
      </c>
    </row>
    <row r="227" spans="1:19" x14ac:dyDescent="0.45">
      <c r="A227" t="str">
        <f t="shared" si="19"/>
        <v>11801</v>
      </c>
      <c r="B227" t="s">
        <v>1122</v>
      </c>
      <c r="C227" t="str">
        <f>"03052"</f>
        <v>03052</v>
      </c>
      <c r="D227" t="s">
        <v>1388</v>
      </c>
      <c r="E227" t="str">
        <f>"2759"</f>
        <v>2759</v>
      </c>
      <c r="F227" t="s">
        <v>1389</v>
      </c>
      <c r="G227" t="s">
        <v>22</v>
      </c>
      <c r="H227">
        <v>2</v>
      </c>
      <c r="I227" t="s">
        <v>1390</v>
      </c>
      <c r="K227" t="s">
        <v>1391</v>
      </c>
      <c r="L227" t="s">
        <v>25</v>
      </c>
      <c r="M227">
        <v>99320</v>
      </c>
      <c r="N227" t="s">
        <v>1392</v>
      </c>
      <c r="O227" t="s">
        <v>1393</v>
      </c>
      <c r="P227" t="s">
        <v>1394</v>
      </c>
      <c r="Q227" t="s">
        <v>30</v>
      </c>
      <c r="R227" t="s">
        <v>31</v>
      </c>
      <c r="S227" t="s">
        <v>32</v>
      </c>
    </row>
    <row r="228" spans="1:19" x14ac:dyDescent="0.45">
      <c r="A228" t="str">
        <f t="shared" si="19"/>
        <v>11801</v>
      </c>
      <c r="B228" t="s">
        <v>1122</v>
      </c>
      <c r="C228" t="str">
        <f>"03052"</f>
        <v>03052</v>
      </c>
      <c r="D228" t="s">
        <v>1388</v>
      </c>
      <c r="E228" t="str">
        <f>"2904"</f>
        <v>2904</v>
      </c>
      <c r="F228" t="s">
        <v>1395</v>
      </c>
      <c r="G228">
        <v>9</v>
      </c>
      <c r="H228">
        <v>12</v>
      </c>
      <c r="I228" t="s">
        <v>1396</v>
      </c>
      <c r="K228" t="s">
        <v>1391</v>
      </c>
      <c r="L228" t="s">
        <v>25</v>
      </c>
      <c r="M228" t="s">
        <v>1397</v>
      </c>
      <c r="N228" t="s">
        <v>1398</v>
      </c>
      <c r="O228" t="s">
        <v>1399</v>
      </c>
      <c r="P228" t="s">
        <v>1400</v>
      </c>
      <c r="Q228" t="s">
        <v>30</v>
      </c>
      <c r="R228" t="s">
        <v>31</v>
      </c>
      <c r="S228" t="s">
        <v>58</v>
      </c>
    </row>
    <row r="229" spans="1:19" x14ac:dyDescent="0.45">
      <c r="A229" t="str">
        <f t="shared" si="19"/>
        <v>11801</v>
      </c>
      <c r="B229" t="s">
        <v>1122</v>
      </c>
      <c r="C229" t="str">
        <f>"03052"</f>
        <v>03052</v>
      </c>
      <c r="D229" t="s">
        <v>1388</v>
      </c>
      <c r="E229" t="str">
        <f>"3961"</f>
        <v>3961</v>
      </c>
      <c r="F229" t="s">
        <v>1401</v>
      </c>
      <c r="G229">
        <v>6</v>
      </c>
      <c r="H229">
        <v>8</v>
      </c>
      <c r="I229" t="s">
        <v>1396</v>
      </c>
      <c r="K229" t="s">
        <v>1391</v>
      </c>
      <c r="L229" t="s">
        <v>25</v>
      </c>
      <c r="M229" t="s">
        <v>1397</v>
      </c>
      <c r="N229" t="s">
        <v>1402</v>
      </c>
      <c r="O229" t="s">
        <v>1403</v>
      </c>
      <c r="P229" t="s">
        <v>1404</v>
      </c>
      <c r="Q229" t="s">
        <v>30</v>
      </c>
      <c r="R229" t="s">
        <v>31</v>
      </c>
      <c r="S229" t="s">
        <v>104</v>
      </c>
    </row>
    <row r="230" spans="1:19" x14ac:dyDescent="0.45">
      <c r="A230" t="str">
        <f t="shared" si="19"/>
        <v>11801</v>
      </c>
      <c r="B230" t="s">
        <v>1122</v>
      </c>
      <c r="C230" t="str">
        <f>"03052"</f>
        <v>03052</v>
      </c>
      <c r="D230" t="s">
        <v>1388</v>
      </c>
      <c r="E230" t="str">
        <f>"4217"</f>
        <v>4217</v>
      </c>
      <c r="F230" t="s">
        <v>1405</v>
      </c>
      <c r="G230">
        <v>3</v>
      </c>
      <c r="H230">
        <v>5</v>
      </c>
      <c r="I230" t="s">
        <v>1406</v>
      </c>
      <c r="K230" t="s">
        <v>1391</v>
      </c>
      <c r="L230" t="s">
        <v>25</v>
      </c>
      <c r="M230" t="s">
        <v>1397</v>
      </c>
      <c r="N230" t="s">
        <v>1407</v>
      </c>
      <c r="O230" t="s">
        <v>1408</v>
      </c>
      <c r="P230" t="s">
        <v>1409</v>
      </c>
      <c r="Q230" t="s">
        <v>1410</v>
      </c>
      <c r="R230" t="s">
        <v>31</v>
      </c>
      <c r="S230" t="s">
        <v>32</v>
      </c>
    </row>
    <row r="231" spans="1:19" x14ac:dyDescent="0.45">
      <c r="A231" t="str">
        <f t="shared" si="19"/>
        <v>11801</v>
      </c>
      <c r="B231" t="s">
        <v>1122</v>
      </c>
      <c r="C231" t="str">
        <f>"03053"</f>
        <v>03053</v>
      </c>
      <c r="D231" t="s">
        <v>1411</v>
      </c>
      <c r="E231" t="str">
        <f>"2367"</f>
        <v>2367</v>
      </c>
      <c r="F231" t="s">
        <v>1412</v>
      </c>
      <c r="G231">
        <v>9</v>
      </c>
      <c r="H231">
        <v>12</v>
      </c>
      <c r="I231" t="s">
        <v>1413</v>
      </c>
      <c r="K231" t="s">
        <v>1238</v>
      </c>
      <c r="L231" t="s">
        <v>25</v>
      </c>
      <c r="M231" t="s">
        <v>1414</v>
      </c>
      <c r="N231" t="s">
        <v>1415</v>
      </c>
      <c r="O231" t="s">
        <v>1416</v>
      </c>
      <c r="P231" t="s">
        <v>1417</v>
      </c>
      <c r="Q231" t="s">
        <v>30</v>
      </c>
      <c r="R231" t="s">
        <v>31</v>
      </c>
      <c r="S231" t="s">
        <v>58</v>
      </c>
    </row>
    <row r="232" spans="1:19" x14ac:dyDescent="0.45">
      <c r="A232" t="str">
        <f t="shared" si="19"/>
        <v>11801</v>
      </c>
      <c r="B232" t="s">
        <v>1122</v>
      </c>
      <c r="C232" t="str">
        <f>"03053"</f>
        <v>03053</v>
      </c>
      <c r="D232" t="s">
        <v>1411</v>
      </c>
      <c r="E232" t="str">
        <f>"3078"</f>
        <v>3078</v>
      </c>
      <c r="F232" t="s">
        <v>1418</v>
      </c>
      <c r="G232" t="s">
        <v>22</v>
      </c>
      <c r="H232">
        <v>5</v>
      </c>
      <c r="I232" t="s">
        <v>1419</v>
      </c>
      <c r="K232" t="s">
        <v>1238</v>
      </c>
      <c r="L232" t="s">
        <v>25</v>
      </c>
      <c r="M232" t="s">
        <v>1420</v>
      </c>
      <c r="N232" t="s">
        <v>1421</v>
      </c>
      <c r="O232" t="s">
        <v>1422</v>
      </c>
      <c r="P232" t="s">
        <v>1423</v>
      </c>
      <c r="Q232" t="s">
        <v>30</v>
      </c>
      <c r="R232" t="s">
        <v>31</v>
      </c>
      <c r="S232" t="s">
        <v>32</v>
      </c>
    </row>
    <row r="233" spans="1:19" x14ac:dyDescent="0.45">
      <c r="A233" t="str">
        <f t="shared" si="19"/>
        <v>11801</v>
      </c>
      <c r="B233" t="s">
        <v>1122</v>
      </c>
      <c r="C233" t="str">
        <f>"03053"</f>
        <v>03053</v>
      </c>
      <c r="D233" t="s">
        <v>1411</v>
      </c>
      <c r="E233" t="str">
        <f>"4031"</f>
        <v>4031</v>
      </c>
      <c r="F233" t="s">
        <v>1424</v>
      </c>
      <c r="G233">
        <v>6</v>
      </c>
      <c r="H233">
        <v>8</v>
      </c>
      <c r="I233" t="s">
        <v>1425</v>
      </c>
      <c r="K233" t="s">
        <v>1238</v>
      </c>
      <c r="L233" t="s">
        <v>25</v>
      </c>
      <c r="M233" t="s">
        <v>1426</v>
      </c>
      <c r="N233" t="s">
        <v>1427</v>
      </c>
      <c r="O233" t="s">
        <v>1428</v>
      </c>
      <c r="P233" t="s">
        <v>1429</v>
      </c>
      <c r="Q233" t="s">
        <v>30</v>
      </c>
      <c r="R233" t="s">
        <v>31</v>
      </c>
      <c r="S233" t="s">
        <v>104</v>
      </c>
    </row>
    <row r="234" spans="1:19" x14ac:dyDescent="0.45">
      <c r="A234" t="str">
        <f t="shared" si="19"/>
        <v>11801</v>
      </c>
      <c r="B234" t="s">
        <v>1122</v>
      </c>
      <c r="C234" t="str">
        <f>"03116"</f>
        <v>03116</v>
      </c>
      <c r="D234" t="s">
        <v>1430</v>
      </c>
      <c r="E234" t="str">
        <f>"2195"</f>
        <v>2195</v>
      </c>
      <c r="F234" t="s">
        <v>1431</v>
      </c>
      <c r="G234" t="s">
        <v>22</v>
      </c>
      <c r="H234">
        <v>2</v>
      </c>
      <c r="I234" t="s">
        <v>1432</v>
      </c>
      <c r="K234" t="s">
        <v>1433</v>
      </c>
      <c r="L234" t="s">
        <v>25</v>
      </c>
      <c r="M234" t="s">
        <v>1434</v>
      </c>
      <c r="N234" t="s">
        <v>1435</v>
      </c>
      <c r="O234" t="s">
        <v>1436</v>
      </c>
      <c r="P234" t="s">
        <v>1437</v>
      </c>
      <c r="Q234" t="s">
        <v>30</v>
      </c>
      <c r="R234" t="s">
        <v>31</v>
      </c>
      <c r="S234" t="s">
        <v>32</v>
      </c>
    </row>
    <row r="235" spans="1:19" x14ac:dyDescent="0.45">
      <c r="A235" t="str">
        <f t="shared" si="19"/>
        <v>11801</v>
      </c>
      <c r="B235" t="s">
        <v>1122</v>
      </c>
      <c r="C235" t="str">
        <f>"03116"</f>
        <v>03116</v>
      </c>
      <c r="D235" t="s">
        <v>1430</v>
      </c>
      <c r="E235" t="str">
        <f>"2508"</f>
        <v>2508</v>
      </c>
      <c r="F235" t="s">
        <v>1438</v>
      </c>
      <c r="G235">
        <v>9</v>
      </c>
      <c r="H235">
        <v>12</v>
      </c>
      <c r="I235" t="s">
        <v>1439</v>
      </c>
      <c r="K235" t="s">
        <v>1433</v>
      </c>
      <c r="L235" t="s">
        <v>25</v>
      </c>
      <c r="M235" t="s">
        <v>1440</v>
      </c>
      <c r="N235" t="s">
        <v>1441</v>
      </c>
      <c r="O235" t="s">
        <v>1442</v>
      </c>
      <c r="P235" t="s">
        <v>1443</v>
      </c>
      <c r="Q235" t="s">
        <v>30</v>
      </c>
      <c r="R235" t="s">
        <v>31</v>
      </c>
      <c r="S235" t="s">
        <v>58</v>
      </c>
    </row>
    <row r="236" spans="1:19" x14ac:dyDescent="0.45">
      <c r="A236" t="str">
        <f t="shared" si="19"/>
        <v>11801</v>
      </c>
      <c r="B236" t="s">
        <v>1122</v>
      </c>
      <c r="C236" t="str">
        <f>"03116"</f>
        <v>03116</v>
      </c>
      <c r="D236" t="s">
        <v>1430</v>
      </c>
      <c r="E236" t="str">
        <f>"2905"</f>
        <v>2905</v>
      </c>
      <c r="F236" t="s">
        <v>1444</v>
      </c>
      <c r="G236" t="s">
        <v>70</v>
      </c>
      <c r="H236">
        <v>5</v>
      </c>
      <c r="I236" t="s">
        <v>1445</v>
      </c>
      <c r="K236" t="s">
        <v>1433</v>
      </c>
      <c r="L236" t="s">
        <v>25</v>
      </c>
      <c r="M236" t="s">
        <v>1446</v>
      </c>
      <c r="N236" t="s">
        <v>1447</v>
      </c>
      <c r="O236" t="s">
        <v>1448</v>
      </c>
      <c r="P236" t="s">
        <v>1449</v>
      </c>
      <c r="Q236" t="s">
        <v>30</v>
      </c>
      <c r="R236" t="s">
        <v>31</v>
      </c>
      <c r="S236" t="s">
        <v>32</v>
      </c>
    </row>
    <row r="237" spans="1:19" x14ac:dyDescent="0.45">
      <c r="A237" t="str">
        <f t="shared" si="19"/>
        <v>11801</v>
      </c>
      <c r="B237" t="s">
        <v>1122</v>
      </c>
      <c r="C237" t="str">
        <f>"03116"</f>
        <v>03116</v>
      </c>
      <c r="D237" t="s">
        <v>1430</v>
      </c>
      <c r="E237" t="str">
        <f>"2906"</f>
        <v>2906</v>
      </c>
      <c r="F237" t="s">
        <v>1450</v>
      </c>
      <c r="G237">
        <v>6</v>
      </c>
      <c r="H237">
        <v>8</v>
      </c>
      <c r="I237" t="s">
        <v>1451</v>
      </c>
      <c r="K237" t="s">
        <v>1433</v>
      </c>
      <c r="L237" t="s">
        <v>25</v>
      </c>
      <c r="M237" t="s">
        <v>1452</v>
      </c>
      <c r="N237" t="s">
        <v>1453</v>
      </c>
      <c r="O237" t="s">
        <v>1454</v>
      </c>
      <c r="P237" t="s">
        <v>1455</v>
      </c>
      <c r="Q237" t="s">
        <v>30</v>
      </c>
      <c r="R237" t="s">
        <v>31</v>
      </c>
      <c r="S237" t="s">
        <v>104</v>
      </c>
    </row>
    <row r="238" spans="1:19" x14ac:dyDescent="0.45">
      <c r="A238" t="str">
        <f t="shared" si="19"/>
        <v>11801</v>
      </c>
      <c r="B238" t="s">
        <v>1122</v>
      </c>
      <c r="C238" t="str">
        <f>"03116"</f>
        <v>03116</v>
      </c>
      <c r="D238" t="s">
        <v>1430</v>
      </c>
      <c r="E238" t="str">
        <f>"3316"</f>
        <v>3316</v>
      </c>
      <c r="F238" t="s">
        <v>1456</v>
      </c>
      <c r="G238">
        <v>3</v>
      </c>
      <c r="H238">
        <v>5</v>
      </c>
      <c r="I238" t="s">
        <v>1457</v>
      </c>
      <c r="K238" t="s">
        <v>1433</v>
      </c>
      <c r="L238" t="s">
        <v>25</v>
      </c>
      <c r="M238" t="s">
        <v>1458</v>
      </c>
      <c r="N238" t="s">
        <v>1459</v>
      </c>
      <c r="O238" t="s">
        <v>1460</v>
      </c>
      <c r="P238" t="s">
        <v>1461</v>
      </c>
      <c r="Q238" t="s">
        <v>30</v>
      </c>
      <c r="R238" t="s">
        <v>31</v>
      </c>
      <c r="S238" t="s">
        <v>32</v>
      </c>
    </row>
    <row r="239" spans="1:19" x14ac:dyDescent="0.45">
      <c r="A239" t="str">
        <f t="shared" si="19"/>
        <v>11801</v>
      </c>
      <c r="B239" t="s">
        <v>1122</v>
      </c>
      <c r="C239" t="str">
        <f t="shared" ref="C239:C254" si="20">"03400"</f>
        <v>03400</v>
      </c>
      <c r="D239" t="s">
        <v>1462</v>
      </c>
      <c r="E239" t="str">
        <f>"2001"</f>
        <v>2001</v>
      </c>
      <c r="F239" t="s">
        <v>1463</v>
      </c>
      <c r="G239" t="s">
        <v>22</v>
      </c>
      <c r="H239">
        <v>12</v>
      </c>
      <c r="I239" t="s">
        <v>1464</v>
      </c>
      <c r="K239" t="s">
        <v>1465</v>
      </c>
      <c r="L239" t="s">
        <v>25</v>
      </c>
      <c r="M239" t="s">
        <v>1466</v>
      </c>
      <c r="N239" t="s">
        <v>1467</v>
      </c>
      <c r="O239" t="s">
        <v>1468</v>
      </c>
      <c r="P239" t="s">
        <v>1469</v>
      </c>
      <c r="Q239" t="s">
        <v>66</v>
      </c>
      <c r="R239" t="s">
        <v>67</v>
      </c>
      <c r="S239" t="s">
        <v>68</v>
      </c>
    </row>
    <row r="240" spans="1:19" x14ac:dyDescent="0.45">
      <c r="A240" t="str">
        <f t="shared" si="19"/>
        <v>11801</v>
      </c>
      <c r="B240" t="s">
        <v>1122</v>
      </c>
      <c r="C240" t="str">
        <f t="shared" si="20"/>
        <v>03400</v>
      </c>
      <c r="D240" t="s">
        <v>1462</v>
      </c>
      <c r="E240" t="str">
        <f>"2642"</f>
        <v>2642</v>
      </c>
      <c r="F240" t="s">
        <v>1470</v>
      </c>
      <c r="G240" t="s">
        <v>22</v>
      </c>
      <c r="H240">
        <v>5</v>
      </c>
      <c r="I240" t="s">
        <v>1471</v>
      </c>
      <c r="K240" t="s">
        <v>1465</v>
      </c>
      <c r="L240" t="s">
        <v>25</v>
      </c>
      <c r="M240" t="s">
        <v>1466</v>
      </c>
      <c r="N240" t="s">
        <v>1472</v>
      </c>
      <c r="O240" t="s">
        <v>1473</v>
      </c>
      <c r="P240" t="s">
        <v>1474</v>
      </c>
      <c r="Q240" t="s">
        <v>30</v>
      </c>
      <c r="R240" t="s">
        <v>31</v>
      </c>
      <c r="S240" t="s">
        <v>32</v>
      </c>
    </row>
    <row r="241" spans="1:19" x14ac:dyDescent="0.45">
      <c r="A241" t="str">
        <f t="shared" si="19"/>
        <v>11801</v>
      </c>
      <c r="B241" t="s">
        <v>1122</v>
      </c>
      <c r="C241" t="str">
        <f t="shared" si="20"/>
        <v>03400</v>
      </c>
      <c r="D241" t="s">
        <v>1462</v>
      </c>
      <c r="E241" t="str">
        <f>"2656"</f>
        <v>2656</v>
      </c>
      <c r="F241" t="s">
        <v>1475</v>
      </c>
      <c r="G241" t="s">
        <v>70</v>
      </c>
      <c r="H241">
        <v>5</v>
      </c>
      <c r="I241" t="s">
        <v>1476</v>
      </c>
      <c r="K241" t="s">
        <v>1465</v>
      </c>
      <c r="L241" t="s">
        <v>25</v>
      </c>
      <c r="M241" t="s">
        <v>1466</v>
      </c>
      <c r="N241" t="s">
        <v>1477</v>
      </c>
      <c r="O241" t="s">
        <v>1478</v>
      </c>
      <c r="P241" t="s">
        <v>1479</v>
      </c>
      <c r="Q241" t="s">
        <v>30</v>
      </c>
      <c r="R241" t="s">
        <v>31</v>
      </c>
      <c r="S241" t="s">
        <v>32</v>
      </c>
    </row>
    <row r="242" spans="1:19" x14ac:dyDescent="0.45">
      <c r="A242" t="str">
        <f t="shared" si="19"/>
        <v>11801</v>
      </c>
      <c r="B242" t="s">
        <v>1122</v>
      </c>
      <c r="C242" t="str">
        <f t="shared" si="20"/>
        <v>03400</v>
      </c>
      <c r="D242" t="s">
        <v>1462</v>
      </c>
      <c r="E242" t="str">
        <f>"2657"</f>
        <v>2657</v>
      </c>
      <c r="F242" t="s">
        <v>1480</v>
      </c>
      <c r="G242" t="s">
        <v>22</v>
      </c>
      <c r="H242">
        <v>5</v>
      </c>
      <c r="I242" t="s">
        <v>1481</v>
      </c>
      <c r="K242" t="s">
        <v>1465</v>
      </c>
      <c r="L242" t="s">
        <v>25</v>
      </c>
      <c r="M242" t="s">
        <v>1466</v>
      </c>
      <c r="N242" t="s">
        <v>1482</v>
      </c>
      <c r="O242" t="s">
        <v>1483</v>
      </c>
      <c r="P242" t="s">
        <v>1484</v>
      </c>
      <c r="Q242" t="s">
        <v>30</v>
      </c>
      <c r="R242" t="s">
        <v>31</v>
      </c>
      <c r="S242" t="s">
        <v>32</v>
      </c>
    </row>
    <row r="243" spans="1:19" x14ac:dyDescent="0.45">
      <c r="A243" t="str">
        <f t="shared" si="19"/>
        <v>11801</v>
      </c>
      <c r="B243" t="s">
        <v>1122</v>
      </c>
      <c r="C243" t="str">
        <f t="shared" si="20"/>
        <v>03400</v>
      </c>
      <c r="D243" t="s">
        <v>1462</v>
      </c>
      <c r="E243" t="str">
        <f>"2721"</f>
        <v>2721</v>
      </c>
      <c r="F243" t="s">
        <v>1485</v>
      </c>
      <c r="G243">
        <v>6</v>
      </c>
      <c r="H243">
        <v>8</v>
      </c>
      <c r="I243" t="s">
        <v>1486</v>
      </c>
      <c r="K243" t="s">
        <v>1465</v>
      </c>
      <c r="L243" t="s">
        <v>25</v>
      </c>
      <c r="M243" t="s">
        <v>1466</v>
      </c>
      <c r="N243" t="s">
        <v>1487</v>
      </c>
      <c r="O243" t="s">
        <v>1488</v>
      </c>
      <c r="P243" t="s">
        <v>1489</v>
      </c>
      <c r="Q243" t="s">
        <v>30</v>
      </c>
      <c r="R243" t="s">
        <v>31</v>
      </c>
      <c r="S243" t="s">
        <v>104</v>
      </c>
    </row>
    <row r="244" spans="1:19" x14ac:dyDescent="0.45">
      <c r="A244" t="str">
        <f t="shared" si="19"/>
        <v>11801</v>
      </c>
      <c r="B244" t="s">
        <v>1122</v>
      </c>
      <c r="C244" t="str">
        <f t="shared" si="20"/>
        <v>03400</v>
      </c>
      <c r="D244" t="s">
        <v>1462</v>
      </c>
      <c r="E244" t="str">
        <f>"2785"</f>
        <v>2785</v>
      </c>
      <c r="F244" t="s">
        <v>1490</v>
      </c>
      <c r="G244">
        <v>6</v>
      </c>
      <c r="H244">
        <v>8</v>
      </c>
      <c r="I244" t="s">
        <v>1491</v>
      </c>
      <c r="K244" t="s">
        <v>1465</v>
      </c>
      <c r="L244" t="s">
        <v>25</v>
      </c>
      <c r="M244" t="s">
        <v>1466</v>
      </c>
      <c r="N244" t="s">
        <v>1492</v>
      </c>
      <c r="O244" t="s">
        <v>1493</v>
      </c>
      <c r="P244" t="s">
        <v>1494</v>
      </c>
      <c r="Q244" t="s">
        <v>30</v>
      </c>
      <c r="R244" t="s">
        <v>31</v>
      </c>
      <c r="S244" t="s">
        <v>104</v>
      </c>
    </row>
    <row r="245" spans="1:19" x14ac:dyDescent="0.45">
      <c r="A245" t="str">
        <f t="shared" si="19"/>
        <v>11801</v>
      </c>
      <c r="B245" t="s">
        <v>1122</v>
      </c>
      <c r="C245" t="str">
        <f t="shared" si="20"/>
        <v>03400</v>
      </c>
      <c r="D245" t="s">
        <v>1462</v>
      </c>
      <c r="E245" t="str">
        <f>"2786"</f>
        <v>2786</v>
      </c>
      <c r="F245" t="s">
        <v>1495</v>
      </c>
      <c r="G245" t="s">
        <v>22</v>
      </c>
      <c r="H245">
        <v>5</v>
      </c>
      <c r="I245" t="s">
        <v>1496</v>
      </c>
      <c r="K245" t="s">
        <v>1465</v>
      </c>
      <c r="L245" t="s">
        <v>25</v>
      </c>
      <c r="M245" t="s">
        <v>1466</v>
      </c>
      <c r="N245" t="s">
        <v>1497</v>
      </c>
      <c r="O245" t="s">
        <v>1498</v>
      </c>
      <c r="P245" t="s">
        <v>1499</v>
      </c>
      <c r="Q245" t="s">
        <v>30</v>
      </c>
      <c r="R245" t="s">
        <v>31</v>
      </c>
      <c r="S245" t="s">
        <v>32</v>
      </c>
    </row>
    <row r="246" spans="1:19" x14ac:dyDescent="0.45">
      <c r="A246" t="str">
        <f t="shared" si="19"/>
        <v>11801</v>
      </c>
      <c r="B246" t="s">
        <v>1122</v>
      </c>
      <c r="C246" t="str">
        <f t="shared" si="20"/>
        <v>03400</v>
      </c>
      <c r="D246" t="s">
        <v>1462</v>
      </c>
      <c r="E246" t="str">
        <f>"3469"</f>
        <v>3469</v>
      </c>
      <c r="F246" t="s">
        <v>1500</v>
      </c>
      <c r="G246">
        <v>9</v>
      </c>
      <c r="H246">
        <v>12</v>
      </c>
      <c r="I246" t="s">
        <v>1501</v>
      </c>
      <c r="K246" t="s">
        <v>1502</v>
      </c>
      <c r="L246" t="s">
        <v>25</v>
      </c>
      <c r="M246" t="s">
        <v>1503</v>
      </c>
      <c r="N246" t="s">
        <v>1504</v>
      </c>
      <c r="O246" t="s">
        <v>1505</v>
      </c>
      <c r="P246" t="s">
        <v>1506</v>
      </c>
      <c r="Q246" t="s">
        <v>962</v>
      </c>
      <c r="R246" t="s">
        <v>963</v>
      </c>
      <c r="S246" t="s">
        <v>58</v>
      </c>
    </row>
    <row r="247" spans="1:19" x14ac:dyDescent="0.45">
      <c r="A247" t="str">
        <f t="shared" si="19"/>
        <v>11801</v>
      </c>
      <c r="B247" t="s">
        <v>1122</v>
      </c>
      <c r="C247" t="str">
        <f t="shared" si="20"/>
        <v>03400</v>
      </c>
      <c r="D247" t="s">
        <v>1462</v>
      </c>
      <c r="E247" t="str">
        <f>"3511"</f>
        <v>3511</v>
      </c>
      <c r="F247" t="s">
        <v>1507</v>
      </c>
      <c r="G247">
        <v>9</v>
      </c>
      <c r="H247">
        <v>12</v>
      </c>
      <c r="I247" t="s">
        <v>1508</v>
      </c>
      <c r="K247" t="s">
        <v>1465</v>
      </c>
      <c r="L247" t="s">
        <v>25</v>
      </c>
      <c r="M247" t="s">
        <v>1466</v>
      </c>
      <c r="N247" t="s">
        <v>1509</v>
      </c>
      <c r="O247" t="s">
        <v>1510</v>
      </c>
      <c r="P247" t="s">
        <v>1511</v>
      </c>
      <c r="Q247" t="s">
        <v>30</v>
      </c>
      <c r="R247" t="s">
        <v>31</v>
      </c>
      <c r="S247" t="s">
        <v>58</v>
      </c>
    </row>
    <row r="248" spans="1:19" x14ac:dyDescent="0.45">
      <c r="A248" t="str">
        <f t="shared" si="19"/>
        <v>11801</v>
      </c>
      <c r="B248" t="s">
        <v>1122</v>
      </c>
      <c r="C248" t="str">
        <f t="shared" si="20"/>
        <v>03400</v>
      </c>
      <c r="D248" t="s">
        <v>1462</v>
      </c>
      <c r="E248" t="str">
        <f>"3732"</f>
        <v>3732</v>
      </c>
      <c r="F248" t="s">
        <v>1512</v>
      </c>
      <c r="G248" t="s">
        <v>70</v>
      </c>
      <c r="H248">
        <v>5</v>
      </c>
      <c r="I248" t="s">
        <v>1513</v>
      </c>
      <c r="K248" t="s">
        <v>1465</v>
      </c>
      <c r="L248" t="s">
        <v>25</v>
      </c>
      <c r="M248" t="s">
        <v>1466</v>
      </c>
      <c r="N248" t="s">
        <v>1514</v>
      </c>
      <c r="O248" t="s">
        <v>1515</v>
      </c>
      <c r="P248" t="s">
        <v>1516</v>
      </c>
      <c r="Q248" t="s">
        <v>30</v>
      </c>
      <c r="R248" t="s">
        <v>31</v>
      </c>
      <c r="S248" t="s">
        <v>32</v>
      </c>
    </row>
    <row r="249" spans="1:19" x14ac:dyDescent="0.45">
      <c r="A249" t="str">
        <f t="shared" si="19"/>
        <v>11801</v>
      </c>
      <c r="B249" t="s">
        <v>1122</v>
      </c>
      <c r="C249" t="str">
        <f t="shared" si="20"/>
        <v>03400</v>
      </c>
      <c r="D249" t="s">
        <v>1462</v>
      </c>
      <c r="E249" t="str">
        <f>"3833"</f>
        <v>3833</v>
      </c>
      <c r="F249" t="s">
        <v>1517</v>
      </c>
      <c r="G249">
        <v>9</v>
      </c>
      <c r="H249">
        <v>12</v>
      </c>
      <c r="I249" t="s">
        <v>1518</v>
      </c>
      <c r="K249" t="s">
        <v>1465</v>
      </c>
      <c r="L249" t="s">
        <v>25</v>
      </c>
      <c r="M249" t="s">
        <v>1466</v>
      </c>
      <c r="N249" t="s">
        <v>1519</v>
      </c>
      <c r="O249" t="s">
        <v>1520</v>
      </c>
      <c r="P249" t="s">
        <v>1521</v>
      </c>
      <c r="Q249" t="s">
        <v>30</v>
      </c>
      <c r="R249" t="s">
        <v>31</v>
      </c>
      <c r="S249" t="s">
        <v>58</v>
      </c>
    </row>
    <row r="250" spans="1:19" x14ac:dyDescent="0.45">
      <c r="A250" t="str">
        <f t="shared" si="19"/>
        <v>11801</v>
      </c>
      <c r="B250" t="s">
        <v>1122</v>
      </c>
      <c r="C250" t="str">
        <f t="shared" si="20"/>
        <v>03400</v>
      </c>
      <c r="D250" t="s">
        <v>1462</v>
      </c>
      <c r="E250" t="str">
        <f>"3926"</f>
        <v>3926</v>
      </c>
      <c r="F250" t="s">
        <v>1522</v>
      </c>
      <c r="G250">
        <v>6</v>
      </c>
      <c r="H250">
        <v>8</v>
      </c>
      <c r="I250" t="s">
        <v>1523</v>
      </c>
      <c r="K250" t="s">
        <v>1524</v>
      </c>
      <c r="L250" t="s">
        <v>25</v>
      </c>
      <c r="M250">
        <v>99353</v>
      </c>
      <c r="N250" t="s">
        <v>1525</v>
      </c>
      <c r="O250" t="s">
        <v>1526</v>
      </c>
      <c r="P250" t="s">
        <v>1527</v>
      </c>
      <c r="Q250" t="s">
        <v>30</v>
      </c>
      <c r="R250" t="s">
        <v>31</v>
      </c>
      <c r="S250" t="s">
        <v>104</v>
      </c>
    </row>
    <row r="251" spans="1:19" x14ac:dyDescent="0.45">
      <c r="A251" t="str">
        <f t="shared" si="19"/>
        <v>11801</v>
      </c>
      <c r="B251" t="s">
        <v>1122</v>
      </c>
      <c r="C251" t="str">
        <f t="shared" si="20"/>
        <v>03400</v>
      </c>
      <c r="D251" t="s">
        <v>1462</v>
      </c>
      <c r="E251" t="str">
        <f>"4059"</f>
        <v>4059</v>
      </c>
      <c r="F251" t="s">
        <v>1528</v>
      </c>
      <c r="G251" t="s">
        <v>22</v>
      </c>
      <c r="H251">
        <v>5</v>
      </c>
      <c r="I251" t="s">
        <v>1529</v>
      </c>
      <c r="K251" t="s">
        <v>1524</v>
      </c>
      <c r="L251" t="s">
        <v>25</v>
      </c>
      <c r="M251" t="s">
        <v>1530</v>
      </c>
      <c r="N251" t="s">
        <v>1531</v>
      </c>
      <c r="O251" t="s">
        <v>1532</v>
      </c>
      <c r="P251" t="s">
        <v>1533</v>
      </c>
      <c r="Q251" t="s">
        <v>30</v>
      </c>
      <c r="R251" t="s">
        <v>31</v>
      </c>
      <c r="S251" t="s">
        <v>32</v>
      </c>
    </row>
    <row r="252" spans="1:19" x14ac:dyDescent="0.45">
      <c r="A252" t="str">
        <f t="shared" si="19"/>
        <v>11801</v>
      </c>
      <c r="B252" t="s">
        <v>1122</v>
      </c>
      <c r="C252" t="str">
        <f t="shared" si="20"/>
        <v>03400</v>
      </c>
      <c r="D252" t="s">
        <v>1462</v>
      </c>
      <c r="E252" t="str">
        <f>"4060"</f>
        <v>4060</v>
      </c>
      <c r="F252" t="s">
        <v>1534</v>
      </c>
      <c r="G252" t="s">
        <v>70</v>
      </c>
      <c r="H252">
        <v>5</v>
      </c>
      <c r="I252" t="s">
        <v>1535</v>
      </c>
      <c r="K252" t="s">
        <v>1465</v>
      </c>
      <c r="L252" t="s">
        <v>25</v>
      </c>
      <c r="M252" t="s">
        <v>1466</v>
      </c>
      <c r="N252" t="s">
        <v>1536</v>
      </c>
      <c r="O252" t="s">
        <v>1537</v>
      </c>
      <c r="P252" t="s">
        <v>1538</v>
      </c>
      <c r="Q252" t="s">
        <v>30</v>
      </c>
      <c r="R252" t="s">
        <v>31</v>
      </c>
      <c r="S252" t="s">
        <v>32</v>
      </c>
    </row>
    <row r="253" spans="1:19" x14ac:dyDescent="0.45">
      <c r="A253" t="str">
        <f t="shared" si="19"/>
        <v>11801</v>
      </c>
      <c r="B253" t="s">
        <v>1122</v>
      </c>
      <c r="C253" t="str">
        <f t="shared" si="20"/>
        <v>03400</v>
      </c>
      <c r="D253" t="s">
        <v>1462</v>
      </c>
      <c r="E253" t="str">
        <f>"4295"</f>
        <v>4295</v>
      </c>
      <c r="F253" t="s">
        <v>1539</v>
      </c>
      <c r="G253">
        <v>6</v>
      </c>
      <c r="H253">
        <v>12</v>
      </c>
      <c r="I253" t="s">
        <v>1540</v>
      </c>
      <c r="K253" t="s">
        <v>1465</v>
      </c>
      <c r="L253" t="s">
        <v>25</v>
      </c>
      <c r="M253" t="s">
        <v>1466</v>
      </c>
      <c r="N253" t="s">
        <v>1541</v>
      </c>
      <c r="O253" t="s">
        <v>1542</v>
      </c>
      <c r="P253" t="s">
        <v>1543</v>
      </c>
      <c r="Q253" t="s">
        <v>157</v>
      </c>
      <c r="R253" t="s">
        <v>158</v>
      </c>
      <c r="S253" t="s">
        <v>159</v>
      </c>
    </row>
    <row r="254" spans="1:19" x14ac:dyDescent="0.45">
      <c r="A254" t="str">
        <f t="shared" si="19"/>
        <v>11801</v>
      </c>
      <c r="B254" t="s">
        <v>1122</v>
      </c>
      <c r="C254" t="str">
        <f t="shared" si="20"/>
        <v>03400</v>
      </c>
      <c r="D254" t="s">
        <v>1462</v>
      </c>
      <c r="E254" t="str">
        <f>"4543"</f>
        <v>4543</v>
      </c>
      <c r="F254" t="s">
        <v>1544</v>
      </c>
      <c r="G254" t="s">
        <v>70</v>
      </c>
      <c r="H254">
        <v>5</v>
      </c>
      <c r="I254" t="s">
        <v>1545</v>
      </c>
      <c r="K254" t="s">
        <v>1524</v>
      </c>
      <c r="L254" t="s">
        <v>25</v>
      </c>
      <c r="M254" t="s">
        <v>1530</v>
      </c>
      <c r="N254" t="s">
        <v>1546</v>
      </c>
      <c r="O254" t="s">
        <v>1547</v>
      </c>
      <c r="P254" t="s">
        <v>1548</v>
      </c>
      <c r="Q254" t="s">
        <v>30</v>
      </c>
      <c r="R254" t="s">
        <v>31</v>
      </c>
      <c r="S254" t="s">
        <v>32</v>
      </c>
    </row>
    <row r="255" spans="1:19" x14ac:dyDescent="0.45">
      <c r="A255" t="str">
        <f t="shared" ref="A255:A287" si="21">"04801"</f>
        <v>04801</v>
      </c>
      <c r="B255" t="s">
        <v>1549</v>
      </c>
      <c r="C255" t="str">
        <f>"04019"</f>
        <v>04019</v>
      </c>
      <c r="D255" t="s">
        <v>1550</v>
      </c>
      <c r="E255" t="str">
        <f>"2196"</f>
        <v>2196</v>
      </c>
      <c r="F255" t="s">
        <v>1551</v>
      </c>
      <c r="G255" t="s">
        <v>70</v>
      </c>
      <c r="H255">
        <v>5</v>
      </c>
      <c r="I255" t="s">
        <v>1552</v>
      </c>
      <c r="J255" t="s">
        <v>1553</v>
      </c>
      <c r="K255" t="s">
        <v>1554</v>
      </c>
      <c r="L255" t="s">
        <v>25</v>
      </c>
      <c r="M255" t="s">
        <v>1555</v>
      </c>
      <c r="N255" t="s">
        <v>1556</v>
      </c>
      <c r="O255" t="s">
        <v>1557</v>
      </c>
      <c r="P255" t="s">
        <v>1558</v>
      </c>
      <c r="Q255" t="s">
        <v>30</v>
      </c>
      <c r="R255" t="s">
        <v>31</v>
      </c>
      <c r="S255" t="s">
        <v>32</v>
      </c>
    </row>
    <row r="256" spans="1:19" x14ac:dyDescent="0.45">
      <c r="A256" t="str">
        <f t="shared" si="21"/>
        <v>04801</v>
      </c>
      <c r="B256" t="s">
        <v>1549</v>
      </c>
      <c r="C256" t="str">
        <f>"04019"</f>
        <v>04019</v>
      </c>
      <c r="D256" t="s">
        <v>1550</v>
      </c>
      <c r="E256" t="str">
        <f>"2623"</f>
        <v>2623</v>
      </c>
      <c r="F256" t="s">
        <v>1559</v>
      </c>
      <c r="G256">
        <v>9</v>
      </c>
      <c r="H256">
        <v>12</v>
      </c>
      <c r="I256" t="s">
        <v>1552</v>
      </c>
      <c r="J256" t="s">
        <v>1560</v>
      </c>
      <c r="K256" t="s">
        <v>1561</v>
      </c>
      <c r="L256" t="s">
        <v>25</v>
      </c>
      <c r="M256">
        <v>98831</v>
      </c>
      <c r="N256" t="s">
        <v>1562</v>
      </c>
      <c r="O256" t="s">
        <v>1563</v>
      </c>
      <c r="P256" t="s">
        <v>1564</v>
      </c>
      <c r="Q256" t="s">
        <v>30</v>
      </c>
      <c r="R256" t="s">
        <v>31</v>
      </c>
      <c r="S256" t="s">
        <v>58</v>
      </c>
    </row>
    <row r="257" spans="1:19" x14ac:dyDescent="0.45">
      <c r="A257" t="str">
        <f t="shared" si="21"/>
        <v>04801</v>
      </c>
      <c r="B257" t="s">
        <v>1549</v>
      </c>
      <c r="C257" t="str">
        <f>"04069"</f>
        <v>04069</v>
      </c>
      <c r="D257" t="s">
        <v>1565</v>
      </c>
      <c r="E257" t="str">
        <f>"2265"</f>
        <v>2265</v>
      </c>
      <c r="F257" t="s">
        <v>1566</v>
      </c>
      <c r="G257" t="s">
        <v>70</v>
      </c>
      <c r="H257">
        <v>8</v>
      </c>
      <c r="I257" t="s">
        <v>1567</v>
      </c>
      <c r="K257" t="s">
        <v>1568</v>
      </c>
      <c r="L257" t="s">
        <v>25</v>
      </c>
      <c r="M257" t="s">
        <v>1569</v>
      </c>
      <c r="N257" t="s">
        <v>1570</v>
      </c>
      <c r="O257" t="s">
        <v>1571</v>
      </c>
      <c r="P257" t="s">
        <v>1572</v>
      </c>
      <c r="Q257" t="s">
        <v>30</v>
      </c>
      <c r="R257" t="s">
        <v>31</v>
      </c>
      <c r="S257" t="s">
        <v>159</v>
      </c>
    </row>
    <row r="258" spans="1:19" x14ac:dyDescent="0.45">
      <c r="A258" t="str">
        <f t="shared" si="21"/>
        <v>04801</v>
      </c>
      <c r="B258" t="s">
        <v>1549</v>
      </c>
      <c r="C258" t="str">
        <f>"04127"</f>
        <v>04127</v>
      </c>
      <c r="D258" t="s">
        <v>1573</v>
      </c>
      <c r="E258" t="str">
        <f>"2688"</f>
        <v>2688</v>
      </c>
      <c r="F258" t="s">
        <v>1574</v>
      </c>
      <c r="G258" t="s">
        <v>22</v>
      </c>
      <c r="H258">
        <v>5</v>
      </c>
      <c r="I258" t="s">
        <v>1575</v>
      </c>
      <c r="K258" t="s">
        <v>1576</v>
      </c>
      <c r="L258" t="s">
        <v>25</v>
      </c>
      <c r="M258" t="s">
        <v>1577</v>
      </c>
      <c r="N258" t="s">
        <v>1578</v>
      </c>
      <c r="O258" t="s">
        <v>1579</v>
      </c>
      <c r="P258" t="s">
        <v>1580</v>
      </c>
      <c r="Q258" t="s">
        <v>30</v>
      </c>
      <c r="R258" t="s">
        <v>31</v>
      </c>
      <c r="S258" t="s">
        <v>32</v>
      </c>
    </row>
    <row r="259" spans="1:19" x14ac:dyDescent="0.45">
      <c r="A259" t="str">
        <f t="shared" si="21"/>
        <v>04801</v>
      </c>
      <c r="B259" t="s">
        <v>1549</v>
      </c>
      <c r="C259" t="str">
        <f>"04127"</f>
        <v>04127</v>
      </c>
      <c r="D259" t="s">
        <v>1573</v>
      </c>
      <c r="E259" t="str">
        <f>"3317"</f>
        <v>3317</v>
      </c>
      <c r="F259" t="s">
        <v>1581</v>
      </c>
      <c r="G259">
        <v>6</v>
      </c>
      <c r="H259">
        <v>12</v>
      </c>
      <c r="I259" t="s">
        <v>1575</v>
      </c>
      <c r="K259" t="s">
        <v>1576</v>
      </c>
      <c r="L259" t="s">
        <v>25</v>
      </c>
      <c r="M259" t="s">
        <v>1577</v>
      </c>
      <c r="N259" t="s">
        <v>1578</v>
      </c>
      <c r="O259" t="s">
        <v>1579</v>
      </c>
      <c r="P259" t="s">
        <v>1582</v>
      </c>
      <c r="Q259" t="s">
        <v>30</v>
      </c>
      <c r="R259" t="s">
        <v>31</v>
      </c>
      <c r="S259" t="s">
        <v>159</v>
      </c>
    </row>
    <row r="260" spans="1:19" x14ac:dyDescent="0.45">
      <c r="A260" t="str">
        <f t="shared" si="21"/>
        <v>04801</v>
      </c>
      <c r="B260" t="s">
        <v>1549</v>
      </c>
      <c r="C260" t="str">
        <f>"04129"</f>
        <v>04129</v>
      </c>
      <c r="D260" t="s">
        <v>1583</v>
      </c>
      <c r="E260" t="str">
        <f>"1675"</f>
        <v>1675</v>
      </c>
      <c r="F260" t="s">
        <v>1584</v>
      </c>
      <c r="G260" t="s">
        <v>22</v>
      </c>
      <c r="H260" t="s">
        <v>22</v>
      </c>
      <c r="I260" t="s">
        <v>1585</v>
      </c>
      <c r="K260" t="s">
        <v>1586</v>
      </c>
      <c r="L260" t="s">
        <v>25</v>
      </c>
      <c r="M260" t="s">
        <v>1587</v>
      </c>
      <c r="N260" t="s">
        <v>1588</v>
      </c>
      <c r="O260" t="s">
        <v>1589</v>
      </c>
      <c r="P260" t="s">
        <v>1590</v>
      </c>
      <c r="Q260" t="s">
        <v>30</v>
      </c>
      <c r="R260" t="s">
        <v>31</v>
      </c>
      <c r="S260" t="s">
        <v>1248</v>
      </c>
    </row>
    <row r="261" spans="1:19" x14ac:dyDescent="0.45">
      <c r="A261" t="str">
        <f t="shared" si="21"/>
        <v>04801</v>
      </c>
      <c r="B261" t="s">
        <v>1549</v>
      </c>
      <c r="C261" t="str">
        <f>"04129"</f>
        <v>04129</v>
      </c>
      <c r="D261" t="s">
        <v>1583</v>
      </c>
      <c r="E261" t="str">
        <f>"2317"</f>
        <v>2317</v>
      </c>
      <c r="F261" t="s">
        <v>1591</v>
      </c>
      <c r="G261">
        <v>6</v>
      </c>
      <c r="H261">
        <v>8</v>
      </c>
      <c r="I261" t="s">
        <v>1585</v>
      </c>
      <c r="K261" t="s">
        <v>1586</v>
      </c>
      <c r="L261" t="s">
        <v>25</v>
      </c>
      <c r="M261" t="s">
        <v>1587</v>
      </c>
      <c r="N261" t="s">
        <v>1592</v>
      </c>
      <c r="O261" t="s">
        <v>1593</v>
      </c>
      <c r="P261" t="s">
        <v>1594</v>
      </c>
      <c r="Q261" t="s">
        <v>30</v>
      </c>
      <c r="R261" t="s">
        <v>31</v>
      </c>
      <c r="S261" t="s">
        <v>104</v>
      </c>
    </row>
    <row r="262" spans="1:19" x14ac:dyDescent="0.45">
      <c r="A262" t="str">
        <f t="shared" si="21"/>
        <v>04801</v>
      </c>
      <c r="B262" t="s">
        <v>1549</v>
      </c>
      <c r="C262" t="str">
        <f>"04129"</f>
        <v>04129</v>
      </c>
      <c r="D262" t="s">
        <v>1583</v>
      </c>
      <c r="E262" t="str">
        <f>"2689"</f>
        <v>2689</v>
      </c>
      <c r="F262" t="s">
        <v>1595</v>
      </c>
      <c r="G262" t="s">
        <v>70</v>
      </c>
      <c r="H262">
        <v>5</v>
      </c>
      <c r="I262" t="s">
        <v>1585</v>
      </c>
      <c r="K262" t="s">
        <v>1586</v>
      </c>
      <c r="L262" t="s">
        <v>25</v>
      </c>
      <c r="M262" t="s">
        <v>1587</v>
      </c>
      <c r="N262" t="s">
        <v>1596</v>
      </c>
      <c r="O262" t="s">
        <v>1597</v>
      </c>
      <c r="P262" t="s">
        <v>1598</v>
      </c>
      <c r="Q262" t="s">
        <v>30</v>
      </c>
      <c r="R262" t="s">
        <v>31</v>
      </c>
      <c r="S262" t="s">
        <v>32</v>
      </c>
    </row>
    <row r="263" spans="1:19" x14ac:dyDescent="0.45">
      <c r="A263" t="str">
        <f t="shared" si="21"/>
        <v>04801</v>
      </c>
      <c r="B263" t="s">
        <v>1549</v>
      </c>
      <c r="C263" t="str">
        <f>"04129"</f>
        <v>04129</v>
      </c>
      <c r="D263" t="s">
        <v>1583</v>
      </c>
      <c r="E263" t="str">
        <f>"3861"</f>
        <v>3861</v>
      </c>
      <c r="F263" t="s">
        <v>1599</v>
      </c>
      <c r="G263" t="s">
        <v>70</v>
      </c>
      <c r="H263">
        <v>12</v>
      </c>
      <c r="I263" t="s">
        <v>1600</v>
      </c>
      <c r="J263" t="s">
        <v>1601</v>
      </c>
      <c r="K263" t="s">
        <v>1586</v>
      </c>
      <c r="L263" t="s">
        <v>25</v>
      </c>
      <c r="M263" t="s">
        <v>1587</v>
      </c>
      <c r="N263" t="s">
        <v>1588</v>
      </c>
      <c r="O263" t="s">
        <v>1589</v>
      </c>
      <c r="P263" t="s">
        <v>1598</v>
      </c>
      <c r="Q263" t="s">
        <v>30</v>
      </c>
      <c r="R263" t="s">
        <v>31</v>
      </c>
      <c r="S263" t="s">
        <v>330</v>
      </c>
    </row>
    <row r="264" spans="1:19" x14ac:dyDescent="0.45">
      <c r="A264" t="str">
        <f t="shared" si="21"/>
        <v>04801</v>
      </c>
      <c r="B264" t="s">
        <v>1549</v>
      </c>
      <c r="C264" t="str">
        <f>"04129"</f>
        <v>04129</v>
      </c>
      <c r="D264" t="s">
        <v>1583</v>
      </c>
      <c r="E264" t="str">
        <f>"4260"</f>
        <v>4260</v>
      </c>
      <c r="F264" t="s">
        <v>1602</v>
      </c>
      <c r="G264">
        <v>9</v>
      </c>
      <c r="H264">
        <v>12</v>
      </c>
      <c r="I264" t="s">
        <v>1585</v>
      </c>
      <c r="K264" t="s">
        <v>1586</v>
      </c>
      <c r="L264" t="s">
        <v>25</v>
      </c>
      <c r="M264" t="s">
        <v>1587</v>
      </c>
      <c r="N264" t="s">
        <v>1603</v>
      </c>
      <c r="O264" t="s">
        <v>1604</v>
      </c>
      <c r="P264" t="s">
        <v>1594</v>
      </c>
      <c r="Q264" t="s">
        <v>30</v>
      </c>
      <c r="R264" t="s">
        <v>31</v>
      </c>
      <c r="S264" t="s">
        <v>58</v>
      </c>
    </row>
    <row r="265" spans="1:19" x14ac:dyDescent="0.45">
      <c r="A265" t="str">
        <f t="shared" si="21"/>
        <v>04801</v>
      </c>
      <c r="B265" t="s">
        <v>1549</v>
      </c>
      <c r="C265" t="str">
        <f>"04222"</f>
        <v>04222</v>
      </c>
      <c r="D265" t="s">
        <v>1605</v>
      </c>
      <c r="E265" t="str">
        <f>"2315"</f>
        <v>2315</v>
      </c>
      <c r="F265" t="s">
        <v>1606</v>
      </c>
      <c r="G265">
        <v>5</v>
      </c>
      <c r="H265">
        <v>8</v>
      </c>
      <c r="I265" t="s">
        <v>1607</v>
      </c>
      <c r="K265" t="s">
        <v>1608</v>
      </c>
      <c r="L265" t="s">
        <v>25</v>
      </c>
      <c r="M265" t="s">
        <v>1609</v>
      </c>
      <c r="N265" t="s">
        <v>1610</v>
      </c>
      <c r="O265" t="s">
        <v>1611</v>
      </c>
      <c r="P265" t="s">
        <v>1612</v>
      </c>
      <c r="Q265" t="s">
        <v>30</v>
      </c>
      <c r="R265" t="s">
        <v>31</v>
      </c>
      <c r="S265" t="s">
        <v>104</v>
      </c>
    </row>
    <row r="266" spans="1:19" x14ac:dyDescent="0.45">
      <c r="A266" t="str">
        <f t="shared" si="21"/>
        <v>04801</v>
      </c>
      <c r="B266" t="s">
        <v>1549</v>
      </c>
      <c r="C266" t="str">
        <f>"04222"</f>
        <v>04222</v>
      </c>
      <c r="D266" t="s">
        <v>1605</v>
      </c>
      <c r="E266" t="str">
        <f>"2787"</f>
        <v>2787</v>
      </c>
      <c r="F266" t="s">
        <v>1613</v>
      </c>
      <c r="G266" t="s">
        <v>22</v>
      </c>
      <c r="H266">
        <v>4</v>
      </c>
      <c r="I266" t="s">
        <v>1614</v>
      </c>
      <c r="K266" t="s">
        <v>1608</v>
      </c>
      <c r="L266" t="s">
        <v>25</v>
      </c>
      <c r="M266" t="s">
        <v>1615</v>
      </c>
      <c r="N266" t="s">
        <v>1616</v>
      </c>
      <c r="O266" t="s">
        <v>1617</v>
      </c>
      <c r="P266" t="s">
        <v>1618</v>
      </c>
      <c r="Q266" t="s">
        <v>30</v>
      </c>
      <c r="R266" t="s">
        <v>31</v>
      </c>
      <c r="S266" t="s">
        <v>32</v>
      </c>
    </row>
    <row r="267" spans="1:19" x14ac:dyDescent="0.45">
      <c r="A267" t="str">
        <f t="shared" si="21"/>
        <v>04801</v>
      </c>
      <c r="B267" t="s">
        <v>1549</v>
      </c>
      <c r="C267" t="str">
        <f>"04222"</f>
        <v>04222</v>
      </c>
      <c r="D267" t="s">
        <v>1605</v>
      </c>
      <c r="E267" t="str">
        <f>"3268"</f>
        <v>3268</v>
      </c>
      <c r="F267" t="s">
        <v>1619</v>
      </c>
      <c r="G267">
        <v>9</v>
      </c>
      <c r="H267">
        <v>12</v>
      </c>
      <c r="I267" t="s">
        <v>1620</v>
      </c>
      <c r="K267" t="s">
        <v>1608</v>
      </c>
      <c r="L267" t="s">
        <v>25</v>
      </c>
      <c r="M267" t="s">
        <v>1621</v>
      </c>
      <c r="N267" t="s">
        <v>1622</v>
      </c>
      <c r="O267" t="s">
        <v>1623</v>
      </c>
      <c r="P267" t="s">
        <v>1624</v>
      </c>
      <c r="Q267" t="s">
        <v>30</v>
      </c>
      <c r="R267" t="s">
        <v>31</v>
      </c>
      <c r="S267" t="s">
        <v>58</v>
      </c>
    </row>
    <row r="268" spans="1:19" x14ac:dyDescent="0.45">
      <c r="A268" t="str">
        <f t="shared" si="21"/>
        <v>04801</v>
      </c>
      <c r="B268" t="s">
        <v>1549</v>
      </c>
      <c r="C268" t="str">
        <f>"04228"</f>
        <v>04228</v>
      </c>
      <c r="D268" t="s">
        <v>1625</v>
      </c>
      <c r="E268" t="str">
        <f>"2760"</f>
        <v>2760</v>
      </c>
      <c r="F268" t="s">
        <v>1626</v>
      </c>
      <c r="G268" t="s">
        <v>22</v>
      </c>
      <c r="H268">
        <v>2</v>
      </c>
      <c r="I268" t="s">
        <v>1627</v>
      </c>
      <c r="K268" t="s">
        <v>1628</v>
      </c>
      <c r="L268" t="s">
        <v>25</v>
      </c>
      <c r="M268">
        <v>98847</v>
      </c>
      <c r="N268" t="s">
        <v>1629</v>
      </c>
      <c r="O268" t="s">
        <v>1630</v>
      </c>
      <c r="P268" t="s">
        <v>1631</v>
      </c>
      <c r="Q268" t="s">
        <v>30</v>
      </c>
      <c r="R268" t="s">
        <v>31</v>
      </c>
      <c r="S268" t="s">
        <v>32</v>
      </c>
    </row>
    <row r="269" spans="1:19" x14ac:dyDescent="0.45">
      <c r="A269" t="str">
        <f t="shared" si="21"/>
        <v>04801</v>
      </c>
      <c r="B269" t="s">
        <v>1549</v>
      </c>
      <c r="C269" t="str">
        <f>"04228"</f>
        <v>04228</v>
      </c>
      <c r="D269" t="s">
        <v>1625</v>
      </c>
      <c r="E269" t="str">
        <f>"2827"</f>
        <v>2827</v>
      </c>
      <c r="F269" t="s">
        <v>1632</v>
      </c>
      <c r="G269">
        <v>3</v>
      </c>
      <c r="H269">
        <v>5</v>
      </c>
      <c r="I269" t="s">
        <v>1633</v>
      </c>
      <c r="K269" t="s">
        <v>1634</v>
      </c>
      <c r="L269" t="s">
        <v>25</v>
      </c>
      <c r="M269" t="s">
        <v>1635</v>
      </c>
      <c r="N269" t="s">
        <v>1636</v>
      </c>
      <c r="O269" t="s">
        <v>1637</v>
      </c>
      <c r="P269" t="s">
        <v>1638</v>
      </c>
      <c r="Q269" t="s">
        <v>30</v>
      </c>
      <c r="R269" t="s">
        <v>31</v>
      </c>
      <c r="S269" t="s">
        <v>32</v>
      </c>
    </row>
    <row r="270" spans="1:19" x14ac:dyDescent="0.45">
      <c r="A270" t="str">
        <f t="shared" si="21"/>
        <v>04801</v>
      </c>
      <c r="B270" t="s">
        <v>1549</v>
      </c>
      <c r="C270" t="str">
        <f>"04228"</f>
        <v>04228</v>
      </c>
      <c r="D270" t="s">
        <v>1625</v>
      </c>
      <c r="E270" t="str">
        <f>"3564"</f>
        <v>3564</v>
      </c>
      <c r="F270" t="s">
        <v>1639</v>
      </c>
      <c r="G270">
        <v>9</v>
      </c>
      <c r="H270">
        <v>12</v>
      </c>
      <c r="I270" t="s">
        <v>1640</v>
      </c>
      <c r="K270" t="s">
        <v>1634</v>
      </c>
      <c r="L270" t="s">
        <v>25</v>
      </c>
      <c r="M270" t="s">
        <v>1641</v>
      </c>
      <c r="N270" t="s">
        <v>1642</v>
      </c>
      <c r="O270" t="s">
        <v>1643</v>
      </c>
      <c r="P270" t="s">
        <v>1644</v>
      </c>
      <c r="Q270" t="s">
        <v>30</v>
      </c>
      <c r="R270" t="s">
        <v>31</v>
      </c>
      <c r="S270" t="s">
        <v>58</v>
      </c>
    </row>
    <row r="271" spans="1:19" x14ac:dyDescent="0.45">
      <c r="A271" t="str">
        <f t="shared" si="21"/>
        <v>04801</v>
      </c>
      <c r="B271" t="s">
        <v>1549</v>
      </c>
      <c r="C271" t="str">
        <f>"04228"</f>
        <v>04228</v>
      </c>
      <c r="D271" t="s">
        <v>1625</v>
      </c>
      <c r="E271" t="str">
        <f>"4403"</f>
        <v>4403</v>
      </c>
      <c r="F271" t="s">
        <v>1645</v>
      </c>
      <c r="G271">
        <v>6</v>
      </c>
      <c r="H271">
        <v>8</v>
      </c>
      <c r="I271" t="s">
        <v>1646</v>
      </c>
      <c r="K271" t="s">
        <v>1634</v>
      </c>
      <c r="L271" t="s">
        <v>25</v>
      </c>
      <c r="M271" t="s">
        <v>1647</v>
      </c>
      <c r="N271" t="s">
        <v>1648</v>
      </c>
      <c r="O271" t="s">
        <v>1649</v>
      </c>
      <c r="P271" t="s">
        <v>1650</v>
      </c>
      <c r="Q271" t="s">
        <v>30</v>
      </c>
      <c r="R271" t="s">
        <v>31</v>
      </c>
      <c r="S271" t="s">
        <v>104</v>
      </c>
    </row>
    <row r="272" spans="1:19" x14ac:dyDescent="0.45">
      <c r="A272" t="str">
        <f t="shared" si="21"/>
        <v>04801</v>
      </c>
      <c r="B272" t="s">
        <v>1549</v>
      </c>
      <c r="C272" t="str">
        <f>"04228"</f>
        <v>04228</v>
      </c>
      <c r="D272" t="s">
        <v>1625</v>
      </c>
      <c r="E272" t="str">
        <f>"4566"</f>
        <v>4566</v>
      </c>
      <c r="F272" t="s">
        <v>1651</v>
      </c>
      <c r="G272" t="s">
        <v>70</v>
      </c>
      <c r="H272">
        <v>4</v>
      </c>
      <c r="I272" t="s">
        <v>1652</v>
      </c>
      <c r="K272" t="s">
        <v>1634</v>
      </c>
      <c r="L272" t="s">
        <v>25</v>
      </c>
      <c r="M272" t="s">
        <v>1653</v>
      </c>
      <c r="N272" t="s">
        <v>1636</v>
      </c>
      <c r="O272" t="s">
        <v>1654</v>
      </c>
      <c r="P272" t="s">
        <v>1655</v>
      </c>
      <c r="Q272" t="s">
        <v>30</v>
      </c>
      <c r="R272" t="s">
        <v>31</v>
      </c>
      <c r="S272" t="s">
        <v>32</v>
      </c>
    </row>
    <row r="273" spans="1:19" x14ac:dyDescent="0.45">
      <c r="A273" t="str">
        <f t="shared" si="21"/>
        <v>04801</v>
      </c>
      <c r="B273" t="s">
        <v>1549</v>
      </c>
      <c r="C273" t="str">
        <f t="shared" ref="C273:C287" si="22">"04246"</f>
        <v>04246</v>
      </c>
      <c r="D273" t="s">
        <v>1656</v>
      </c>
      <c r="E273" t="str">
        <f>"1612"</f>
        <v>1612</v>
      </c>
      <c r="F273" t="s">
        <v>1657</v>
      </c>
      <c r="G273">
        <v>9</v>
      </c>
      <c r="H273">
        <v>12</v>
      </c>
      <c r="I273" t="s">
        <v>1658</v>
      </c>
      <c r="K273" t="s">
        <v>1659</v>
      </c>
      <c r="L273" t="s">
        <v>25</v>
      </c>
      <c r="M273" t="s">
        <v>1660</v>
      </c>
      <c r="N273" t="s">
        <v>1661</v>
      </c>
      <c r="O273" t="s">
        <v>1662</v>
      </c>
      <c r="P273" t="s">
        <v>1663</v>
      </c>
      <c r="Q273" t="s">
        <v>157</v>
      </c>
      <c r="R273" t="s">
        <v>158</v>
      </c>
      <c r="S273" t="s">
        <v>58</v>
      </c>
    </row>
    <row r="274" spans="1:19" x14ac:dyDescent="0.45">
      <c r="A274" t="str">
        <f t="shared" si="21"/>
        <v>04801</v>
      </c>
      <c r="B274" t="s">
        <v>1549</v>
      </c>
      <c r="C274" t="str">
        <f t="shared" si="22"/>
        <v>04246</v>
      </c>
      <c r="D274" t="s">
        <v>1656</v>
      </c>
      <c r="E274" t="str">
        <f>"1613"</f>
        <v>1613</v>
      </c>
      <c r="F274" t="s">
        <v>1664</v>
      </c>
      <c r="G274">
        <v>9</v>
      </c>
      <c r="H274">
        <v>12</v>
      </c>
      <c r="I274" t="s">
        <v>1665</v>
      </c>
      <c r="K274" t="s">
        <v>1659</v>
      </c>
      <c r="L274" t="s">
        <v>25</v>
      </c>
      <c r="M274" t="s">
        <v>1660</v>
      </c>
      <c r="N274" t="s">
        <v>1666</v>
      </c>
      <c r="O274" t="s">
        <v>1662</v>
      </c>
      <c r="P274" t="s">
        <v>1667</v>
      </c>
      <c r="Q274" t="s">
        <v>157</v>
      </c>
      <c r="R274" t="s">
        <v>158</v>
      </c>
      <c r="S274" t="s">
        <v>58</v>
      </c>
    </row>
    <row r="275" spans="1:19" x14ac:dyDescent="0.45">
      <c r="A275" t="str">
        <f t="shared" si="21"/>
        <v>04801</v>
      </c>
      <c r="B275" t="s">
        <v>1549</v>
      </c>
      <c r="C275" t="str">
        <f t="shared" si="22"/>
        <v>04246</v>
      </c>
      <c r="D275" t="s">
        <v>1656</v>
      </c>
      <c r="E275" t="str">
        <f>"1802"</f>
        <v>1802</v>
      </c>
      <c r="F275" t="s">
        <v>1668</v>
      </c>
      <c r="G275">
        <v>3</v>
      </c>
      <c r="H275">
        <v>12</v>
      </c>
      <c r="I275" t="s">
        <v>1669</v>
      </c>
      <c r="K275" t="s">
        <v>1670</v>
      </c>
      <c r="L275" t="s">
        <v>25</v>
      </c>
      <c r="M275" t="s">
        <v>1660</v>
      </c>
      <c r="N275" t="s">
        <v>1671</v>
      </c>
      <c r="O275" t="s">
        <v>1662</v>
      </c>
      <c r="P275" t="s">
        <v>1667</v>
      </c>
      <c r="Q275" t="s">
        <v>1312</v>
      </c>
      <c r="R275" t="s">
        <v>1313</v>
      </c>
      <c r="S275" t="s">
        <v>159</v>
      </c>
    </row>
    <row r="276" spans="1:19" x14ac:dyDescent="0.45">
      <c r="A276" t="str">
        <f t="shared" si="21"/>
        <v>04801</v>
      </c>
      <c r="B276" t="s">
        <v>1549</v>
      </c>
      <c r="C276" t="str">
        <f t="shared" si="22"/>
        <v>04246</v>
      </c>
      <c r="D276" t="s">
        <v>1656</v>
      </c>
      <c r="E276" t="str">
        <f>"2134"</f>
        <v>2134</v>
      </c>
      <c r="F276" t="s">
        <v>1672</v>
      </c>
      <c r="G276">
        <v>9</v>
      </c>
      <c r="H276">
        <v>12</v>
      </c>
      <c r="I276" t="s">
        <v>1673</v>
      </c>
      <c r="K276" t="s">
        <v>1670</v>
      </c>
      <c r="L276" t="s">
        <v>25</v>
      </c>
      <c r="M276" t="s">
        <v>1660</v>
      </c>
      <c r="N276" t="s">
        <v>1674</v>
      </c>
      <c r="O276" t="s">
        <v>1675</v>
      </c>
      <c r="P276" t="s">
        <v>1676</v>
      </c>
      <c r="Q276" t="s">
        <v>30</v>
      </c>
      <c r="R276" t="s">
        <v>31</v>
      </c>
      <c r="S276" t="s">
        <v>58</v>
      </c>
    </row>
    <row r="277" spans="1:19" x14ac:dyDescent="0.45">
      <c r="A277" t="str">
        <f t="shared" si="21"/>
        <v>04801</v>
      </c>
      <c r="B277" t="s">
        <v>1549</v>
      </c>
      <c r="C277" t="str">
        <f t="shared" si="22"/>
        <v>04246</v>
      </c>
      <c r="D277" t="s">
        <v>1656</v>
      </c>
      <c r="E277" t="str">
        <f>"2279"</f>
        <v>2279</v>
      </c>
      <c r="F277" t="s">
        <v>1677</v>
      </c>
      <c r="G277" t="s">
        <v>70</v>
      </c>
      <c r="H277">
        <v>5</v>
      </c>
      <c r="I277" t="s">
        <v>1678</v>
      </c>
      <c r="K277" t="s">
        <v>1670</v>
      </c>
      <c r="L277" t="s">
        <v>25</v>
      </c>
      <c r="M277" t="s">
        <v>1660</v>
      </c>
      <c r="N277" t="s">
        <v>1679</v>
      </c>
      <c r="O277" t="s">
        <v>1680</v>
      </c>
      <c r="P277" t="s">
        <v>1681</v>
      </c>
      <c r="Q277" t="s">
        <v>30</v>
      </c>
      <c r="R277" t="s">
        <v>31</v>
      </c>
      <c r="S277" t="s">
        <v>32</v>
      </c>
    </row>
    <row r="278" spans="1:19" x14ac:dyDescent="0.45">
      <c r="A278" t="str">
        <f t="shared" si="21"/>
        <v>04801</v>
      </c>
      <c r="B278" t="s">
        <v>1549</v>
      </c>
      <c r="C278" t="str">
        <f t="shared" si="22"/>
        <v>04246</v>
      </c>
      <c r="D278" t="s">
        <v>1656</v>
      </c>
      <c r="E278" t="str">
        <f>"2301"</f>
        <v>2301</v>
      </c>
      <c r="F278" t="s">
        <v>1682</v>
      </c>
      <c r="G278" t="s">
        <v>70</v>
      </c>
      <c r="H278">
        <v>5</v>
      </c>
      <c r="I278" t="s">
        <v>1683</v>
      </c>
      <c r="K278" t="s">
        <v>1670</v>
      </c>
      <c r="L278" t="s">
        <v>25</v>
      </c>
      <c r="M278" t="s">
        <v>1660</v>
      </c>
      <c r="N278" t="s">
        <v>1684</v>
      </c>
      <c r="O278" t="s">
        <v>1685</v>
      </c>
      <c r="P278" t="s">
        <v>1686</v>
      </c>
      <c r="Q278" t="s">
        <v>30</v>
      </c>
      <c r="R278" t="s">
        <v>31</v>
      </c>
      <c r="S278" t="s">
        <v>32</v>
      </c>
    </row>
    <row r="279" spans="1:19" x14ac:dyDescent="0.45">
      <c r="A279" t="str">
        <f t="shared" si="21"/>
        <v>04801</v>
      </c>
      <c r="B279" t="s">
        <v>1549</v>
      </c>
      <c r="C279" t="str">
        <f t="shared" si="22"/>
        <v>04246</v>
      </c>
      <c r="D279" t="s">
        <v>1656</v>
      </c>
      <c r="E279" t="str">
        <f>"2347"</f>
        <v>2347</v>
      </c>
      <c r="F279" t="s">
        <v>1687</v>
      </c>
      <c r="G279" t="s">
        <v>70</v>
      </c>
      <c r="H279">
        <v>5</v>
      </c>
      <c r="I279" t="s">
        <v>1688</v>
      </c>
      <c r="K279" t="s">
        <v>1670</v>
      </c>
      <c r="L279" t="s">
        <v>25</v>
      </c>
      <c r="M279" t="s">
        <v>1660</v>
      </c>
      <c r="N279" t="s">
        <v>1689</v>
      </c>
      <c r="O279" t="s">
        <v>1690</v>
      </c>
      <c r="P279" t="s">
        <v>1691</v>
      </c>
      <c r="Q279" t="s">
        <v>30</v>
      </c>
      <c r="R279" t="s">
        <v>31</v>
      </c>
      <c r="S279" t="s">
        <v>32</v>
      </c>
    </row>
    <row r="280" spans="1:19" x14ac:dyDescent="0.45">
      <c r="A280" t="str">
        <f t="shared" si="21"/>
        <v>04801</v>
      </c>
      <c r="B280" t="s">
        <v>1549</v>
      </c>
      <c r="C280" t="str">
        <f t="shared" si="22"/>
        <v>04246</v>
      </c>
      <c r="D280" t="s">
        <v>1656</v>
      </c>
      <c r="E280" t="str">
        <f>"2907"</f>
        <v>2907</v>
      </c>
      <c r="F280" t="s">
        <v>707</v>
      </c>
      <c r="G280" t="s">
        <v>70</v>
      </c>
      <c r="H280">
        <v>5</v>
      </c>
      <c r="I280" t="s">
        <v>1692</v>
      </c>
      <c r="K280" t="s">
        <v>1670</v>
      </c>
      <c r="L280" t="s">
        <v>25</v>
      </c>
      <c r="M280" t="s">
        <v>1660</v>
      </c>
      <c r="N280" t="s">
        <v>1693</v>
      </c>
      <c r="O280" t="s">
        <v>1694</v>
      </c>
      <c r="P280" t="s">
        <v>1695</v>
      </c>
      <c r="Q280" t="s">
        <v>30</v>
      </c>
      <c r="R280" t="s">
        <v>31</v>
      </c>
      <c r="S280" t="s">
        <v>32</v>
      </c>
    </row>
    <row r="281" spans="1:19" x14ac:dyDescent="0.45">
      <c r="A281" t="str">
        <f t="shared" si="21"/>
        <v>04801</v>
      </c>
      <c r="B281" t="s">
        <v>1549</v>
      </c>
      <c r="C281" t="str">
        <f t="shared" si="22"/>
        <v>04246</v>
      </c>
      <c r="D281" t="s">
        <v>1656</v>
      </c>
      <c r="E281" t="str">
        <f>"3208"</f>
        <v>3208</v>
      </c>
      <c r="F281" t="s">
        <v>1696</v>
      </c>
      <c r="G281" t="s">
        <v>70</v>
      </c>
      <c r="H281">
        <v>5</v>
      </c>
      <c r="I281" t="s">
        <v>1697</v>
      </c>
      <c r="K281" t="s">
        <v>1670</v>
      </c>
      <c r="L281" t="s">
        <v>25</v>
      </c>
      <c r="M281" t="s">
        <v>1660</v>
      </c>
      <c r="N281" t="s">
        <v>1698</v>
      </c>
      <c r="O281" t="s">
        <v>1699</v>
      </c>
      <c r="P281" t="s">
        <v>1700</v>
      </c>
      <c r="Q281" t="s">
        <v>30</v>
      </c>
      <c r="R281" t="s">
        <v>31</v>
      </c>
      <c r="S281" t="s">
        <v>32</v>
      </c>
    </row>
    <row r="282" spans="1:19" x14ac:dyDescent="0.45">
      <c r="A282" t="str">
        <f t="shared" si="21"/>
        <v>04801</v>
      </c>
      <c r="B282" t="s">
        <v>1549</v>
      </c>
      <c r="C282" t="str">
        <f t="shared" si="22"/>
        <v>04246</v>
      </c>
      <c r="D282" t="s">
        <v>1656</v>
      </c>
      <c r="E282" t="str">
        <f>"3209"</f>
        <v>3209</v>
      </c>
      <c r="F282" t="s">
        <v>1701</v>
      </c>
      <c r="G282" t="s">
        <v>70</v>
      </c>
      <c r="H282">
        <v>5</v>
      </c>
      <c r="I282" t="s">
        <v>1702</v>
      </c>
      <c r="K282" t="s">
        <v>1670</v>
      </c>
      <c r="L282" t="s">
        <v>25</v>
      </c>
      <c r="M282" t="s">
        <v>1660</v>
      </c>
      <c r="N282" t="s">
        <v>1703</v>
      </c>
      <c r="O282" t="s">
        <v>1704</v>
      </c>
      <c r="P282" t="s">
        <v>1705</v>
      </c>
      <c r="Q282" t="s">
        <v>30</v>
      </c>
      <c r="R282" t="s">
        <v>31</v>
      </c>
      <c r="S282" t="s">
        <v>32</v>
      </c>
    </row>
    <row r="283" spans="1:19" x14ac:dyDescent="0.45">
      <c r="A283" t="str">
        <f t="shared" si="21"/>
        <v>04801</v>
      </c>
      <c r="B283" t="s">
        <v>1549</v>
      </c>
      <c r="C283" t="str">
        <f t="shared" si="22"/>
        <v>04246</v>
      </c>
      <c r="D283" t="s">
        <v>1656</v>
      </c>
      <c r="E283" t="str">
        <f>"3210"</f>
        <v>3210</v>
      </c>
      <c r="F283" t="s">
        <v>1706</v>
      </c>
      <c r="G283">
        <v>6</v>
      </c>
      <c r="H283">
        <v>8</v>
      </c>
      <c r="I283" t="s">
        <v>1707</v>
      </c>
      <c r="K283" t="s">
        <v>1670</v>
      </c>
      <c r="L283" t="s">
        <v>25</v>
      </c>
      <c r="M283" t="s">
        <v>1660</v>
      </c>
      <c r="N283" t="s">
        <v>1708</v>
      </c>
      <c r="O283" t="s">
        <v>1709</v>
      </c>
      <c r="P283" t="s">
        <v>1710</v>
      </c>
      <c r="Q283" t="s">
        <v>30</v>
      </c>
      <c r="R283" t="s">
        <v>31</v>
      </c>
      <c r="S283" t="s">
        <v>104</v>
      </c>
    </row>
    <row r="284" spans="1:19" x14ac:dyDescent="0.45">
      <c r="A284" t="str">
        <f t="shared" si="21"/>
        <v>04801</v>
      </c>
      <c r="B284" t="s">
        <v>1549</v>
      </c>
      <c r="C284" t="str">
        <f t="shared" si="22"/>
        <v>04246</v>
      </c>
      <c r="D284" t="s">
        <v>1656</v>
      </c>
      <c r="E284" t="str">
        <f>"3269"</f>
        <v>3269</v>
      </c>
      <c r="F284" t="s">
        <v>1711</v>
      </c>
      <c r="G284" t="s">
        <v>22</v>
      </c>
      <c r="H284">
        <v>9</v>
      </c>
      <c r="I284" t="s">
        <v>1712</v>
      </c>
      <c r="K284" t="s">
        <v>1670</v>
      </c>
      <c r="L284" t="s">
        <v>25</v>
      </c>
      <c r="M284" t="s">
        <v>1660</v>
      </c>
      <c r="N284" t="s">
        <v>1713</v>
      </c>
      <c r="O284" t="s">
        <v>1714</v>
      </c>
      <c r="P284" t="s">
        <v>1715</v>
      </c>
      <c r="Q284" t="s">
        <v>66</v>
      </c>
      <c r="R284" t="s">
        <v>67</v>
      </c>
      <c r="S284" t="s">
        <v>159</v>
      </c>
    </row>
    <row r="285" spans="1:19" x14ac:dyDescent="0.45">
      <c r="A285" t="str">
        <f t="shared" si="21"/>
        <v>04801</v>
      </c>
      <c r="B285" t="s">
        <v>1549</v>
      </c>
      <c r="C285" t="str">
        <f t="shared" si="22"/>
        <v>04246</v>
      </c>
      <c r="D285" t="s">
        <v>1656</v>
      </c>
      <c r="E285" t="str">
        <f>"3370"</f>
        <v>3370</v>
      </c>
      <c r="F285" t="s">
        <v>1716</v>
      </c>
      <c r="G285">
        <v>6</v>
      </c>
      <c r="H285">
        <v>8</v>
      </c>
      <c r="I285" t="s">
        <v>1717</v>
      </c>
      <c r="K285" t="s">
        <v>1670</v>
      </c>
      <c r="L285" t="s">
        <v>25</v>
      </c>
      <c r="M285" t="s">
        <v>1660</v>
      </c>
      <c r="N285" t="s">
        <v>1718</v>
      </c>
      <c r="O285" t="s">
        <v>1719</v>
      </c>
      <c r="P285" t="s">
        <v>1720</v>
      </c>
      <c r="Q285" t="s">
        <v>30</v>
      </c>
      <c r="R285" t="s">
        <v>31</v>
      </c>
      <c r="S285" t="s">
        <v>104</v>
      </c>
    </row>
    <row r="286" spans="1:19" x14ac:dyDescent="0.45">
      <c r="A286" t="str">
        <f t="shared" si="21"/>
        <v>04801</v>
      </c>
      <c r="B286" t="s">
        <v>1549</v>
      </c>
      <c r="C286" t="str">
        <f t="shared" si="22"/>
        <v>04246</v>
      </c>
      <c r="D286" t="s">
        <v>1656</v>
      </c>
      <c r="E286" t="str">
        <f>"4423"</f>
        <v>4423</v>
      </c>
      <c r="F286" t="s">
        <v>1721</v>
      </c>
      <c r="G286" t="s">
        <v>70</v>
      </c>
      <c r="H286">
        <v>5</v>
      </c>
      <c r="I286" t="s">
        <v>1722</v>
      </c>
      <c r="K286" t="s">
        <v>1670</v>
      </c>
      <c r="L286" t="s">
        <v>25</v>
      </c>
      <c r="M286" t="s">
        <v>1660</v>
      </c>
      <c r="N286" t="s">
        <v>1723</v>
      </c>
      <c r="O286" t="s">
        <v>1724</v>
      </c>
      <c r="P286" t="s">
        <v>1725</v>
      </c>
      <c r="Q286" t="s">
        <v>30</v>
      </c>
      <c r="R286" t="s">
        <v>31</v>
      </c>
      <c r="S286" t="s">
        <v>32</v>
      </c>
    </row>
    <row r="287" spans="1:19" x14ac:dyDescent="0.45">
      <c r="A287" t="str">
        <f t="shared" si="21"/>
        <v>04801</v>
      </c>
      <c r="B287" t="s">
        <v>1549</v>
      </c>
      <c r="C287" t="str">
        <f t="shared" si="22"/>
        <v>04246</v>
      </c>
      <c r="D287" t="s">
        <v>1656</v>
      </c>
      <c r="E287" t="str">
        <f>"4432"</f>
        <v>4432</v>
      </c>
      <c r="F287" t="s">
        <v>1726</v>
      </c>
      <c r="G287">
        <v>6</v>
      </c>
      <c r="H287">
        <v>8</v>
      </c>
      <c r="I287" t="s">
        <v>1727</v>
      </c>
      <c r="K287" t="s">
        <v>1670</v>
      </c>
      <c r="L287" t="s">
        <v>25</v>
      </c>
      <c r="M287" t="s">
        <v>1660</v>
      </c>
      <c r="N287" t="s">
        <v>1728</v>
      </c>
      <c r="O287" t="s">
        <v>1729</v>
      </c>
      <c r="P287" t="s">
        <v>1730</v>
      </c>
      <c r="Q287" t="s">
        <v>30</v>
      </c>
      <c r="R287" t="s">
        <v>31</v>
      </c>
      <c r="S287" t="s">
        <v>104</v>
      </c>
    </row>
    <row r="288" spans="1:19" x14ac:dyDescent="0.45">
      <c r="A288" t="str">
        <f>"18801"</f>
        <v>18801</v>
      </c>
      <c r="B288" t="s">
        <v>1731</v>
      </c>
      <c r="C288" t="str">
        <f>"05121"</f>
        <v>05121</v>
      </c>
      <c r="D288" t="s">
        <v>1732</v>
      </c>
      <c r="E288" t="str">
        <f>"1897"</f>
        <v>1897</v>
      </c>
      <c r="F288" t="s">
        <v>1733</v>
      </c>
      <c r="G288" t="s">
        <v>22</v>
      </c>
      <c r="H288">
        <v>12</v>
      </c>
      <c r="I288" t="s">
        <v>1734</v>
      </c>
      <c r="K288" t="s">
        <v>1735</v>
      </c>
      <c r="L288" t="s">
        <v>25</v>
      </c>
      <c r="M288" t="s">
        <v>1736</v>
      </c>
      <c r="N288" t="s">
        <v>1737</v>
      </c>
      <c r="O288" t="s">
        <v>1738</v>
      </c>
      <c r="P288" t="s">
        <v>1739</v>
      </c>
      <c r="Q288" t="s">
        <v>66</v>
      </c>
      <c r="R288" t="s">
        <v>67</v>
      </c>
      <c r="S288" t="s">
        <v>68</v>
      </c>
    </row>
    <row r="289" spans="1:19" x14ac:dyDescent="0.45">
      <c r="A289" t="str">
        <f>"18801"</f>
        <v>18801</v>
      </c>
      <c r="B289" t="s">
        <v>1731</v>
      </c>
      <c r="C289" t="str">
        <f>"05121"</f>
        <v>05121</v>
      </c>
      <c r="D289" t="s">
        <v>1732</v>
      </c>
      <c r="E289" t="str">
        <f>"2368"</f>
        <v>2368</v>
      </c>
      <c r="F289" t="s">
        <v>1470</v>
      </c>
      <c r="G289" t="s">
        <v>22</v>
      </c>
      <c r="H289">
        <v>6</v>
      </c>
      <c r="I289" t="s">
        <v>1740</v>
      </c>
      <c r="K289" t="s">
        <v>1735</v>
      </c>
      <c r="L289" t="s">
        <v>25</v>
      </c>
      <c r="M289" t="s">
        <v>1741</v>
      </c>
      <c r="N289" t="s">
        <v>1742</v>
      </c>
      <c r="O289" t="s">
        <v>1743</v>
      </c>
      <c r="P289" t="s">
        <v>1744</v>
      </c>
      <c r="Q289" t="s">
        <v>30</v>
      </c>
      <c r="R289" t="s">
        <v>31</v>
      </c>
      <c r="S289" t="s">
        <v>32</v>
      </c>
    </row>
    <row r="290" spans="1:19" x14ac:dyDescent="0.45">
      <c r="A290" t="str">
        <f>"18801"</f>
        <v>18801</v>
      </c>
      <c r="B290" t="s">
        <v>1731</v>
      </c>
      <c r="C290" t="str">
        <f>"05121"</f>
        <v>05121</v>
      </c>
      <c r="D290" t="s">
        <v>1732</v>
      </c>
      <c r="E290" t="str">
        <f>"2908"</f>
        <v>2908</v>
      </c>
      <c r="F290" t="s">
        <v>1745</v>
      </c>
      <c r="G290">
        <v>9</v>
      </c>
      <c r="H290">
        <v>12</v>
      </c>
      <c r="I290" t="s">
        <v>1746</v>
      </c>
      <c r="K290" t="s">
        <v>1735</v>
      </c>
      <c r="L290" t="s">
        <v>25</v>
      </c>
      <c r="M290" t="s">
        <v>1747</v>
      </c>
      <c r="N290" t="s">
        <v>1748</v>
      </c>
      <c r="O290" t="s">
        <v>1749</v>
      </c>
      <c r="P290" t="s">
        <v>1750</v>
      </c>
      <c r="Q290" t="s">
        <v>30</v>
      </c>
      <c r="R290" t="s">
        <v>31</v>
      </c>
      <c r="S290" t="s">
        <v>58</v>
      </c>
    </row>
    <row r="291" spans="1:19" x14ac:dyDescent="0.45">
      <c r="A291" t="str">
        <f>"18801"</f>
        <v>18801</v>
      </c>
      <c r="B291" t="s">
        <v>1731</v>
      </c>
      <c r="C291" t="str">
        <f>"05121"</f>
        <v>05121</v>
      </c>
      <c r="D291" t="s">
        <v>1732</v>
      </c>
      <c r="E291" t="str">
        <f>"2909"</f>
        <v>2909</v>
      </c>
      <c r="F291" t="s">
        <v>1751</v>
      </c>
      <c r="G291" t="s">
        <v>22</v>
      </c>
      <c r="H291">
        <v>6</v>
      </c>
      <c r="I291" t="s">
        <v>1752</v>
      </c>
      <c r="K291" t="s">
        <v>1735</v>
      </c>
      <c r="L291" t="s">
        <v>25</v>
      </c>
      <c r="M291" t="s">
        <v>1753</v>
      </c>
      <c r="N291" t="s">
        <v>1754</v>
      </c>
      <c r="O291" t="s">
        <v>1755</v>
      </c>
      <c r="P291" t="s">
        <v>1756</v>
      </c>
      <c r="Q291" t="s">
        <v>30</v>
      </c>
      <c r="R291" t="s">
        <v>31</v>
      </c>
      <c r="S291" t="s">
        <v>32</v>
      </c>
    </row>
    <row r="292" spans="1:19" x14ac:dyDescent="0.45">
      <c r="A292" t="str">
        <f>"18801"</f>
        <v>18801</v>
      </c>
      <c r="B292" t="s">
        <v>1731</v>
      </c>
      <c r="C292" t="str">
        <f>"05121"</f>
        <v>05121</v>
      </c>
      <c r="D292" t="s">
        <v>1732</v>
      </c>
      <c r="E292" t="str">
        <f>"3079"</f>
        <v>3079</v>
      </c>
      <c r="F292" t="s">
        <v>1757</v>
      </c>
      <c r="G292" t="s">
        <v>22</v>
      </c>
      <c r="H292">
        <v>6</v>
      </c>
      <c r="I292" t="s">
        <v>1758</v>
      </c>
      <c r="K292" t="s">
        <v>1735</v>
      </c>
      <c r="L292" t="s">
        <v>25</v>
      </c>
      <c r="M292" t="s">
        <v>1759</v>
      </c>
      <c r="N292" t="s">
        <v>1760</v>
      </c>
      <c r="O292" t="s">
        <v>1761</v>
      </c>
      <c r="P292" t="s">
        <v>1762</v>
      </c>
      <c r="Q292" t="s">
        <v>30</v>
      </c>
      <c r="R292" t="s">
        <v>31</v>
      </c>
      <c r="S292" t="s">
        <v>32</v>
      </c>
    </row>
    <row r="293" spans="1:19" x14ac:dyDescent="0.45">
      <c r="A293" t="str">
        <f>"OSPI"</f>
        <v>OSPI</v>
      </c>
      <c r="B293" t="s">
        <v>1763</v>
      </c>
      <c r="C293" t="str">
        <f>"18801"</f>
        <v>18801</v>
      </c>
      <c r="D293" t="s">
        <v>1731</v>
      </c>
      <c r="E293" t="str">
        <f>"3143"</f>
        <v>3143</v>
      </c>
      <c r="F293" t="s">
        <v>1764</v>
      </c>
      <c r="G293">
        <v>8</v>
      </c>
      <c r="H293">
        <v>12</v>
      </c>
      <c r="I293" t="s">
        <v>1765</v>
      </c>
      <c r="K293" t="s">
        <v>1735</v>
      </c>
      <c r="L293" t="s">
        <v>25</v>
      </c>
      <c r="M293" t="s">
        <v>1766</v>
      </c>
      <c r="N293" t="s">
        <v>1767</v>
      </c>
      <c r="P293" t="s">
        <v>1768</v>
      </c>
      <c r="Q293" t="s">
        <v>1312</v>
      </c>
      <c r="R293" t="s">
        <v>1313</v>
      </c>
      <c r="S293" t="s">
        <v>58</v>
      </c>
    </row>
    <row r="294" spans="1:19" x14ac:dyDescent="0.45">
      <c r="A294" t="str">
        <f t="shared" ref="A294:A310" si="23">"18801"</f>
        <v>18801</v>
      </c>
      <c r="B294" t="s">
        <v>1731</v>
      </c>
      <c r="C294" t="str">
        <f>"05121"</f>
        <v>05121</v>
      </c>
      <c r="D294" t="s">
        <v>1732</v>
      </c>
      <c r="E294" t="str">
        <f>"3318"</f>
        <v>3318</v>
      </c>
      <c r="F294" t="s">
        <v>1769</v>
      </c>
      <c r="G294">
        <v>7</v>
      </c>
      <c r="H294">
        <v>8</v>
      </c>
      <c r="I294" t="s">
        <v>1770</v>
      </c>
      <c r="K294" t="s">
        <v>1735</v>
      </c>
      <c r="L294" t="s">
        <v>25</v>
      </c>
      <c r="M294" t="s">
        <v>1771</v>
      </c>
      <c r="N294" t="s">
        <v>1772</v>
      </c>
      <c r="O294" t="s">
        <v>1773</v>
      </c>
      <c r="P294" t="s">
        <v>1774</v>
      </c>
      <c r="Q294" t="s">
        <v>30</v>
      </c>
      <c r="R294" t="s">
        <v>31</v>
      </c>
      <c r="S294" t="s">
        <v>104</v>
      </c>
    </row>
    <row r="295" spans="1:19" x14ac:dyDescent="0.45">
      <c r="A295" t="str">
        <f t="shared" si="23"/>
        <v>18801</v>
      </c>
      <c r="B295" t="s">
        <v>1731</v>
      </c>
      <c r="C295" t="str">
        <f>"05121"</f>
        <v>05121</v>
      </c>
      <c r="D295" t="s">
        <v>1732</v>
      </c>
      <c r="E295" t="str">
        <f>"4003"</f>
        <v>4003</v>
      </c>
      <c r="F295" t="s">
        <v>1775</v>
      </c>
      <c r="G295">
        <v>9</v>
      </c>
      <c r="H295">
        <v>12</v>
      </c>
      <c r="I295" t="s">
        <v>1776</v>
      </c>
      <c r="K295" t="s">
        <v>1735</v>
      </c>
      <c r="L295" t="s">
        <v>25</v>
      </c>
      <c r="M295" t="s">
        <v>1777</v>
      </c>
      <c r="N295" t="s">
        <v>1778</v>
      </c>
      <c r="O295" t="s">
        <v>1779</v>
      </c>
      <c r="P295" t="s">
        <v>1750</v>
      </c>
      <c r="Q295" t="s">
        <v>157</v>
      </c>
      <c r="R295" t="s">
        <v>158</v>
      </c>
      <c r="S295" t="s">
        <v>58</v>
      </c>
    </row>
    <row r="296" spans="1:19" x14ac:dyDescent="0.45">
      <c r="A296" t="str">
        <f t="shared" si="23"/>
        <v>18801</v>
      </c>
      <c r="B296" t="s">
        <v>1731</v>
      </c>
      <c r="C296" t="str">
        <f>"05121"</f>
        <v>05121</v>
      </c>
      <c r="D296" t="s">
        <v>1732</v>
      </c>
      <c r="E296" t="str">
        <f>"4494"</f>
        <v>4494</v>
      </c>
      <c r="F296" t="s">
        <v>1780</v>
      </c>
      <c r="G296" t="s">
        <v>22</v>
      </c>
      <c r="H296">
        <v>6</v>
      </c>
      <c r="I296" t="s">
        <v>1781</v>
      </c>
      <c r="K296" t="s">
        <v>1735</v>
      </c>
      <c r="L296" t="s">
        <v>25</v>
      </c>
      <c r="M296" t="s">
        <v>1782</v>
      </c>
      <c r="N296" t="s">
        <v>1783</v>
      </c>
      <c r="O296" t="s">
        <v>1784</v>
      </c>
      <c r="P296" t="s">
        <v>1785</v>
      </c>
      <c r="Q296" t="s">
        <v>30</v>
      </c>
      <c r="R296" t="s">
        <v>31</v>
      </c>
      <c r="S296" t="s">
        <v>32</v>
      </c>
    </row>
    <row r="297" spans="1:19" x14ac:dyDescent="0.45">
      <c r="A297" t="str">
        <f t="shared" si="23"/>
        <v>18801</v>
      </c>
      <c r="B297" t="s">
        <v>1731</v>
      </c>
      <c r="C297" t="str">
        <f>"05313"</f>
        <v>05313</v>
      </c>
      <c r="D297" t="s">
        <v>1786</v>
      </c>
      <c r="E297" t="str">
        <f>"3473"</f>
        <v>3473</v>
      </c>
      <c r="F297" t="s">
        <v>1787</v>
      </c>
      <c r="G297" t="s">
        <v>70</v>
      </c>
      <c r="H297">
        <v>12</v>
      </c>
      <c r="I297" t="s">
        <v>1788</v>
      </c>
      <c r="K297" t="s">
        <v>1789</v>
      </c>
      <c r="L297" t="s">
        <v>25</v>
      </c>
      <c r="M297" t="s">
        <v>1790</v>
      </c>
      <c r="N297" t="s">
        <v>1791</v>
      </c>
      <c r="O297" t="s">
        <v>1792</v>
      </c>
      <c r="P297" t="s">
        <v>1793</v>
      </c>
      <c r="Q297" t="s">
        <v>30</v>
      </c>
      <c r="R297" t="s">
        <v>31</v>
      </c>
      <c r="S297" t="s">
        <v>330</v>
      </c>
    </row>
    <row r="298" spans="1:19" x14ac:dyDescent="0.45">
      <c r="A298" t="str">
        <f t="shared" si="23"/>
        <v>18801</v>
      </c>
      <c r="B298" t="s">
        <v>1731</v>
      </c>
      <c r="C298" t="str">
        <f>"05323"</f>
        <v>05323</v>
      </c>
      <c r="D298" t="s">
        <v>1794</v>
      </c>
      <c r="E298" t="str">
        <f>"1708"</f>
        <v>1708</v>
      </c>
      <c r="F298" t="s">
        <v>1795</v>
      </c>
      <c r="G298">
        <v>1</v>
      </c>
      <c r="H298">
        <v>12</v>
      </c>
      <c r="I298" t="s">
        <v>1796</v>
      </c>
      <c r="K298" t="s">
        <v>1797</v>
      </c>
      <c r="L298" t="s">
        <v>25</v>
      </c>
      <c r="M298" t="s">
        <v>1798</v>
      </c>
      <c r="N298" t="s">
        <v>1799</v>
      </c>
      <c r="O298" t="s">
        <v>1800</v>
      </c>
      <c r="P298" t="s">
        <v>1801</v>
      </c>
      <c r="Q298" t="s">
        <v>157</v>
      </c>
      <c r="R298" t="s">
        <v>158</v>
      </c>
      <c r="S298" t="s">
        <v>159</v>
      </c>
    </row>
    <row r="299" spans="1:19" x14ac:dyDescent="0.45">
      <c r="A299" t="str">
        <f t="shared" si="23"/>
        <v>18801</v>
      </c>
      <c r="B299" t="s">
        <v>1731</v>
      </c>
      <c r="C299" t="str">
        <f>"05323"</f>
        <v>05323</v>
      </c>
      <c r="D299" t="s">
        <v>1794</v>
      </c>
      <c r="E299" t="str">
        <f>"2471"</f>
        <v>2471</v>
      </c>
      <c r="F299" t="s">
        <v>1802</v>
      </c>
      <c r="G299">
        <v>9</v>
      </c>
      <c r="H299">
        <v>12</v>
      </c>
      <c r="I299" t="s">
        <v>1803</v>
      </c>
      <c r="K299" t="s">
        <v>1797</v>
      </c>
      <c r="L299" t="s">
        <v>25</v>
      </c>
      <c r="M299" t="s">
        <v>1804</v>
      </c>
      <c r="N299" t="s">
        <v>1805</v>
      </c>
      <c r="O299" t="s">
        <v>1806</v>
      </c>
      <c r="P299" t="s">
        <v>1807</v>
      </c>
      <c r="Q299" t="s">
        <v>30</v>
      </c>
      <c r="R299" t="s">
        <v>31</v>
      </c>
      <c r="S299" t="s">
        <v>58</v>
      </c>
    </row>
    <row r="300" spans="1:19" x14ac:dyDescent="0.45">
      <c r="A300" t="str">
        <f t="shared" si="23"/>
        <v>18801</v>
      </c>
      <c r="B300" t="s">
        <v>1731</v>
      </c>
      <c r="C300" t="str">
        <f>"05323"</f>
        <v>05323</v>
      </c>
      <c r="D300" t="s">
        <v>1794</v>
      </c>
      <c r="E300" t="str">
        <f>"2722"</f>
        <v>2722</v>
      </c>
      <c r="F300" t="s">
        <v>1808</v>
      </c>
      <c r="G300" t="s">
        <v>22</v>
      </c>
      <c r="H300">
        <v>5</v>
      </c>
      <c r="I300" t="s">
        <v>1809</v>
      </c>
      <c r="K300" t="s">
        <v>1797</v>
      </c>
      <c r="L300" t="s">
        <v>25</v>
      </c>
      <c r="M300" t="s">
        <v>1804</v>
      </c>
      <c r="N300" t="s">
        <v>1810</v>
      </c>
      <c r="O300" t="s">
        <v>1811</v>
      </c>
      <c r="P300" t="s">
        <v>1812</v>
      </c>
      <c r="Q300" t="s">
        <v>30</v>
      </c>
      <c r="R300" t="s">
        <v>31</v>
      </c>
      <c r="S300" t="s">
        <v>32</v>
      </c>
    </row>
    <row r="301" spans="1:19" x14ac:dyDescent="0.45">
      <c r="A301" t="str">
        <f t="shared" si="23"/>
        <v>18801</v>
      </c>
      <c r="B301" t="s">
        <v>1731</v>
      </c>
      <c r="C301" t="str">
        <f>"05323"</f>
        <v>05323</v>
      </c>
      <c r="D301" t="s">
        <v>1794</v>
      </c>
      <c r="E301" t="str">
        <f>"4378"</f>
        <v>4378</v>
      </c>
      <c r="F301" t="s">
        <v>1813</v>
      </c>
      <c r="G301" t="s">
        <v>22</v>
      </c>
      <c r="H301">
        <v>5</v>
      </c>
      <c r="I301" t="s">
        <v>1814</v>
      </c>
      <c r="K301" t="s">
        <v>1797</v>
      </c>
      <c r="L301" t="s">
        <v>25</v>
      </c>
      <c r="M301" t="s">
        <v>1804</v>
      </c>
      <c r="N301" t="s">
        <v>1815</v>
      </c>
      <c r="O301" t="s">
        <v>1816</v>
      </c>
      <c r="P301" t="s">
        <v>1817</v>
      </c>
      <c r="Q301" t="s">
        <v>30</v>
      </c>
      <c r="R301" t="s">
        <v>31</v>
      </c>
      <c r="S301" t="s">
        <v>32</v>
      </c>
    </row>
    <row r="302" spans="1:19" x14ac:dyDescent="0.45">
      <c r="A302" t="str">
        <f t="shared" si="23"/>
        <v>18801</v>
      </c>
      <c r="B302" t="s">
        <v>1731</v>
      </c>
      <c r="C302" t="str">
        <f>"05323"</f>
        <v>05323</v>
      </c>
      <c r="D302" t="s">
        <v>1794</v>
      </c>
      <c r="E302" t="str">
        <f>"4519"</f>
        <v>4519</v>
      </c>
      <c r="F302" t="s">
        <v>1818</v>
      </c>
      <c r="G302">
        <v>6</v>
      </c>
      <c r="H302">
        <v>8</v>
      </c>
      <c r="I302" t="s">
        <v>1819</v>
      </c>
      <c r="K302" t="s">
        <v>1797</v>
      </c>
      <c r="L302" t="s">
        <v>25</v>
      </c>
      <c r="M302" t="s">
        <v>1804</v>
      </c>
      <c r="N302" t="s">
        <v>1820</v>
      </c>
      <c r="O302" t="s">
        <v>1821</v>
      </c>
      <c r="P302" t="s">
        <v>1822</v>
      </c>
      <c r="Q302" t="s">
        <v>30</v>
      </c>
      <c r="R302" t="s">
        <v>31</v>
      </c>
      <c r="S302" t="s">
        <v>104</v>
      </c>
    </row>
    <row r="303" spans="1:19" x14ac:dyDescent="0.45">
      <c r="A303" t="str">
        <f t="shared" si="23"/>
        <v>18801</v>
      </c>
      <c r="B303" t="s">
        <v>1731</v>
      </c>
      <c r="C303" t="str">
        <f>"05401"</f>
        <v>05401</v>
      </c>
      <c r="D303" t="s">
        <v>1823</v>
      </c>
      <c r="E303" t="str">
        <f>"1787"</f>
        <v>1787</v>
      </c>
      <c r="F303" t="s">
        <v>1824</v>
      </c>
      <c r="G303" t="s">
        <v>22</v>
      </c>
      <c r="H303" t="s">
        <v>22</v>
      </c>
      <c r="I303" t="s">
        <v>1825</v>
      </c>
      <c r="K303" t="s">
        <v>1826</v>
      </c>
      <c r="L303" t="s">
        <v>25</v>
      </c>
      <c r="M303" t="s">
        <v>1827</v>
      </c>
      <c r="N303" t="s">
        <v>1828</v>
      </c>
      <c r="O303" t="s">
        <v>1829</v>
      </c>
      <c r="P303" t="s">
        <v>1830</v>
      </c>
      <c r="Q303" t="s">
        <v>30</v>
      </c>
      <c r="R303" t="s">
        <v>31</v>
      </c>
      <c r="S303" t="s">
        <v>1248</v>
      </c>
    </row>
    <row r="304" spans="1:19" x14ac:dyDescent="0.45">
      <c r="A304" t="str">
        <f t="shared" si="23"/>
        <v>18801</v>
      </c>
      <c r="B304" t="s">
        <v>1731</v>
      </c>
      <c r="C304" t="str">
        <f>"05401"</f>
        <v>05401</v>
      </c>
      <c r="D304" t="s">
        <v>1823</v>
      </c>
      <c r="E304" t="str">
        <f>"2594"</f>
        <v>2594</v>
      </c>
      <c r="F304" t="s">
        <v>1831</v>
      </c>
      <c r="G304" t="s">
        <v>70</v>
      </c>
      <c r="H304">
        <v>5</v>
      </c>
      <c r="I304" t="s">
        <v>1832</v>
      </c>
      <c r="J304" t="s">
        <v>1833</v>
      </c>
      <c r="K304" t="s">
        <v>1834</v>
      </c>
      <c r="L304" t="s">
        <v>25</v>
      </c>
      <c r="M304" t="s">
        <v>1835</v>
      </c>
      <c r="N304" t="s">
        <v>1836</v>
      </c>
      <c r="O304" t="s">
        <v>1837</v>
      </c>
      <c r="P304" t="s">
        <v>1838</v>
      </c>
      <c r="Q304" t="s">
        <v>30</v>
      </c>
      <c r="R304" t="s">
        <v>31</v>
      </c>
      <c r="S304" t="s">
        <v>32</v>
      </c>
    </row>
    <row r="305" spans="1:19" x14ac:dyDescent="0.45">
      <c r="A305" t="str">
        <f t="shared" si="23"/>
        <v>18801</v>
      </c>
      <c r="B305" t="s">
        <v>1731</v>
      </c>
      <c r="C305" t="str">
        <f>"05401"</f>
        <v>05401</v>
      </c>
      <c r="D305" t="s">
        <v>1823</v>
      </c>
      <c r="E305" t="str">
        <f>"3145"</f>
        <v>3145</v>
      </c>
      <c r="F305" t="s">
        <v>1839</v>
      </c>
      <c r="G305">
        <v>6</v>
      </c>
      <c r="H305">
        <v>12</v>
      </c>
      <c r="I305" t="s">
        <v>1832</v>
      </c>
      <c r="J305" t="s">
        <v>1840</v>
      </c>
      <c r="K305" t="s">
        <v>1834</v>
      </c>
      <c r="L305" t="s">
        <v>25</v>
      </c>
      <c r="M305" t="s">
        <v>1835</v>
      </c>
      <c r="N305" t="s">
        <v>1841</v>
      </c>
      <c r="O305" t="s">
        <v>1842</v>
      </c>
      <c r="P305" t="s">
        <v>1843</v>
      </c>
      <c r="Q305" t="s">
        <v>30</v>
      </c>
      <c r="R305" t="s">
        <v>31</v>
      </c>
      <c r="S305" t="s">
        <v>159</v>
      </c>
    </row>
    <row r="306" spans="1:19" x14ac:dyDescent="0.45">
      <c r="A306" t="str">
        <f t="shared" si="23"/>
        <v>18801</v>
      </c>
      <c r="B306" t="s">
        <v>1731</v>
      </c>
      <c r="C306" t="str">
        <f>"05401"</f>
        <v>05401</v>
      </c>
      <c r="D306" t="s">
        <v>1823</v>
      </c>
      <c r="E306" t="str">
        <f>"3422"</f>
        <v>3422</v>
      </c>
      <c r="F306" t="s">
        <v>1844</v>
      </c>
      <c r="G306" t="s">
        <v>70</v>
      </c>
      <c r="H306">
        <v>12</v>
      </c>
      <c r="I306" t="s">
        <v>1845</v>
      </c>
      <c r="K306" t="s">
        <v>1846</v>
      </c>
      <c r="L306" t="s">
        <v>25</v>
      </c>
      <c r="M306" t="s">
        <v>1847</v>
      </c>
      <c r="N306" t="s">
        <v>1848</v>
      </c>
      <c r="O306" t="s">
        <v>1849</v>
      </c>
      <c r="P306" t="s">
        <v>1850</v>
      </c>
      <c r="Q306" t="s">
        <v>30</v>
      </c>
      <c r="R306" t="s">
        <v>31</v>
      </c>
      <c r="S306" t="s">
        <v>330</v>
      </c>
    </row>
    <row r="307" spans="1:19" x14ac:dyDescent="0.45">
      <c r="A307" t="str">
        <f t="shared" si="23"/>
        <v>18801</v>
      </c>
      <c r="B307" t="s">
        <v>1731</v>
      </c>
      <c r="C307" t="str">
        <f>"05402"</f>
        <v>05402</v>
      </c>
      <c r="D307" t="s">
        <v>1851</v>
      </c>
      <c r="E307" t="str">
        <f>"1500"</f>
        <v>1500</v>
      </c>
      <c r="F307" t="s">
        <v>1852</v>
      </c>
      <c r="G307">
        <v>9</v>
      </c>
      <c r="H307">
        <v>12</v>
      </c>
      <c r="I307" t="s">
        <v>1853</v>
      </c>
      <c r="K307" t="s">
        <v>1854</v>
      </c>
      <c r="L307" t="s">
        <v>25</v>
      </c>
      <c r="M307" t="s">
        <v>1855</v>
      </c>
      <c r="N307" t="s">
        <v>1856</v>
      </c>
      <c r="O307" t="s">
        <v>1857</v>
      </c>
      <c r="P307" t="s">
        <v>1858</v>
      </c>
      <c r="Q307" t="s">
        <v>157</v>
      </c>
      <c r="R307" t="s">
        <v>158</v>
      </c>
      <c r="S307" t="s">
        <v>58</v>
      </c>
    </row>
    <row r="308" spans="1:19" x14ac:dyDescent="0.45">
      <c r="A308" t="str">
        <f t="shared" si="23"/>
        <v>18801</v>
      </c>
      <c r="B308" t="s">
        <v>1731</v>
      </c>
      <c r="C308" t="str">
        <f>"05402"</f>
        <v>05402</v>
      </c>
      <c r="D308" t="s">
        <v>1851</v>
      </c>
      <c r="E308" t="str">
        <f>"1671"</f>
        <v>1671</v>
      </c>
      <c r="F308" t="s">
        <v>1859</v>
      </c>
      <c r="G308" t="s">
        <v>70</v>
      </c>
      <c r="H308">
        <v>12</v>
      </c>
      <c r="I308" t="s">
        <v>1860</v>
      </c>
      <c r="K308" t="s">
        <v>1854</v>
      </c>
      <c r="L308" t="s">
        <v>25</v>
      </c>
      <c r="M308" t="s">
        <v>1861</v>
      </c>
      <c r="N308" t="s">
        <v>1856</v>
      </c>
      <c r="O308" t="s">
        <v>1857</v>
      </c>
      <c r="P308" t="s">
        <v>1858</v>
      </c>
      <c r="Q308" t="s">
        <v>157</v>
      </c>
      <c r="R308" t="s">
        <v>158</v>
      </c>
      <c r="S308" t="s">
        <v>330</v>
      </c>
    </row>
    <row r="309" spans="1:19" x14ac:dyDescent="0.45">
      <c r="A309" t="str">
        <f t="shared" si="23"/>
        <v>18801</v>
      </c>
      <c r="B309" t="s">
        <v>1731</v>
      </c>
      <c r="C309" t="str">
        <f>"05402"</f>
        <v>05402</v>
      </c>
      <c r="D309" t="s">
        <v>1851</v>
      </c>
      <c r="E309" t="str">
        <f>"2349"</f>
        <v>2349</v>
      </c>
      <c r="F309" t="s">
        <v>1862</v>
      </c>
      <c r="G309">
        <v>7</v>
      </c>
      <c r="H309">
        <v>12</v>
      </c>
      <c r="I309" t="s">
        <v>1863</v>
      </c>
      <c r="K309" t="s">
        <v>1854</v>
      </c>
      <c r="L309" t="s">
        <v>25</v>
      </c>
      <c r="M309" t="s">
        <v>1855</v>
      </c>
      <c r="N309" t="s">
        <v>1864</v>
      </c>
      <c r="O309" t="s">
        <v>1857</v>
      </c>
      <c r="P309" t="s">
        <v>1858</v>
      </c>
      <c r="Q309" t="s">
        <v>30</v>
      </c>
      <c r="R309" t="s">
        <v>31</v>
      </c>
      <c r="S309" t="s">
        <v>159</v>
      </c>
    </row>
    <row r="310" spans="1:19" x14ac:dyDescent="0.45">
      <c r="A310" t="str">
        <f t="shared" si="23"/>
        <v>18801</v>
      </c>
      <c r="B310" t="s">
        <v>1731</v>
      </c>
      <c r="C310" t="str">
        <f>"05402"</f>
        <v>05402</v>
      </c>
      <c r="D310" t="s">
        <v>1851</v>
      </c>
      <c r="E310" t="str">
        <f>"3737"</f>
        <v>3737</v>
      </c>
      <c r="F310" t="s">
        <v>1865</v>
      </c>
      <c r="G310" t="s">
        <v>22</v>
      </c>
      <c r="H310">
        <v>3</v>
      </c>
      <c r="I310" t="s">
        <v>1866</v>
      </c>
      <c r="K310" t="s">
        <v>1854</v>
      </c>
      <c r="L310" t="s">
        <v>25</v>
      </c>
      <c r="M310" t="s">
        <v>1855</v>
      </c>
      <c r="N310" t="s">
        <v>1867</v>
      </c>
      <c r="O310" t="s">
        <v>1868</v>
      </c>
      <c r="P310" t="s">
        <v>1869</v>
      </c>
      <c r="Q310" t="s">
        <v>30</v>
      </c>
      <c r="R310" t="s">
        <v>31</v>
      </c>
      <c r="S310" t="s">
        <v>32</v>
      </c>
    </row>
    <row r="311" spans="1:19" x14ac:dyDescent="0.45">
      <c r="A311" t="str">
        <f t="shared" ref="A311:A336" si="24">"06801"</f>
        <v>06801</v>
      </c>
      <c r="B311" t="s">
        <v>1870</v>
      </c>
      <c r="C311" t="str">
        <f t="shared" ref="C311:C336" si="25">"06037"</f>
        <v>06037</v>
      </c>
      <c r="D311" t="s">
        <v>1871</v>
      </c>
      <c r="E311" t="str">
        <f>"1574"</f>
        <v>1574</v>
      </c>
      <c r="F311" t="s">
        <v>1872</v>
      </c>
      <c r="G311" t="s">
        <v>70</v>
      </c>
      <c r="H311">
        <v>12</v>
      </c>
      <c r="I311" t="s">
        <v>1873</v>
      </c>
      <c r="K311" t="s">
        <v>1874</v>
      </c>
      <c r="L311" t="s">
        <v>25</v>
      </c>
      <c r="M311" t="s">
        <v>1875</v>
      </c>
      <c r="N311" t="s">
        <v>1876</v>
      </c>
      <c r="O311" t="s">
        <v>1877</v>
      </c>
      <c r="P311" t="s">
        <v>1878</v>
      </c>
      <c r="Q311" t="s">
        <v>66</v>
      </c>
      <c r="R311" t="s">
        <v>67</v>
      </c>
      <c r="S311" t="s">
        <v>159</v>
      </c>
    </row>
    <row r="312" spans="1:19" x14ac:dyDescent="0.45">
      <c r="A312" t="str">
        <f t="shared" si="24"/>
        <v>06801</v>
      </c>
      <c r="B312" t="s">
        <v>1870</v>
      </c>
      <c r="C312" t="str">
        <f t="shared" si="25"/>
        <v>06037</v>
      </c>
      <c r="D312" t="s">
        <v>1871</v>
      </c>
      <c r="E312" t="str">
        <f>"1689"</f>
        <v>1689</v>
      </c>
      <c r="F312" t="s">
        <v>1879</v>
      </c>
      <c r="G312">
        <v>6</v>
      </c>
      <c r="H312">
        <v>12</v>
      </c>
      <c r="I312" t="s">
        <v>1880</v>
      </c>
      <c r="K312" t="s">
        <v>1874</v>
      </c>
      <c r="L312" t="s">
        <v>25</v>
      </c>
      <c r="M312" t="s">
        <v>1881</v>
      </c>
      <c r="N312" t="s">
        <v>1882</v>
      </c>
      <c r="O312" t="s">
        <v>1883</v>
      </c>
      <c r="P312" t="s">
        <v>1884</v>
      </c>
      <c r="Q312" t="s">
        <v>30</v>
      </c>
      <c r="R312" t="s">
        <v>31</v>
      </c>
      <c r="S312" t="s">
        <v>159</v>
      </c>
    </row>
    <row r="313" spans="1:19" x14ac:dyDescent="0.45">
      <c r="A313" t="str">
        <f t="shared" si="24"/>
        <v>06801</v>
      </c>
      <c r="B313" t="s">
        <v>1870</v>
      </c>
      <c r="C313" t="str">
        <f t="shared" si="25"/>
        <v>06037</v>
      </c>
      <c r="D313" t="s">
        <v>1871</v>
      </c>
      <c r="E313" t="str">
        <f>"1738"</f>
        <v>1738</v>
      </c>
      <c r="F313" t="s">
        <v>1885</v>
      </c>
      <c r="G313">
        <v>12</v>
      </c>
      <c r="H313">
        <v>12</v>
      </c>
      <c r="I313" t="s">
        <v>1886</v>
      </c>
      <c r="K313" t="s">
        <v>1874</v>
      </c>
      <c r="L313" t="s">
        <v>25</v>
      </c>
      <c r="M313" t="s">
        <v>1887</v>
      </c>
      <c r="N313" t="s">
        <v>1876</v>
      </c>
      <c r="O313" t="s">
        <v>1877</v>
      </c>
      <c r="P313" t="s">
        <v>1878</v>
      </c>
      <c r="Q313" t="s">
        <v>66</v>
      </c>
      <c r="R313" t="s">
        <v>67</v>
      </c>
      <c r="S313" t="s">
        <v>58</v>
      </c>
    </row>
    <row r="314" spans="1:19" x14ac:dyDescent="0.45">
      <c r="A314" t="str">
        <f t="shared" si="24"/>
        <v>06801</v>
      </c>
      <c r="B314" t="s">
        <v>1870</v>
      </c>
      <c r="C314" t="str">
        <f t="shared" si="25"/>
        <v>06037</v>
      </c>
      <c r="D314" t="s">
        <v>1871</v>
      </c>
      <c r="E314" t="str">
        <f>"2179"</f>
        <v>2179</v>
      </c>
      <c r="F314" t="s">
        <v>1888</v>
      </c>
      <c r="G314">
        <v>9</v>
      </c>
      <c r="H314">
        <v>12</v>
      </c>
      <c r="I314" t="s">
        <v>1889</v>
      </c>
      <c r="K314" t="s">
        <v>1874</v>
      </c>
      <c r="L314" t="s">
        <v>25</v>
      </c>
      <c r="M314" t="s">
        <v>1890</v>
      </c>
      <c r="N314" t="s">
        <v>1891</v>
      </c>
      <c r="O314" t="s">
        <v>1892</v>
      </c>
      <c r="P314" t="s">
        <v>1893</v>
      </c>
      <c r="Q314" t="s">
        <v>30</v>
      </c>
      <c r="R314" t="s">
        <v>31</v>
      </c>
      <c r="S314" t="s">
        <v>58</v>
      </c>
    </row>
    <row r="315" spans="1:19" x14ac:dyDescent="0.45">
      <c r="A315" t="str">
        <f t="shared" si="24"/>
        <v>06801</v>
      </c>
      <c r="B315" t="s">
        <v>1870</v>
      </c>
      <c r="C315" t="str">
        <f t="shared" si="25"/>
        <v>06037</v>
      </c>
      <c r="D315" t="s">
        <v>1871</v>
      </c>
      <c r="E315" t="str">
        <f>"2318"</f>
        <v>2318</v>
      </c>
      <c r="F315" t="s">
        <v>1344</v>
      </c>
      <c r="G315" t="s">
        <v>70</v>
      </c>
      <c r="H315">
        <v>5</v>
      </c>
      <c r="I315" t="s">
        <v>1894</v>
      </c>
      <c r="K315" t="s">
        <v>1874</v>
      </c>
      <c r="L315" t="s">
        <v>25</v>
      </c>
      <c r="M315" t="s">
        <v>1895</v>
      </c>
      <c r="N315" t="s">
        <v>1896</v>
      </c>
      <c r="O315" t="s">
        <v>1897</v>
      </c>
      <c r="P315" t="s">
        <v>1898</v>
      </c>
      <c r="Q315" t="s">
        <v>30</v>
      </c>
      <c r="R315" t="s">
        <v>31</v>
      </c>
      <c r="S315" t="s">
        <v>32</v>
      </c>
    </row>
    <row r="316" spans="1:19" x14ac:dyDescent="0.45">
      <c r="A316" t="str">
        <f t="shared" si="24"/>
        <v>06801</v>
      </c>
      <c r="B316" t="s">
        <v>1870</v>
      </c>
      <c r="C316" t="str">
        <f t="shared" si="25"/>
        <v>06037</v>
      </c>
      <c r="D316" t="s">
        <v>1871</v>
      </c>
      <c r="E316" t="str">
        <f>"2610"</f>
        <v>2610</v>
      </c>
      <c r="F316" t="s">
        <v>1899</v>
      </c>
      <c r="G316" t="s">
        <v>70</v>
      </c>
      <c r="H316">
        <v>5</v>
      </c>
      <c r="I316" t="s">
        <v>1900</v>
      </c>
      <c r="K316" t="s">
        <v>1874</v>
      </c>
      <c r="L316" t="s">
        <v>25</v>
      </c>
      <c r="M316" t="s">
        <v>1901</v>
      </c>
      <c r="N316" t="s">
        <v>1902</v>
      </c>
      <c r="O316" t="s">
        <v>1903</v>
      </c>
      <c r="P316" t="s">
        <v>1904</v>
      </c>
      <c r="Q316" t="s">
        <v>30</v>
      </c>
      <c r="R316" t="s">
        <v>31</v>
      </c>
      <c r="S316" t="s">
        <v>32</v>
      </c>
    </row>
    <row r="317" spans="1:19" x14ac:dyDescent="0.45">
      <c r="A317" t="str">
        <f t="shared" si="24"/>
        <v>06801</v>
      </c>
      <c r="B317" t="s">
        <v>1870</v>
      </c>
      <c r="C317" t="str">
        <f t="shared" si="25"/>
        <v>06037</v>
      </c>
      <c r="D317" t="s">
        <v>1871</v>
      </c>
      <c r="E317" t="str">
        <f>"2636"</f>
        <v>2636</v>
      </c>
      <c r="F317" t="s">
        <v>1905</v>
      </c>
      <c r="G317" t="s">
        <v>22</v>
      </c>
      <c r="H317" t="s">
        <v>22</v>
      </c>
      <c r="I317" t="s">
        <v>1906</v>
      </c>
      <c r="K317" t="s">
        <v>1874</v>
      </c>
      <c r="L317" t="s">
        <v>25</v>
      </c>
      <c r="M317" t="s">
        <v>1907</v>
      </c>
      <c r="N317" t="s">
        <v>1908</v>
      </c>
      <c r="O317" t="s">
        <v>1909</v>
      </c>
      <c r="P317" t="s">
        <v>1910</v>
      </c>
      <c r="Q317" t="s">
        <v>30</v>
      </c>
      <c r="R317" t="s">
        <v>31</v>
      </c>
      <c r="S317" t="s">
        <v>1248</v>
      </c>
    </row>
    <row r="318" spans="1:19" x14ac:dyDescent="0.45">
      <c r="A318" t="str">
        <f t="shared" si="24"/>
        <v>06801</v>
      </c>
      <c r="B318" t="s">
        <v>1870</v>
      </c>
      <c r="C318" t="str">
        <f t="shared" si="25"/>
        <v>06037</v>
      </c>
      <c r="D318" t="s">
        <v>1871</v>
      </c>
      <c r="E318" t="str">
        <f>"2637"</f>
        <v>2637</v>
      </c>
      <c r="F318" t="s">
        <v>1911</v>
      </c>
      <c r="G318" t="s">
        <v>70</v>
      </c>
      <c r="H318">
        <v>5</v>
      </c>
      <c r="I318" t="s">
        <v>1912</v>
      </c>
      <c r="K318" t="s">
        <v>1874</v>
      </c>
      <c r="L318" t="s">
        <v>25</v>
      </c>
      <c r="M318" t="s">
        <v>1913</v>
      </c>
      <c r="N318" t="s">
        <v>1914</v>
      </c>
      <c r="O318" t="s">
        <v>1915</v>
      </c>
      <c r="P318" t="s">
        <v>1916</v>
      </c>
      <c r="Q318" t="s">
        <v>30</v>
      </c>
      <c r="R318" t="s">
        <v>31</v>
      </c>
      <c r="S318" t="s">
        <v>32</v>
      </c>
    </row>
    <row r="319" spans="1:19" x14ac:dyDescent="0.45">
      <c r="A319" t="str">
        <f t="shared" si="24"/>
        <v>06801</v>
      </c>
      <c r="B319" t="s">
        <v>1870</v>
      </c>
      <c r="C319" t="str">
        <f t="shared" si="25"/>
        <v>06037</v>
      </c>
      <c r="D319" t="s">
        <v>1871</v>
      </c>
      <c r="E319" t="str">
        <f>"2643"</f>
        <v>2643</v>
      </c>
      <c r="F319" t="s">
        <v>1917</v>
      </c>
      <c r="G319" t="s">
        <v>70</v>
      </c>
      <c r="H319">
        <v>5</v>
      </c>
      <c r="I319" t="s">
        <v>1918</v>
      </c>
      <c r="K319" t="s">
        <v>1874</v>
      </c>
      <c r="L319" t="s">
        <v>25</v>
      </c>
      <c r="M319" t="s">
        <v>1919</v>
      </c>
      <c r="N319" t="s">
        <v>1920</v>
      </c>
      <c r="O319" t="s">
        <v>1921</v>
      </c>
      <c r="P319" t="s">
        <v>1922</v>
      </c>
      <c r="Q319" t="s">
        <v>30</v>
      </c>
      <c r="R319" t="s">
        <v>31</v>
      </c>
      <c r="S319" t="s">
        <v>32</v>
      </c>
    </row>
    <row r="320" spans="1:19" x14ac:dyDescent="0.45">
      <c r="A320" t="str">
        <f t="shared" si="24"/>
        <v>06801</v>
      </c>
      <c r="B320" t="s">
        <v>1870</v>
      </c>
      <c r="C320" t="str">
        <f t="shared" si="25"/>
        <v>06037</v>
      </c>
      <c r="D320" t="s">
        <v>1871</v>
      </c>
      <c r="E320" t="str">
        <f>"2644"</f>
        <v>2644</v>
      </c>
      <c r="F320" t="s">
        <v>1923</v>
      </c>
      <c r="G320" t="s">
        <v>22</v>
      </c>
      <c r="H320">
        <v>5</v>
      </c>
      <c r="I320" t="s">
        <v>1924</v>
      </c>
      <c r="K320" t="s">
        <v>1874</v>
      </c>
      <c r="L320" t="s">
        <v>25</v>
      </c>
      <c r="M320" t="s">
        <v>1925</v>
      </c>
      <c r="N320" t="s">
        <v>1926</v>
      </c>
      <c r="O320" t="s">
        <v>1927</v>
      </c>
      <c r="P320" t="s">
        <v>1928</v>
      </c>
      <c r="Q320" t="s">
        <v>30</v>
      </c>
      <c r="R320" t="s">
        <v>31</v>
      </c>
      <c r="S320" t="s">
        <v>32</v>
      </c>
    </row>
    <row r="321" spans="1:19" x14ac:dyDescent="0.45">
      <c r="A321" t="str">
        <f t="shared" si="24"/>
        <v>06801</v>
      </c>
      <c r="B321" t="s">
        <v>1870</v>
      </c>
      <c r="C321" t="str">
        <f t="shared" si="25"/>
        <v>06037</v>
      </c>
      <c r="D321" t="s">
        <v>1871</v>
      </c>
      <c r="E321" t="str">
        <f>"2690"</f>
        <v>2690</v>
      </c>
      <c r="F321" t="s">
        <v>1929</v>
      </c>
      <c r="G321" t="s">
        <v>70</v>
      </c>
      <c r="H321">
        <v>5</v>
      </c>
      <c r="I321" t="s">
        <v>1930</v>
      </c>
      <c r="K321" t="s">
        <v>1874</v>
      </c>
      <c r="L321" t="s">
        <v>25</v>
      </c>
      <c r="M321" t="s">
        <v>1931</v>
      </c>
      <c r="N321" t="s">
        <v>1932</v>
      </c>
      <c r="O321" t="s">
        <v>1933</v>
      </c>
      <c r="P321" t="s">
        <v>1934</v>
      </c>
      <c r="Q321" t="s">
        <v>30</v>
      </c>
      <c r="R321" t="s">
        <v>31</v>
      </c>
      <c r="S321" t="s">
        <v>32</v>
      </c>
    </row>
    <row r="322" spans="1:19" x14ac:dyDescent="0.45">
      <c r="A322" t="str">
        <f t="shared" si="24"/>
        <v>06801</v>
      </c>
      <c r="B322" t="s">
        <v>1870</v>
      </c>
      <c r="C322" t="str">
        <f t="shared" si="25"/>
        <v>06037</v>
      </c>
      <c r="D322" t="s">
        <v>1871</v>
      </c>
      <c r="E322" t="str">
        <f>"2723"</f>
        <v>2723</v>
      </c>
      <c r="F322" t="s">
        <v>1935</v>
      </c>
      <c r="G322" t="s">
        <v>70</v>
      </c>
      <c r="H322">
        <v>5</v>
      </c>
      <c r="I322" t="s">
        <v>1936</v>
      </c>
      <c r="K322" t="s">
        <v>1874</v>
      </c>
      <c r="L322" t="s">
        <v>1937</v>
      </c>
      <c r="M322" t="s">
        <v>1938</v>
      </c>
      <c r="N322" t="s">
        <v>1939</v>
      </c>
      <c r="O322" t="s">
        <v>1940</v>
      </c>
      <c r="P322" t="s">
        <v>1941</v>
      </c>
      <c r="Q322" t="s">
        <v>30</v>
      </c>
      <c r="R322" t="s">
        <v>31</v>
      </c>
      <c r="S322" t="s">
        <v>32</v>
      </c>
    </row>
    <row r="323" spans="1:19" x14ac:dyDescent="0.45">
      <c r="A323" t="str">
        <f t="shared" si="24"/>
        <v>06801</v>
      </c>
      <c r="B323" t="s">
        <v>1870</v>
      </c>
      <c r="C323" t="str">
        <f t="shared" si="25"/>
        <v>06037</v>
      </c>
      <c r="D323" t="s">
        <v>1871</v>
      </c>
      <c r="E323" t="str">
        <f>"2828"</f>
        <v>2828</v>
      </c>
      <c r="F323" t="s">
        <v>1942</v>
      </c>
      <c r="G323" t="s">
        <v>70</v>
      </c>
      <c r="H323">
        <v>5</v>
      </c>
      <c r="I323" t="s">
        <v>1943</v>
      </c>
      <c r="K323" t="s">
        <v>1874</v>
      </c>
      <c r="L323" t="s">
        <v>25</v>
      </c>
      <c r="M323" t="s">
        <v>1944</v>
      </c>
      <c r="N323" t="s">
        <v>1945</v>
      </c>
      <c r="O323" t="s">
        <v>1946</v>
      </c>
      <c r="P323" t="s">
        <v>1947</v>
      </c>
      <c r="Q323" t="s">
        <v>30</v>
      </c>
      <c r="R323" t="s">
        <v>31</v>
      </c>
      <c r="S323" t="s">
        <v>32</v>
      </c>
    </row>
    <row r="324" spans="1:19" x14ac:dyDescent="0.45">
      <c r="A324" t="str">
        <f t="shared" si="24"/>
        <v>06801</v>
      </c>
      <c r="B324" t="s">
        <v>1870</v>
      </c>
      <c r="C324" t="str">
        <f t="shared" si="25"/>
        <v>06037</v>
      </c>
      <c r="D324" t="s">
        <v>1871</v>
      </c>
      <c r="E324" t="str">
        <f>"2964"</f>
        <v>2964</v>
      </c>
      <c r="F324" t="s">
        <v>1948</v>
      </c>
      <c r="G324" t="s">
        <v>70</v>
      </c>
      <c r="H324">
        <v>5</v>
      </c>
      <c r="I324" t="s">
        <v>1949</v>
      </c>
      <c r="K324" t="s">
        <v>1874</v>
      </c>
      <c r="L324" t="s">
        <v>25</v>
      </c>
      <c r="M324" t="s">
        <v>1950</v>
      </c>
      <c r="N324" t="s">
        <v>1951</v>
      </c>
      <c r="O324" t="s">
        <v>1952</v>
      </c>
      <c r="P324" t="s">
        <v>1953</v>
      </c>
      <c r="Q324" t="s">
        <v>30</v>
      </c>
      <c r="R324" t="s">
        <v>31</v>
      </c>
      <c r="S324" t="s">
        <v>32</v>
      </c>
    </row>
    <row r="325" spans="1:19" x14ac:dyDescent="0.45">
      <c r="A325" t="str">
        <f t="shared" si="24"/>
        <v>06801</v>
      </c>
      <c r="B325" t="s">
        <v>1870</v>
      </c>
      <c r="C325" t="str">
        <f t="shared" si="25"/>
        <v>06037</v>
      </c>
      <c r="D325" t="s">
        <v>1871</v>
      </c>
      <c r="E325" t="str">
        <f>"3016"</f>
        <v>3016</v>
      </c>
      <c r="F325" t="s">
        <v>1954</v>
      </c>
      <c r="G325" t="s">
        <v>70</v>
      </c>
      <c r="H325">
        <v>5</v>
      </c>
      <c r="I325" t="s">
        <v>1955</v>
      </c>
      <c r="K325" t="s">
        <v>1874</v>
      </c>
      <c r="L325" t="s">
        <v>25</v>
      </c>
      <c r="M325" t="s">
        <v>1956</v>
      </c>
      <c r="N325" t="s">
        <v>1957</v>
      </c>
      <c r="O325" t="s">
        <v>1958</v>
      </c>
      <c r="P325" t="s">
        <v>1959</v>
      </c>
      <c r="Q325" t="s">
        <v>30</v>
      </c>
      <c r="R325" t="s">
        <v>31</v>
      </c>
      <c r="S325" t="s">
        <v>32</v>
      </c>
    </row>
    <row r="326" spans="1:19" x14ac:dyDescent="0.45">
      <c r="A326" t="str">
        <f t="shared" si="24"/>
        <v>06801</v>
      </c>
      <c r="B326" t="s">
        <v>1870</v>
      </c>
      <c r="C326" t="str">
        <f t="shared" si="25"/>
        <v>06037</v>
      </c>
      <c r="D326" t="s">
        <v>1871</v>
      </c>
      <c r="E326" t="str">
        <f>"3017"</f>
        <v>3017</v>
      </c>
      <c r="F326" t="s">
        <v>1960</v>
      </c>
      <c r="G326" t="s">
        <v>70</v>
      </c>
      <c r="H326">
        <v>5</v>
      </c>
      <c r="I326" t="s">
        <v>1961</v>
      </c>
      <c r="K326" t="s">
        <v>1874</v>
      </c>
      <c r="L326" t="s">
        <v>25</v>
      </c>
      <c r="M326" t="s">
        <v>1962</v>
      </c>
      <c r="N326" t="s">
        <v>1963</v>
      </c>
      <c r="O326" t="s">
        <v>1964</v>
      </c>
      <c r="P326" t="s">
        <v>1965</v>
      </c>
      <c r="Q326" t="s">
        <v>30</v>
      </c>
      <c r="R326" t="s">
        <v>31</v>
      </c>
      <c r="S326" t="s">
        <v>32</v>
      </c>
    </row>
    <row r="327" spans="1:19" x14ac:dyDescent="0.45">
      <c r="A327" t="str">
        <f t="shared" si="24"/>
        <v>06801</v>
      </c>
      <c r="B327" t="s">
        <v>1870</v>
      </c>
      <c r="C327" t="str">
        <f t="shared" si="25"/>
        <v>06037</v>
      </c>
      <c r="D327" t="s">
        <v>1871</v>
      </c>
      <c r="E327" t="str">
        <f>"3080"</f>
        <v>3080</v>
      </c>
      <c r="F327" t="s">
        <v>1966</v>
      </c>
      <c r="G327" t="s">
        <v>70</v>
      </c>
      <c r="H327">
        <v>5</v>
      </c>
      <c r="I327" t="s">
        <v>1967</v>
      </c>
      <c r="K327" t="s">
        <v>1874</v>
      </c>
      <c r="L327" t="s">
        <v>25</v>
      </c>
      <c r="M327" t="s">
        <v>1968</v>
      </c>
      <c r="N327" t="s">
        <v>1969</v>
      </c>
      <c r="O327" t="s">
        <v>1970</v>
      </c>
      <c r="P327" t="s">
        <v>1971</v>
      </c>
      <c r="Q327" t="s">
        <v>30</v>
      </c>
      <c r="R327" t="s">
        <v>31</v>
      </c>
      <c r="S327" t="s">
        <v>32</v>
      </c>
    </row>
    <row r="328" spans="1:19" x14ac:dyDescent="0.45">
      <c r="A328" t="str">
        <f t="shared" si="24"/>
        <v>06801</v>
      </c>
      <c r="B328" t="s">
        <v>1870</v>
      </c>
      <c r="C328" t="str">
        <f t="shared" si="25"/>
        <v>06037</v>
      </c>
      <c r="D328" t="s">
        <v>1871</v>
      </c>
      <c r="E328" t="str">
        <f>"3081"</f>
        <v>3081</v>
      </c>
      <c r="F328" t="s">
        <v>1972</v>
      </c>
      <c r="G328">
        <v>9</v>
      </c>
      <c r="H328">
        <v>12</v>
      </c>
      <c r="I328" t="s">
        <v>1973</v>
      </c>
      <c r="K328" t="s">
        <v>1874</v>
      </c>
      <c r="L328" t="s">
        <v>25</v>
      </c>
      <c r="M328" t="s">
        <v>1974</v>
      </c>
      <c r="N328" t="s">
        <v>1975</v>
      </c>
      <c r="O328" t="s">
        <v>1976</v>
      </c>
      <c r="P328" t="s">
        <v>1977</v>
      </c>
      <c r="Q328" t="s">
        <v>30</v>
      </c>
      <c r="R328" t="s">
        <v>31</v>
      </c>
      <c r="S328" t="s">
        <v>58</v>
      </c>
    </row>
    <row r="329" spans="1:19" x14ac:dyDescent="0.45">
      <c r="A329" t="str">
        <f t="shared" si="24"/>
        <v>06801</v>
      </c>
      <c r="B329" t="s">
        <v>1870</v>
      </c>
      <c r="C329" t="str">
        <f t="shared" si="25"/>
        <v>06037</v>
      </c>
      <c r="D329" t="s">
        <v>1871</v>
      </c>
      <c r="E329" t="str">
        <f>"3146"</f>
        <v>3146</v>
      </c>
      <c r="F329" t="s">
        <v>1978</v>
      </c>
      <c r="G329">
        <v>6</v>
      </c>
      <c r="H329">
        <v>8</v>
      </c>
      <c r="I329" t="s">
        <v>1979</v>
      </c>
      <c r="K329" t="s">
        <v>1874</v>
      </c>
      <c r="L329" t="s">
        <v>25</v>
      </c>
      <c r="M329" t="s">
        <v>1980</v>
      </c>
      <c r="N329" t="s">
        <v>1981</v>
      </c>
      <c r="O329" t="s">
        <v>1982</v>
      </c>
      <c r="P329" t="s">
        <v>1983</v>
      </c>
      <c r="Q329" t="s">
        <v>30</v>
      </c>
      <c r="R329" t="s">
        <v>31</v>
      </c>
      <c r="S329" t="s">
        <v>104</v>
      </c>
    </row>
    <row r="330" spans="1:19" x14ac:dyDescent="0.45">
      <c r="A330" t="str">
        <f t="shared" si="24"/>
        <v>06801</v>
      </c>
      <c r="B330" t="s">
        <v>1870</v>
      </c>
      <c r="C330" t="str">
        <f t="shared" si="25"/>
        <v>06037</v>
      </c>
      <c r="D330" t="s">
        <v>1871</v>
      </c>
      <c r="E330" t="str">
        <f>"3423"</f>
        <v>3423</v>
      </c>
      <c r="F330" t="s">
        <v>1984</v>
      </c>
      <c r="G330">
        <v>9</v>
      </c>
      <c r="H330">
        <v>12</v>
      </c>
      <c r="I330" t="s">
        <v>1985</v>
      </c>
      <c r="K330" t="s">
        <v>1874</v>
      </c>
      <c r="L330" t="s">
        <v>25</v>
      </c>
      <c r="M330" t="s">
        <v>1986</v>
      </c>
      <c r="N330" t="s">
        <v>1987</v>
      </c>
      <c r="O330" t="s">
        <v>1988</v>
      </c>
      <c r="P330" t="s">
        <v>1989</v>
      </c>
      <c r="Q330" t="s">
        <v>30</v>
      </c>
      <c r="R330" t="s">
        <v>31</v>
      </c>
      <c r="S330" t="s">
        <v>58</v>
      </c>
    </row>
    <row r="331" spans="1:19" x14ac:dyDescent="0.45">
      <c r="A331" t="str">
        <f t="shared" si="24"/>
        <v>06801</v>
      </c>
      <c r="B331" t="s">
        <v>1870</v>
      </c>
      <c r="C331" t="str">
        <f t="shared" si="25"/>
        <v>06037</v>
      </c>
      <c r="D331" t="s">
        <v>1871</v>
      </c>
      <c r="E331" t="str">
        <f>"3424"</f>
        <v>3424</v>
      </c>
      <c r="F331" t="s">
        <v>1990</v>
      </c>
      <c r="G331" t="s">
        <v>70</v>
      </c>
      <c r="H331">
        <v>5</v>
      </c>
      <c r="I331" t="s">
        <v>1991</v>
      </c>
      <c r="K331" t="s">
        <v>1874</v>
      </c>
      <c r="L331" t="s">
        <v>25</v>
      </c>
      <c r="M331" t="s">
        <v>1992</v>
      </c>
      <c r="N331" t="s">
        <v>1993</v>
      </c>
      <c r="O331" t="s">
        <v>1994</v>
      </c>
      <c r="P331" t="s">
        <v>1995</v>
      </c>
      <c r="Q331" t="s">
        <v>30</v>
      </c>
      <c r="R331" t="s">
        <v>31</v>
      </c>
      <c r="S331" t="s">
        <v>32</v>
      </c>
    </row>
    <row r="332" spans="1:19" x14ac:dyDescent="0.45">
      <c r="A332" t="str">
        <f t="shared" si="24"/>
        <v>06801</v>
      </c>
      <c r="B332" t="s">
        <v>1870</v>
      </c>
      <c r="C332" t="str">
        <f t="shared" si="25"/>
        <v>06037</v>
      </c>
      <c r="D332" t="s">
        <v>1871</v>
      </c>
      <c r="E332" t="str">
        <f>"3543"</f>
        <v>3543</v>
      </c>
      <c r="F332" t="s">
        <v>1996</v>
      </c>
      <c r="G332">
        <v>6</v>
      </c>
      <c r="H332">
        <v>8</v>
      </c>
      <c r="I332" t="s">
        <v>1997</v>
      </c>
      <c r="K332" t="s">
        <v>1874</v>
      </c>
      <c r="L332" t="s">
        <v>25</v>
      </c>
      <c r="M332" t="s">
        <v>1998</v>
      </c>
      <c r="N332" t="s">
        <v>1999</v>
      </c>
      <c r="O332" t="s">
        <v>2000</v>
      </c>
      <c r="P332" t="s">
        <v>2001</v>
      </c>
      <c r="Q332" t="s">
        <v>30</v>
      </c>
      <c r="R332" t="s">
        <v>31</v>
      </c>
      <c r="S332" t="s">
        <v>104</v>
      </c>
    </row>
    <row r="333" spans="1:19" x14ac:dyDescent="0.45">
      <c r="A333" t="str">
        <f t="shared" si="24"/>
        <v>06801</v>
      </c>
      <c r="B333" t="s">
        <v>1870</v>
      </c>
      <c r="C333" t="str">
        <f t="shared" si="25"/>
        <v>06037</v>
      </c>
      <c r="D333" t="s">
        <v>1871</v>
      </c>
      <c r="E333" t="str">
        <f>"3565"</f>
        <v>3565</v>
      </c>
      <c r="F333" t="s">
        <v>2002</v>
      </c>
      <c r="G333" t="s">
        <v>70</v>
      </c>
      <c r="H333">
        <v>5</v>
      </c>
      <c r="I333" t="s">
        <v>2003</v>
      </c>
      <c r="K333" t="s">
        <v>1874</v>
      </c>
      <c r="L333" t="s">
        <v>25</v>
      </c>
      <c r="M333" t="s">
        <v>2004</v>
      </c>
      <c r="N333" t="s">
        <v>2005</v>
      </c>
      <c r="O333" t="s">
        <v>2006</v>
      </c>
      <c r="P333" t="s">
        <v>2007</v>
      </c>
      <c r="Q333" t="s">
        <v>30</v>
      </c>
      <c r="R333" t="s">
        <v>31</v>
      </c>
      <c r="S333" t="s">
        <v>32</v>
      </c>
    </row>
    <row r="334" spans="1:19" x14ac:dyDescent="0.45">
      <c r="A334" t="str">
        <f t="shared" si="24"/>
        <v>06801</v>
      </c>
      <c r="B334" t="s">
        <v>1870</v>
      </c>
      <c r="C334" t="str">
        <f t="shared" si="25"/>
        <v>06037</v>
      </c>
      <c r="D334" t="s">
        <v>1871</v>
      </c>
      <c r="E334" t="str">
        <f>"3733"</f>
        <v>3733</v>
      </c>
      <c r="F334" t="s">
        <v>2008</v>
      </c>
      <c r="G334" t="s">
        <v>70</v>
      </c>
      <c r="H334">
        <v>5</v>
      </c>
      <c r="I334" t="s">
        <v>2009</v>
      </c>
      <c r="K334" t="s">
        <v>1874</v>
      </c>
      <c r="L334" t="s">
        <v>25</v>
      </c>
      <c r="M334" t="s">
        <v>2010</v>
      </c>
      <c r="N334" t="s">
        <v>2011</v>
      </c>
      <c r="O334" t="s">
        <v>2012</v>
      </c>
      <c r="P334" t="s">
        <v>2013</v>
      </c>
      <c r="Q334" t="s">
        <v>30</v>
      </c>
      <c r="R334" t="s">
        <v>31</v>
      </c>
      <c r="S334" t="s">
        <v>32</v>
      </c>
    </row>
    <row r="335" spans="1:19" x14ac:dyDescent="0.45">
      <c r="A335" t="str">
        <f t="shared" si="24"/>
        <v>06801</v>
      </c>
      <c r="B335" t="s">
        <v>1870</v>
      </c>
      <c r="C335" t="str">
        <f t="shared" si="25"/>
        <v>06037</v>
      </c>
      <c r="D335" t="s">
        <v>1871</v>
      </c>
      <c r="E335" t="str">
        <f>"3734"</f>
        <v>3734</v>
      </c>
      <c r="F335" t="s">
        <v>2014</v>
      </c>
      <c r="G335" t="s">
        <v>22</v>
      </c>
      <c r="H335">
        <v>5</v>
      </c>
      <c r="I335" t="s">
        <v>2015</v>
      </c>
      <c r="K335" t="s">
        <v>1874</v>
      </c>
      <c r="L335" t="s">
        <v>25</v>
      </c>
      <c r="M335" t="s">
        <v>2016</v>
      </c>
      <c r="N335" t="s">
        <v>2017</v>
      </c>
      <c r="O335" t="s">
        <v>2018</v>
      </c>
      <c r="P335" t="s">
        <v>2019</v>
      </c>
      <c r="Q335" t="s">
        <v>30</v>
      </c>
      <c r="R335" t="s">
        <v>31</v>
      </c>
      <c r="S335" t="s">
        <v>32</v>
      </c>
    </row>
    <row r="336" spans="1:19" x14ac:dyDescent="0.45">
      <c r="A336" t="str">
        <f t="shared" si="24"/>
        <v>06801</v>
      </c>
      <c r="B336" t="s">
        <v>1870</v>
      </c>
      <c r="C336" t="str">
        <f t="shared" si="25"/>
        <v>06037</v>
      </c>
      <c r="D336" t="s">
        <v>1871</v>
      </c>
      <c r="E336" t="str">
        <f>"3735"</f>
        <v>3735</v>
      </c>
      <c r="F336" t="s">
        <v>2020</v>
      </c>
      <c r="G336" t="s">
        <v>70</v>
      </c>
      <c r="H336">
        <v>5</v>
      </c>
      <c r="I336" t="s">
        <v>2021</v>
      </c>
      <c r="K336" t="s">
        <v>1874</v>
      </c>
      <c r="L336" t="s">
        <v>25</v>
      </c>
      <c r="M336" t="s">
        <v>2022</v>
      </c>
      <c r="N336" t="s">
        <v>2023</v>
      </c>
      <c r="O336" t="s">
        <v>2024</v>
      </c>
      <c r="P336" t="s">
        <v>2025</v>
      </c>
      <c r="Q336" t="s">
        <v>30</v>
      </c>
      <c r="R336" t="s">
        <v>31</v>
      </c>
      <c r="S336" t="s">
        <v>32</v>
      </c>
    </row>
    <row r="337" spans="1:19" x14ac:dyDescent="0.45">
      <c r="A337" t="str">
        <f>"OSPI"</f>
        <v>OSPI</v>
      </c>
      <c r="B337" t="s">
        <v>1763</v>
      </c>
      <c r="C337" t="str">
        <f>"34974"</f>
        <v>34974</v>
      </c>
      <c r="D337" t="s">
        <v>2026</v>
      </c>
      <c r="E337" t="str">
        <f>"3799"</f>
        <v>3799</v>
      </c>
      <c r="F337" t="s">
        <v>2027</v>
      </c>
      <c r="G337">
        <v>6</v>
      </c>
      <c r="H337">
        <v>13</v>
      </c>
      <c r="I337" t="s">
        <v>2028</v>
      </c>
      <c r="K337" t="s">
        <v>2029</v>
      </c>
      <c r="L337" t="s">
        <v>25</v>
      </c>
      <c r="M337" t="s">
        <v>2030</v>
      </c>
      <c r="N337" t="s">
        <v>2031</v>
      </c>
      <c r="O337" t="s">
        <v>2032</v>
      </c>
      <c r="P337" t="s">
        <v>2033</v>
      </c>
      <c r="Q337" t="s">
        <v>2034</v>
      </c>
      <c r="R337" t="s">
        <v>963</v>
      </c>
      <c r="S337" t="s">
        <v>159</v>
      </c>
    </row>
    <row r="338" spans="1:19" x14ac:dyDescent="0.45">
      <c r="A338" t="str">
        <f>"06801"</f>
        <v>06801</v>
      </c>
      <c r="B338" t="s">
        <v>1870</v>
      </c>
      <c r="C338" t="str">
        <f>"06037"</f>
        <v>06037</v>
      </c>
      <c r="D338" t="s">
        <v>1871</v>
      </c>
      <c r="E338" t="str">
        <f>"3902"</f>
        <v>3902</v>
      </c>
      <c r="F338" t="s">
        <v>2035</v>
      </c>
      <c r="G338">
        <v>6</v>
      </c>
      <c r="H338">
        <v>8</v>
      </c>
      <c r="I338" t="s">
        <v>2036</v>
      </c>
      <c r="K338" t="s">
        <v>1874</v>
      </c>
      <c r="L338" t="s">
        <v>25</v>
      </c>
      <c r="M338" t="s">
        <v>2037</v>
      </c>
      <c r="N338" t="s">
        <v>2038</v>
      </c>
      <c r="O338" t="s">
        <v>2039</v>
      </c>
      <c r="P338" t="s">
        <v>2040</v>
      </c>
      <c r="Q338" t="s">
        <v>30</v>
      </c>
      <c r="R338" t="s">
        <v>31</v>
      </c>
      <c r="S338" t="s">
        <v>104</v>
      </c>
    </row>
    <row r="339" spans="1:19" x14ac:dyDescent="0.45">
      <c r="A339" t="str">
        <f>"06801"</f>
        <v>06801</v>
      </c>
      <c r="B339" t="s">
        <v>1870</v>
      </c>
      <c r="C339" t="str">
        <f>"06037"</f>
        <v>06037</v>
      </c>
      <c r="D339" t="s">
        <v>1871</v>
      </c>
      <c r="E339" t="str">
        <f>"3932"</f>
        <v>3932</v>
      </c>
      <c r="F339" t="s">
        <v>2041</v>
      </c>
      <c r="G339">
        <v>9</v>
      </c>
      <c r="H339">
        <v>12</v>
      </c>
      <c r="I339" t="s">
        <v>2042</v>
      </c>
      <c r="K339" t="s">
        <v>1874</v>
      </c>
      <c r="L339" t="s">
        <v>25</v>
      </c>
      <c r="M339" t="s">
        <v>2043</v>
      </c>
      <c r="N339" t="s">
        <v>2044</v>
      </c>
      <c r="O339" t="s">
        <v>2045</v>
      </c>
      <c r="P339" t="s">
        <v>2046</v>
      </c>
      <c r="Q339" t="s">
        <v>30</v>
      </c>
      <c r="R339" t="s">
        <v>31</v>
      </c>
      <c r="S339" t="s">
        <v>58</v>
      </c>
    </row>
    <row r="340" spans="1:19" x14ac:dyDescent="0.45">
      <c r="A340" t="str">
        <f>"06801"</f>
        <v>06801</v>
      </c>
      <c r="B340" t="s">
        <v>1870</v>
      </c>
      <c r="C340" t="str">
        <f>"06037"</f>
        <v>06037</v>
      </c>
      <c r="D340" t="s">
        <v>1871</v>
      </c>
      <c r="E340" t="str">
        <f>"4034"</f>
        <v>4034</v>
      </c>
      <c r="F340" t="s">
        <v>2047</v>
      </c>
      <c r="G340" t="s">
        <v>70</v>
      </c>
      <c r="H340">
        <v>5</v>
      </c>
      <c r="I340" t="s">
        <v>2048</v>
      </c>
      <c r="K340" t="s">
        <v>1874</v>
      </c>
      <c r="L340" t="s">
        <v>25</v>
      </c>
      <c r="M340" t="s">
        <v>2049</v>
      </c>
      <c r="N340" t="s">
        <v>2050</v>
      </c>
      <c r="O340" t="s">
        <v>2051</v>
      </c>
      <c r="P340" t="s">
        <v>2052</v>
      </c>
      <c r="Q340" t="s">
        <v>30</v>
      </c>
      <c r="R340" t="s">
        <v>31</v>
      </c>
      <c r="S340" t="s">
        <v>32</v>
      </c>
    </row>
    <row r="341" spans="1:19" x14ac:dyDescent="0.45">
      <c r="A341" t="str">
        <f>"06801"</f>
        <v>06801</v>
      </c>
      <c r="B341" t="s">
        <v>1870</v>
      </c>
      <c r="C341" t="str">
        <f>"06037"</f>
        <v>06037</v>
      </c>
      <c r="D341" t="s">
        <v>1871</v>
      </c>
      <c r="E341" t="str">
        <f>"4075"</f>
        <v>4075</v>
      </c>
      <c r="F341" t="s">
        <v>2053</v>
      </c>
      <c r="G341" t="s">
        <v>70</v>
      </c>
      <c r="H341">
        <v>5</v>
      </c>
      <c r="I341" t="s">
        <v>2054</v>
      </c>
      <c r="K341" t="s">
        <v>1874</v>
      </c>
      <c r="L341" t="s">
        <v>25</v>
      </c>
      <c r="M341" t="s">
        <v>2055</v>
      </c>
      <c r="N341" t="s">
        <v>2056</v>
      </c>
      <c r="O341" t="s">
        <v>2057</v>
      </c>
      <c r="P341" t="s">
        <v>2058</v>
      </c>
      <c r="Q341" t="s">
        <v>30</v>
      </c>
      <c r="R341" t="s">
        <v>31</v>
      </c>
      <c r="S341" t="s">
        <v>32</v>
      </c>
    </row>
    <row r="342" spans="1:19" x14ac:dyDescent="0.45">
      <c r="A342" t="str">
        <f>"OSPI"</f>
        <v>OSPI</v>
      </c>
      <c r="B342" t="s">
        <v>1763</v>
      </c>
      <c r="C342" t="str">
        <f>"34975"</f>
        <v>34975</v>
      </c>
      <c r="D342" t="s">
        <v>2059</v>
      </c>
      <c r="E342" t="str">
        <f>"4246"</f>
        <v>4246</v>
      </c>
      <c r="F342" t="s">
        <v>2060</v>
      </c>
      <c r="G342" t="s">
        <v>22</v>
      </c>
      <c r="H342">
        <v>12</v>
      </c>
      <c r="I342" t="s">
        <v>2061</v>
      </c>
      <c r="K342" t="s">
        <v>2029</v>
      </c>
      <c r="L342" t="s">
        <v>25</v>
      </c>
      <c r="M342" t="s">
        <v>2062</v>
      </c>
      <c r="N342" t="s">
        <v>2063</v>
      </c>
      <c r="O342" t="s">
        <v>2064</v>
      </c>
      <c r="P342" t="s">
        <v>2065</v>
      </c>
      <c r="Q342" t="s">
        <v>2034</v>
      </c>
      <c r="R342" t="s">
        <v>963</v>
      </c>
      <c r="S342" t="s">
        <v>68</v>
      </c>
    </row>
    <row r="343" spans="1:19" x14ac:dyDescent="0.45">
      <c r="A343" t="str">
        <f t="shared" ref="A343:A365" si="26">"06801"</f>
        <v>06801</v>
      </c>
      <c r="B343" t="s">
        <v>1870</v>
      </c>
      <c r="C343" t="str">
        <f>"06037"</f>
        <v>06037</v>
      </c>
      <c r="D343" t="s">
        <v>1871</v>
      </c>
      <c r="E343" t="str">
        <f>"4405"</f>
        <v>4405</v>
      </c>
      <c r="F343" t="s">
        <v>753</v>
      </c>
      <c r="G343" t="s">
        <v>70</v>
      </c>
      <c r="H343">
        <v>5</v>
      </c>
      <c r="I343" t="s">
        <v>2066</v>
      </c>
      <c r="K343" t="s">
        <v>1874</v>
      </c>
      <c r="L343" t="s">
        <v>25</v>
      </c>
      <c r="M343" t="s">
        <v>2067</v>
      </c>
      <c r="N343" t="s">
        <v>2068</v>
      </c>
      <c r="O343" t="s">
        <v>2069</v>
      </c>
      <c r="P343" t="s">
        <v>2070</v>
      </c>
      <c r="Q343" t="s">
        <v>30</v>
      </c>
      <c r="R343" t="s">
        <v>31</v>
      </c>
      <c r="S343" t="s">
        <v>32</v>
      </c>
    </row>
    <row r="344" spans="1:19" x14ac:dyDescent="0.45">
      <c r="A344" t="str">
        <f t="shared" si="26"/>
        <v>06801</v>
      </c>
      <c r="B344" t="s">
        <v>1870</v>
      </c>
      <c r="C344" t="str">
        <f>"06037"</f>
        <v>06037</v>
      </c>
      <c r="D344" t="s">
        <v>1871</v>
      </c>
      <c r="E344" t="str">
        <f>"4406"</f>
        <v>4406</v>
      </c>
      <c r="F344" t="s">
        <v>2071</v>
      </c>
      <c r="G344">
        <v>6</v>
      </c>
      <c r="H344">
        <v>8</v>
      </c>
      <c r="I344" t="s">
        <v>2072</v>
      </c>
      <c r="K344" t="s">
        <v>1874</v>
      </c>
      <c r="L344" t="s">
        <v>1937</v>
      </c>
      <c r="M344" t="s">
        <v>2073</v>
      </c>
      <c r="N344" t="s">
        <v>2074</v>
      </c>
      <c r="O344" t="s">
        <v>2075</v>
      </c>
      <c r="P344" t="s">
        <v>2076</v>
      </c>
      <c r="Q344" t="s">
        <v>30</v>
      </c>
      <c r="R344" t="s">
        <v>31</v>
      </c>
      <c r="S344" t="s">
        <v>104</v>
      </c>
    </row>
    <row r="345" spans="1:19" x14ac:dyDescent="0.45">
      <c r="A345" t="str">
        <f t="shared" si="26"/>
        <v>06801</v>
      </c>
      <c r="B345" t="s">
        <v>1870</v>
      </c>
      <c r="C345" t="str">
        <f>"06037"</f>
        <v>06037</v>
      </c>
      <c r="D345" t="s">
        <v>1871</v>
      </c>
      <c r="E345" t="str">
        <f>"4410"</f>
        <v>4410</v>
      </c>
      <c r="F345" t="s">
        <v>2077</v>
      </c>
      <c r="G345" t="s">
        <v>70</v>
      </c>
      <c r="H345">
        <v>5</v>
      </c>
      <c r="I345" t="s">
        <v>2078</v>
      </c>
      <c r="K345" t="s">
        <v>1874</v>
      </c>
      <c r="L345" t="s">
        <v>25</v>
      </c>
      <c r="M345" t="s">
        <v>2079</v>
      </c>
      <c r="N345" t="s">
        <v>2080</v>
      </c>
      <c r="O345" t="s">
        <v>2081</v>
      </c>
      <c r="P345" t="s">
        <v>2082</v>
      </c>
      <c r="Q345" t="s">
        <v>30</v>
      </c>
      <c r="R345" t="s">
        <v>31</v>
      </c>
      <c r="S345" t="s">
        <v>32</v>
      </c>
    </row>
    <row r="346" spans="1:19" x14ac:dyDescent="0.45">
      <c r="A346" t="str">
        <f t="shared" si="26"/>
        <v>06801</v>
      </c>
      <c r="B346" t="s">
        <v>1870</v>
      </c>
      <c r="C346" t="str">
        <f>"06037"</f>
        <v>06037</v>
      </c>
      <c r="D346" t="s">
        <v>1871</v>
      </c>
      <c r="E346" t="str">
        <f>"4503"</f>
        <v>4503</v>
      </c>
      <c r="F346" t="s">
        <v>2083</v>
      </c>
      <c r="G346">
        <v>6</v>
      </c>
      <c r="H346">
        <v>8</v>
      </c>
      <c r="I346" t="s">
        <v>2084</v>
      </c>
      <c r="K346" t="s">
        <v>1874</v>
      </c>
      <c r="L346" t="s">
        <v>25</v>
      </c>
      <c r="M346" t="s">
        <v>2085</v>
      </c>
      <c r="N346" t="s">
        <v>2086</v>
      </c>
      <c r="O346" t="s">
        <v>2087</v>
      </c>
      <c r="P346" t="s">
        <v>2088</v>
      </c>
      <c r="Q346" t="s">
        <v>30</v>
      </c>
      <c r="R346" t="s">
        <v>31</v>
      </c>
      <c r="S346" t="s">
        <v>104</v>
      </c>
    </row>
    <row r="347" spans="1:19" x14ac:dyDescent="0.45">
      <c r="A347" t="str">
        <f t="shared" si="26"/>
        <v>06801</v>
      </c>
      <c r="B347" t="s">
        <v>1870</v>
      </c>
      <c r="C347" t="str">
        <f>"06037"</f>
        <v>06037</v>
      </c>
      <c r="D347" t="s">
        <v>1871</v>
      </c>
      <c r="E347" t="str">
        <f>"4504"</f>
        <v>4504</v>
      </c>
      <c r="F347" t="s">
        <v>2089</v>
      </c>
      <c r="G347">
        <v>9</v>
      </c>
      <c r="H347">
        <v>12</v>
      </c>
      <c r="I347" t="s">
        <v>2090</v>
      </c>
      <c r="K347" t="s">
        <v>1874</v>
      </c>
      <c r="L347" t="s">
        <v>25</v>
      </c>
      <c r="M347" t="s">
        <v>2091</v>
      </c>
      <c r="N347" t="s">
        <v>2092</v>
      </c>
      <c r="O347" t="s">
        <v>2093</v>
      </c>
      <c r="P347" t="s">
        <v>2094</v>
      </c>
      <c r="Q347" t="s">
        <v>30</v>
      </c>
      <c r="R347" t="s">
        <v>31</v>
      </c>
      <c r="S347" t="s">
        <v>58</v>
      </c>
    </row>
    <row r="348" spans="1:19" x14ac:dyDescent="0.45">
      <c r="A348" t="str">
        <f t="shared" si="26"/>
        <v>06801</v>
      </c>
      <c r="B348" t="s">
        <v>1870</v>
      </c>
      <c r="C348" t="str">
        <f>"06098"</f>
        <v>06098</v>
      </c>
      <c r="D348" t="s">
        <v>2095</v>
      </c>
      <c r="E348" t="str">
        <f>"3319"</f>
        <v>3319</v>
      </c>
      <c r="F348" t="s">
        <v>2096</v>
      </c>
      <c r="G348">
        <v>6</v>
      </c>
      <c r="H348">
        <v>8</v>
      </c>
      <c r="I348" t="s">
        <v>2097</v>
      </c>
      <c r="K348" t="s">
        <v>2098</v>
      </c>
      <c r="L348" t="s">
        <v>25</v>
      </c>
      <c r="M348" t="s">
        <v>2099</v>
      </c>
      <c r="N348" t="s">
        <v>2100</v>
      </c>
      <c r="O348" t="s">
        <v>2101</v>
      </c>
      <c r="P348" t="s">
        <v>2102</v>
      </c>
      <c r="Q348" t="s">
        <v>30</v>
      </c>
      <c r="R348" t="s">
        <v>31</v>
      </c>
      <c r="S348" t="s">
        <v>104</v>
      </c>
    </row>
    <row r="349" spans="1:19" x14ac:dyDescent="0.45">
      <c r="A349" t="str">
        <f t="shared" si="26"/>
        <v>06801</v>
      </c>
      <c r="B349" t="s">
        <v>1870</v>
      </c>
      <c r="C349" t="str">
        <f>"06098"</f>
        <v>06098</v>
      </c>
      <c r="D349" t="s">
        <v>2095</v>
      </c>
      <c r="E349" t="str">
        <f>"4568"</f>
        <v>4568</v>
      </c>
      <c r="F349" t="s">
        <v>2103</v>
      </c>
      <c r="G349">
        <v>9</v>
      </c>
      <c r="H349">
        <v>12</v>
      </c>
      <c r="I349" t="s">
        <v>2104</v>
      </c>
      <c r="K349" t="s">
        <v>2098</v>
      </c>
      <c r="L349" t="s">
        <v>25</v>
      </c>
      <c r="M349" t="s">
        <v>2099</v>
      </c>
      <c r="N349" t="s">
        <v>2105</v>
      </c>
      <c r="O349" t="s">
        <v>2106</v>
      </c>
      <c r="P349" t="s">
        <v>2107</v>
      </c>
      <c r="Q349" t="s">
        <v>30</v>
      </c>
      <c r="R349" t="s">
        <v>31</v>
      </c>
      <c r="S349" t="s">
        <v>58</v>
      </c>
    </row>
    <row r="350" spans="1:19" x14ac:dyDescent="0.45">
      <c r="A350" t="str">
        <f t="shared" si="26"/>
        <v>06801</v>
      </c>
      <c r="B350" t="s">
        <v>1870</v>
      </c>
      <c r="C350" t="str">
        <f>"06101"</f>
        <v>06101</v>
      </c>
      <c r="D350" t="s">
        <v>2108</v>
      </c>
      <c r="E350" t="str">
        <f>"2558"</f>
        <v>2558</v>
      </c>
      <c r="F350" t="s">
        <v>2109</v>
      </c>
      <c r="G350" t="s">
        <v>22</v>
      </c>
      <c r="H350">
        <v>5</v>
      </c>
      <c r="I350" t="s">
        <v>2110</v>
      </c>
      <c r="K350" t="s">
        <v>2111</v>
      </c>
      <c r="L350" t="s">
        <v>25</v>
      </c>
      <c r="M350">
        <v>98629</v>
      </c>
      <c r="N350" t="s">
        <v>2112</v>
      </c>
      <c r="O350" t="s">
        <v>2113</v>
      </c>
      <c r="P350" t="s">
        <v>2114</v>
      </c>
      <c r="Q350" t="s">
        <v>30</v>
      </c>
      <c r="R350" t="s">
        <v>31</v>
      </c>
      <c r="S350" t="s">
        <v>32</v>
      </c>
    </row>
    <row r="351" spans="1:19" x14ac:dyDescent="0.45">
      <c r="A351" t="str">
        <f t="shared" si="26"/>
        <v>06801</v>
      </c>
      <c r="B351" t="s">
        <v>1870</v>
      </c>
      <c r="C351" t="str">
        <f>"06101"</f>
        <v>06101</v>
      </c>
      <c r="D351" t="s">
        <v>2108</v>
      </c>
      <c r="E351" t="str">
        <f>"3371"</f>
        <v>3371</v>
      </c>
      <c r="F351" t="s">
        <v>2115</v>
      </c>
      <c r="G351">
        <v>6</v>
      </c>
      <c r="H351">
        <v>8</v>
      </c>
      <c r="I351" t="s">
        <v>2116</v>
      </c>
      <c r="K351" t="s">
        <v>2111</v>
      </c>
      <c r="L351" t="s">
        <v>25</v>
      </c>
      <c r="M351" t="s">
        <v>2117</v>
      </c>
      <c r="N351" t="s">
        <v>2118</v>
      </c>
      <c r="O351" t="s">
        <v>2119</v>
      </c>
      <c r="P351" t="s">
        <v>2120</v>
      </c>
      <c r="Q351" t="s">
        <v>30</v>
      </c>
      <c r="R351" t="s">
        <v>31</v>
      </c>
      <c r="S351" t="s">
        <v>104</v>
      </c>
    </row>
    <row r="352" spans="1:19" x14ac:dyDescent="0.45">
      <c r="A352" t="str">
        <f t="shared" si="26"/>
        <v>06801</v>
      </c>
      <c r="B352" t="s">
        <v>1870</v>
      </c>
      <c r="C352" t="str">
        <f>"06101"</f>
        <v>06101</v>
      </c>
      <c r="D352" t="s">
        <v>2108</v>
      </c>
      <c r="E352" t="str">
        <f>"4431"</f>
        <v>4431</v>
      </c>
      <c r="F352" t="s">
        <v>2121</v>
      </c>
      <c r="G352">
        <v>9</v>
      </c>
      <c r="H352">
        <v>12</v>
      </c>
      <c r="I352" t="s">
        <v>2122</v>
      </c>
      <c r="K352" t="s">
        <v>2111</v>
      </c>
      <c r="L352" t="s">
        <v>25</v>
      </c>
      <c r="M352">
        <v>98629</v>
      </c>
      <c r="N352" t="s">
        <v>2123</v>
      </c>
      <c r="O352" t="s">
        <v>2124</v>
      </c>
      <c r="P352" t="s">
        <v>2125</v>
      </c>
      <c r="Q352" t="s">
        <v>30</v>
      </c>
      <c r="R352" t="s">
        <v>31</v>
      </c>
      <c r="S352" t="s">
        <v>58</v>
      </c>
    </row>
    <row r="353" spans="1:19" x14ac:dyDescent="0.45">
      <c r="A353" t="str">
        <f t="shared" si="26"/>
        <v>06801</v>
      </c>
      <c r="B353" t="s">
        <v>1870</v>
      </c>
      <c r="C353" t="str">
        <f>"06103"</f>
        <v>06103</v>
      </c>
      <c r="D353" t="s">
        <v>2126</v>
      </c>
      <c r="E353" t="str">
        <f>"2484"</f>
        <v>2484</v>
      </c>
      <c r="F353" t="s">
        <v>2127</v>
      </c>
      <c r="G353" t="s">
        <v>70</v>
      </c>
      <c r="H353">
        <v>8</v>
      </c>
      <c r="I353" t="s">
        <v>2128</v>
      </c>
      <c r="K353" t="s">
        <v>2129</v>
      </c>
      <c r="L353" t="s">
        <v>25</v>
      </c>
      <c r="M353" t="s">
        <v>2130</v>
      </c>
      <c r="N353" t="s">
        <v>2131</v>
      </c>
      <c r="O353" t="s">
        <v>2132</v>
      </c>
      <c r="P353" t="s">
        <v>2133</v>
      </c>
      <c r="Q353" t="s">
        <v>30</v>
      </c>
      <c r="R353" t="s">
        <v>31</v>
      </c>
      <c r="S353" t="s">
        <v>159</v>
      </c>
    </row>
    <row r="354" spans="1:19" x14ac:dyDescent="0.45">
      <c r="A354" t="str">
        <f t="shared" si="26"/>
        <v>06801</v>
      </c>
      <c r="B354" t="s">
        <v>1870</v>
      </c>
      <c r="C354" t="str">
        <f t="shared" ref="C354:C359" si="27">"06112"</f>
        <v>06112</v>
      </c>
      <c r="D354" t="s">
        <v>2134</v>
      </c>
      <c r="E354" t="str">
        <f>"2509"</f>
        <v>2509</v>
      </c>
      <c r="F354" t="s">
        <v>2135</v>
      </c>
      <c r="G354" t="s">
        <v>22</v>
      </c>
      <c r="H354">
        <v>5</v>
      </c>
      <c r="I354" t="s">
        <v>2136</v>
      </c>
      <c r="K354" t="s">
        <v>2137</v>
      </c>
      <c r="L354" t="s">
        <v>25</v>
      </c>
      <c r="M354" t="s">
        <v>2138</v>
      </c>
      <c r="N354" t="s">
        <v>2139</v>
      </c>
      <c r="O354" t="s">
        <v>2140</v>
      </c>
      <c r="P354" t="s">
        <v>2141</v>
      </c>
      <c r="Q354" t="s">
        <v>30</v>
      </c>
      <c r="R354" t="s">
        <v>31</v>
      </c>
      <c r="S354" t="s">
        <v>32</v>
      </c>
    </row>
    <row r="355" spans="1:19" x14ac:dyDescent="0.45">
      <c r="A355" t="str">
        <f t="shared" si="26"/>
        <v>06801</v>
      </c>
      <c r="B355" t="s">
        <v>1870</v>
      </c>
      <c r="C355" t="str">
        <f t="shared" si="27"/>
        <v>06112</v>
      </c>
      <c r="D355" t="s">
        <v>2134</v>
      </c>
      <c r="E355" t="str">
        <f>"2911"</f>
        <v>2911</v>
      </c>
      <c r="F355" t="s">
        <v>2142</v>
      </c>
      <c r="G355" t="s">
        <v>22</v>
      </c>
      <c r="H355">
        <v>5</v>
      </c>
      <c r="I355" t="s">
        <v>2143</v>
      </c>
      <c r="K355" t="s">
        <v>2137</v>
      </c>
      <c r="L355" t="s">
        <v>25</v>
      </c>
      <c r="M355" t="s">
        <v>2144</v>
      </c>
      <c r="N355" t="s">
        <v>2145</v>
      </c>
      <c r="O355" t="s">
        <v>2146</v>
      </c>
      <c r="P355" t="s">
        <v>2147</v>
      </c>
      <c r="Q355" t="s">
        <v>30</v>
      </c>
      <c r="R355" t="s">
        <v>31</v>
      </c>
      <c r="S355" t="s">
        <v>32</v>
      </c>
    </row>
    <row r="356" spans="1:19" x14ac:dyDescent="0.45">
      <c r="A356" t="str">
        <f t="shared" si="26"/>
        <v>06801</v>
      </c>
      <c r="B356" t="s">
        <v>1870</v>
      </c>
      <c r="C356" t="str">
        <f t="shared" si="27"/>
        <v>06112</v>
      </c>
      <c r="D356" t="s">
        <v>2134</v>
      </c>
      <c r="E356" t="str">
        <f>"3147"</f>
        <v>3147</v>
      </c>
      <c r="F356" t="s">
        <v>2148</v>
      </c>
      <c r="G356">
        <v>9</v>
      </c>
      <c r="H356">
        <v>12</v>
      </c>
      <c r="I356" t="s">
        <v>2149</v>
      </c>
      <c r="K356" t="s">
        <v>2137</v>
      </c>
      <c r="L356" t="s">
        <v>25</v>
      </c>
      <c r="M356" t="s">
        <v>2150</v>
      </c>
      <c r="N356" t="s">
        <v>2151</v>
      </c>
      <c r="O356" t="s">
        <v>2152</v>
      </c>
      <c r="P356" t="s">
        <v>2153</v>
      </c>
      <c r="Q356" t="s">
        <v>30</v>
      </c>
      <c r="R356" t="s">
        <v>31</v>
      </c>
      <c r="S356" t="s">
        <v>58</v>
      </c>
    </row>
    <row r="357" spans="1:19" x14ac:dyDescent="0.45">
      <c r="A357" t="str">
        <f t="shared" si="26"/>
        <v>06801</v>
      </c>
      <c r="B357" t="s">
        <v>1870</v>
      </c>
      <c r="C357" t="str">
        <f t="shared" si="27"/>
        <v>06112</v>
      </c>
      <c r="D357" t="s">
        <v>2134</v>
      </c>
      <c r="E357" t="str">
        <f>"3270"</f>
        <v>3270</v>
      </c>
      <c r="F357" t="s">
        <v>2154</v>
      </c>
      <c r="G357" t="s">
        <v>22</v>
      </c>
      <c r="H357">
        <v>5</v>
      </c>
      <c r="I357" t="s">
        <v>2155</v>
      </c>
      <c r="K357" t="s">
        <v>2137</v>
      </c>
      <c r="L357" t="s">
        <v>25</v>
      </c>
      <c r="M357" t="s">
        <v>2156</v>
      </c>
      <c r="N357" t="s">
        <v>2157</v>
      </c>
      <c r="O357" t="s">
        <v>2158</v>
      </c>
      <c r="P357" t="s">
        <v>2159</v>
      </c>
      <c r="Q357" t="s">
        <v>30</v>
      </c>
      <c r="R357" t="s">
        <v>31</v>
      </c>
      <c r="S357" t="s">
        <v>32</v>
      </c>
    </row>
    <row r="358" spans="1:19" x14ac:dyDescent="0.45">
      <c r="A358" t="str">
        <f t="shared" si="26"/>
        <v>06801</v>
      </c>
      <c r="B358" t="s">
        <v>1870</v>
      </c>
      <c r="C358" t="str">
        <f t="shared" si="27"/>
        <v>06112</v>
      </c>
      <c r="D358" t="s">
        <v>2134</v>
      </c>
      <c r="E358" t="str">
        <f>"4207"</f>
        <v>4207</v>
      </c>
      <c r="F358" t="s">
        <v>2160</v>
      </c>
      <c r="G358">
        <v>6</v>
      </c>
      <c r="H358">
        <v>8</v>
      </c>
      <c r="I358" t="s">
        <v>2161</v>
      </c>
      <c r="K358" t="s">
        <v>2137</v>
      </c>
      <c r="L358" t="s">
        <v>25</v>
      </c>
      <c r="M358" t="s">
        <v>2162</v>
      </c>
      <c r="N358" t="s">
        <v>2163</v>
      </c>
      <c r="O358" t="s">
        <v>2164</v>
      </c>
      <c r="P358" t="s">
        <v>2165</v>
      </c>
      <c r="Q358" t="s">
        <v>30</v>
      </c>
      <c r="R358" t="s">
        <v>31</v>
      </c>
      <c r="S358" t="s">
        <v>104</v>
      </c>
    </row>
    <row r="359" spans="1:19" x14ac:dyDescent="0.45">
      <c r="A359" t="str">
        <f t="shared" si="26"/>
        <v>06801</v>
      </c>
      <c r="B359" t="s">
        <v>1870</v>
      </c>
      <c r="C359" t="str">
        <f t="shared" si="27"/>
        <v>06112</v>
      </c>
      <c r="D359" t="s">
        <v>2134</v>
      </c>
      <c r="E359" t="str">
        <f>"4549"</f>
        <v>4549</v>
      </c>
      <c r="F359" t="s">
        <v>2166</v>
      </c>
      <c r="G359">
        <v>6</v>
      </c>
      <c r="H359">
        <v>8</v>
      </c>
      <c r="I359" t="s">
        <v>2155</v>
      </c>
      <c r="K359" t="s">
        <v>2137</v>
      </c>
      <c r="L359" t="s">
        <v>25</v>
      </c>
      <c r="M359" t="s">
        <v>2156</v>
      </c>
      <c r="N359" t="s">
        <v>2167</v>
      </c>
      <c r="O359" t="s">
        <v>2168</v>
      </c>
      <c r="P359" t="s">
        <v>2169</v>
      </c>
      <c r="Q359" t="s">
        <v>30</v>
      </c>
      <c r="R359" t="s">
        <v>31</v>
      </c>
      <c r="S359" t="s">
        <v>104</v>
      </c>
    </row>
    <row r="360" spans="1:19" x14ac:dyDescent="0.45">
      <c r="A360" t="str">
        <f t="shared" si="26"/>
        <v>06801</v>
      </c>
      <c r="B360" t="s">
        <v>1870</v>
      </c>
      <c r="C360" t="str">
        <f t="shared" ref="C360:C365" si="28">"06114"</f>
        <v>06114</v>
      </c>
      <c r="D360" t="s">
        <v>2170</v>
      </c>
      <c r="E360" t="str">
        <f>"1530"</f>
        <v>1530</v>
      </c>
      <c r="F360" t="s">
        <v>2171</v>
      </c>
      <c r="G360" t="s">
        <v>22</v>
      </c>
      <c r="H360" t="s">
        <v>22</v>
      </c>
      <c r="I360" t="s">
        <v>2172</v>
      </c>
      <c r="K360" t="s">
        <v>2029</v>
      </c>
      <c r="L360" t="s">
        <v>25</v>
      </c>
      <c r="M360">
        <v>98682</v>
      </c>
      <c r="N360" t="s">
        <v>2173</v>
      </c>
      <c r="O360" t="s">
        <v>2174</v>
      </c>
      <c r="P360" t="s">
        <v>2175</v>
      </c>
      <c r="Q360" t="s">
        <v>66</v>
      </c>
      <c r="R360" t="s">
        <v>67</v>
      </c>
      <c r="S360" t="s">
        <v>1248</v>
      </c>
    </row>
    <row r="361" spans="1:19" x14ac:dyDescent="0.45">
      <c r="A361" t="str">
        <f t="shared" si="26"/>
        <v>06801</v>
      </c>
      <c r="B361" t="s">
        <v>1870</v>
      </c>
      <c r="C361" t="str">
        <f t="shared" si="28"/>
        <v>06114</v>
      </c>
      <c r="D361" t="s">
        <v>2170</v>
      </c>
      <c r="E361" t="str">
        <f>"1646"</f>
        <v>1646</v>
      </c>
      <c r="F361" t="s">
        <v>2176</v>
      </c>
      <c r="G361" t="s">
        <v>70</v>
      </c>
      <c r="H361">
        <v>12</v>
      </c>
      <c r="I361" t="s">
        <v>2177</v>
      </c>
      <c r="K361" t="s">
        <v>2029</v>
      </c>
      <c r="L361" t="s">
        <v>25</v>
      </c>
      <c r="M361" t="s">
        <v>2178</v>
      </c>
      <c r="N361" t="s">
        <v>2179</v>
      </c>
      <c r="O361" t="s">
        <v>2180</v>
      </c>
      <c r="P361" t="s">
        <v>2181</v>
      </c>
      <c r="Q361" t="s">
        <v>66</v>
      </c>
      <c r="R361" t="s">
        <v>67</v>
      </c>
      <c r="S361" t="s">
        <v>330</v>
      </c>
    </row>
    <row r="362" spans="1:19" x14ac:dyDescent="0.45">
      <c r="A362" t="str">
        <f t="shared" si="26"/>
        <v>06801</v>
      </c>
      <c r="B362" t="s">
        <v>1870</v>
      </c>
      <c r="C362" t="str">
        <f t="shared" si="28"/>
        <v>06114</v>
      </c>
      <c r="D362" t="s">
        <v>2170</v>
      </c>
      <c r="E362" t="str">
        <f>"2724"</f>
        <v>2724</v>
      </c>
      <c r="F362" t="s">
        <v>268</v>
      </c>
      <c r="G362">
        <v>9</v>
      </c>
      <c r="H362">
        <v>12</v>
      </c>
      <c r="I362" t="s">
        <v>2182</v>
      </c>
      <c r="K362" t="s">
        <v>2029</v>
      </c>
      <c r="L362" t="s">
        <v>25</v>
      </c>
      <c r="M362" t="s">
        <v>2183</v>
      </c>
      <c r="N362" t="s">
        <v>2184</v>
      </c>
      <c r="O362" t="s">
        <v>2185</v>
      </c>
      <c r="P362" t="s">
        <v>2186</v>
      </c>
      <c r="Q362" t="s">
        <v>30</v>
      </c>
      <c r="R362" t="s">
        <v>31</v>
      </c>
      <c r="S362" t="s">
        <v>58</v>
      </c>
    </row>
    <row r="363" spans="1:19" x14ac:dyDescent="0.45">
      <c r="A363" t="str">
        <f t="shared" si="26"/>
        <v>06801</v>
      </c>
      <c r="B363" t="s">
        <v>1870</v>
      </c>
      <c r="C363" t="str">
        <f t="shared" si="28"/>
        <v>06114</v>
      </c>
      <c r="D363" t="s">
        <v>2170</v>
      </c>
      <c r="E363" t="str">
        <f>"2829"</f>
        <v>2829</v>
      </c>
      <c r="F363" t="s">
        <v>2187</v>
      </c>
      <c r="G363" t="s">
        <v>22</v>
      </c>
      <c r="H363">
        <v>5</v>
      </c>
      <c r="I363" t="s">
        <v>2188</v>
      </c>
      <c r="K363" t="s">
        <v>2029</v>
      </c>
      <c r="L363" t="s">
        <v>25</v>
      </c>
      <c r="M363" t="s">
        <v>2189</v>
      </c>
      <c r="N363" t="s">
        <v>2190</v>
      </c>
      <c r="O363" t="s">
        <v>2191</v>
      </c>
      <c r="P363" t="s">
        <v>2192</v>
      </c>
      <c r="Q363" t="s">
        <v>30</v>
      </c>
      <c r="R363" t="s">
        <v>31</v>
      </c>
      <c r="S363" t="s">
        <v>32</v>
      </c>
    </row>
    <row r="364" spans="1:19" x14ac:dyDescent="0.45">
      <c r="A364" t="str">
        <f t="shared" si="26"/>
        <v>06801</v>
      </c>
      <c r="B364" t="s">
        <v>1870</v>
      </c>
      <c r="C364" t="str">
        <f t="shared" si="28"/>
        <v>06114</v>
      </c>
      <c r="D364" t="s">
        <v>2170</v>
      </c>
      <c r="E364" t="str">
        <f>"2912"</f>
        <v>2912</v>
      </c>
      <c r="F364" t="s">
        <v>2193</v>
      </c>
      <c r="G364" t="s">
        <v>22</v>
      </c>
      <c r="H364">
        <v>5</v>
      </c>
      <c r="I364" t="s">
        <v>2194</v>
      </c>
      <c r="K364" t="s">
        <v>2029</v>
      </c>
      <c r="L364" t="s">
        <v>25</v>
      </c>
      <c r="M364">
        <v>98662</v>
      </c>
      <c r="N364" t="s">
        <v>2195</v>
      </c>
      <c r="O364" t="s">
        <v>2196</v>
      </c>
      <c r="P364" t="s">
        <v>2197</v>
      </c>
      <c r="Q364" t="s">
        <v>30</v>
      </c>
      <c r="R364" t="s">
        <v>31</v>
      </c>
      <c r="S364" t="s">
        <v>32</v>
      </c>
    </row>
    <row r="365" spans="1:19" x14ac:dyDescent="0.45">
      <c r="A365" t="str">
        <f t="shared" si="26"/>
        <v>06801</v>
      </c>
      <c r="B365" t="s">
        <v>1870</v>
      </c>
      <c r="C365" t="str">
        <f t="shared" si="28"/>
        <v>06114</v>
      </c>
      <c r="D365" t="s">
        <v>2170</v>
      </c>
      <c r="E365" t="str">
        <f>"3148"</f>
        <v>3148</v>
      </c>
      <c r="F365" t="s">
        <v>2198</v>
      </c>
      <c r="G365" t="s">
        <v>22</v>
      </c>
      <c r="H365">
        <v>5</v>
      </c>
      <c r="I365" t="s">
        <v>2199</v>
      </c>
      <c r="K365" t="s">
        <v>2029</v>
      </c>
      <c r="L365" t="s">
        <v>25</v>
      </c>
      <c r="M365" t="s">
        <v>2200</v>
      </c>
      <c r="N365" t="s">
        <v>2201</v>
      </c>
      <c r="O365" t="s">
        <v>2202</v>
      </c>
      <c r="P365" t="s">
        <v>2203</v>
      </c>
      <c r="Q365" t="s">
        <v>30</v>
      </c>
      <c r="R365" t="s">
        <v>31</v>
      </c>
      <c r="S365" t="s">
        <v>32</v>
      </c>
    </row>
    <row r="366" spans="1:19" x14ac:dyDescent="0.45">
      <c r="A366" t="str">
        <f>"OSPI"</f>
        <v>OSPI</v>
      </c>
      <c r="B366" t="s">
        <v>1763</v>
      </c>
      <c r="C366" t="str">
        <f>"06801"</f>
        <v>06801</v>
      </c>
      <c r="D366" t="s">
        <v>1870</v>
      </c>
      <c r="E366" t="str">
        <f>"5290"</f>
        <v>5290</v>
      </c>
      <c r="F366" t="s">
        <v>2204</v>
      </c>
      <c r="G366">
        <v>3</v>
      </c>
      <c r="H366">
        <v>12</v>
      </c>
      <c r="I366" t="s">
        <v>2205</v>
      </c>
      <c r="K366" t="s">
        <v>2029</v>
      </c>
      <c r="L366" t="s">
        <v>25</v>
      </c>
      <c r="M366">
        <v>98660</v>
      </c>
      <c r="N366" t="s">
        <v>2206</v>
      </c>
      <c r="O366" t="s">
        <v>2207</v>
      </c>
      <c r="P366" t="s">
        <v>2208</v>
      </c>
      <c r="Q366" t="s">
        <v>1312</v>
      </c>
      <c r="R366" t="s">
        <v>1313</v>
      </c>
      <c r="S366" t="s">
        <v>159</v>
      </c>
    </row>
    <row r="367" spans="1:19" x14ac:dyDescent="0.45">
      <c r="A367" t="str">
        <f>"17801"</f>
        <v>17801</v>
      </c>
      <c r="B367" t="s">
        <v>19</v>
      </c>
      <c r="C367" t="str">
        <f>"17001"</f>
        <v>17001</v>
      </c>
      <c r="D367" t="s">
        <v>2209</v>
      </c>
      <c r="E367" t="str">
        <f>"5292"</f>
        <v>5292</v>
      </c>
      <c r="F367" t="s">
        <v>2210</v>
      </c>
      <c r="G367" t="s">
        <v>70</v>
      </c>
      <c r="H367">
        <v>5</v>
      </c>
      <c r="I367" t="s">
        <v>2211</v>
      </c>
      <c r="K367" t="s">
        <v>152</v>
      </c>
      <c r="L367" t="s">
        <v>25</v>
      </c>
      <c r="M367">
        <v>98115</v>
      </c>
      <c r="N367" t="s">
        <v>2212</v>
      </c>
      <c r="O367" t="s">
        <v>2213</v>
      </c>
      <c r="P367" t="s">
        <v>2214</v>
      </c>
      <c r="Q367" t="s">
        <v>30</v>
      </c>
      <c r="R367" t="s">
        <v>31</v>
      </c>
      <c r="S367" t="s">
        <v>32</v>
      </c>
    </row>
    <row r="368" spans="1:19" x14ac:dyDescent="0.45">
      <c r="A368" t="str">
        <f>"32801"</f>
        <v>32801</v>
      </c>
      <c r="B368" t="s">
        <v>1108</v>
      </c>
      <c r="C368" t="str">
        <f>"01158"</f>
        <v>01158</v>
      </c>
      <c r="D368" t="s">
        <v>1151</v>
      </c>
      <c r="E368" t="str">
        <f>"5293"</f>
        <v>5293</v>
      </c>
      <c r="F368" t="s">
        <v>2215</v>
      </c>
      <c r="G368">
        <v>6</v>
      </c>
      <c r="H368">
        <v>8</v>
      </c>
      <c r="I368" t="s">
        <v>2216</v>
      </c>
      <c r="K368" t="s">
        <v>1160</v>
      </c>
      <c r="L368" t="s">
        <v>25</v>
      </c>
      <c r="M368">
        <v>99341</v>
      </c>
      <c r="N368" t="s">
        <v>1162</v>
      </c>
      <c r="O368" t="s">
        <v>1163</v>
      </c>
      <c r="P368" t="s">
        <v>1164</v>
      </c>
      <c r="Q368" t="s">
        <v>30</v>
      </c>
      <c r="R368" t="s">
        <v>31</v>
      </c>
      <c r="S368" t="s">
        <v>104</v>
      </c>
    </row>
    <row r="369" spans="1:19" x14ac:dyDescent="0.45">
      <c r="A369" t="str">
        <f>"32801"</f>
        <v>32801</v>
      </c>
      <c r="B369" t="s">
        <v>1108</v>
      </c>
      <c r="C369" t="str">
        <f>"32360"</f>
        <v>32360</v>
      </c>
      <c r="D369" t="s">
        <v>2217</v>
      </c>
      <c r="E369" t="str">
        <f>"5294"</f>
        <v>5294</v>
      </c>
      <c r="F369" t="s">
        <v>2218</v>
      </c>
      <c r="G369" t="s">
        <v>22</v>
      </c>
      <c r="H369">
        <v>5</v>
      </c>
      <c r="I369" t="s">
        <v>2219</v>
      </c>
      <c r="K369" t="s">
        <v>2220</v>
      </c>
      <c r="L369" t="s">
        <v>25</v>
      </c>
      <c r="M369">
        <v>99004</v>
      </c>
      <c r="N369" t="s">
        <v>2221</v>
      </c>
      <c r="O369" t="s">
        <v>2222</v>
      </c>
      <c r="P369" t="s">
        <v>2223</v>
      </c>
      <c r="Q369" t="s">
        <v>30</v>
      </c>
      <c r="R369" t="s">
        <v>31</v>
      </c>
      <c r="S369" t="s">
        <v>32</v>
      </c>
    </row>
    <row r="370" spans="1:19" x14ac:dyDescent="0.45">
      <c r="A370" t="str">
        <f>"17801"</f>
        <v>17801</v>
      </c>
      <c r="B370" t="s">
        <v>19</v>
      </c>
      <c r="C370" t="str">
        <f>"17410"</f>
        <v>17410</v>
      </c>
      <c r="D370" t="s">
        <v>862</v>
      </c>
      <c r="E370" t="str">
        <f>"5296"</f>
        <v>5296</v>
      </c>
      <c r="F370" t="s">
        <v>2224</v>
      </c>
      <c r="G370" t="s">
        <v>70</v>
      </c>
      <c r="H370">
        <v>10</v>
      </c>
      <c r="I370" t="s">
        <v>2225</v>
      </c>
      <c r="K370" t="s">
        <v>865</v>
      </c>
      <c r="L370" t="s">
        <v>25</v>
      </c>
      <c r="M370">
        <v>98065</v>
      </c>
      <c r="N370" t="s">
        <v>866</v>
      </c>
      <c r="O370" t="s">
        <v>867</v>
      </c>
      <c r="P370" t="s">
        <v>882</v>
      </c>
      <c r="Q370" t="s">
        <v>157</v>
      </c>
      <c r="R370" t="s">
        <v>158</v>
      </c>
      <c r="S370" t="s">
        <v>159</v>
      </c>
    </row>
    <row r="371" spans="1:19" x14ac:dyDescent="0.45">
      <c r="A371" t="str">
        <f>"17801"</f>
        <v>17801</v>
      </c>
      <c r="B371" t="s">
        <v>19</v>
      </c>
      <c r="C371" t="str">
        <f>"27400"</f>
        <v>27400</v>
      </c>
      <c r="D371" t="s">
        <v>2226</v>
      </c>
      <c r="E371" t="str">
        <f>"5297"</f>
        <v>5297</v>
      </c>
      <c r="F371" t="s">
        <v>2227</v>
      </c>
      <c r="G371">
        <v>5</v>
      </c>
      <c r="H371">
        <v>12</v>
      </c>
      <c r="I371" t="s">
        <v>2228</v>
      </c>
      <c r="J371" t="s">
        <v>2229</v>
      </c>
      <c r="K371" t="s">
        <v>2230</v>
      </c>
      <c r="L371" t="s">
        <v>25</v>
      </c>
      <c r="M371">
        <v>98499</v>
      </c>
      <c r="N371" t="s">
        <v>2231</v>
      </c>
      <c r="O371" t="s">
        <v>2232</v>
      </c>
      <c r="P371" t="s">
        <v>2233</v>
      </c>
      <c r="Q371" t="s">
        <v>30</v>
      </c>
      <c r="R371" t="s">
        <v>31</v>
      </c>
      <c r="S371" t="s">
        <v>159</v>
      </c>
    </row>
    <row r="372" spans="1:19" x14ac:dyDescent="0.45">
      <c r="A372" t="str">
        <f>"17801"</f>
        <v>17801</v>
      </c>
      <c r="B372" t="s">
        <v>19</v>
      </c>
      <c r="C372" t="str">
        <f>"27400"</f>
        <v>27400</v>
      </c>
      <c r="D372" t="s">
        <v>2226</v>
      </c>
      <c r="E372" t="str">
        <f>"5298"</f>
        <v>5298</v>
      </c>
      <c r="F372" t="s">
        <v>2234</v>
      </c>
      <c r="G372">
        <v>9</v>
      </c>
      <c r="H372">
        <v>12</v>
      </c>
      <c r="I372" t="s">
        <v>2235</v>
      </c>
      <c r="K372" t="s">
        <v>2230</v>
      </c>
      <c r="L372" t="s">
        <v>25</v>
      </c>
      <c r="M372">
        <v>98498</v>
      </c>
      <c r="N372" t="s">
        <v>2231</v>
      </c>
      <c r="O372" t="s">
        <v>2232</v>
      </c>
      <c r="P372" t="s">
        <v>2233</v>
      </c>
      <c r="Q372" t="s">
        <v>962</v>
      </c>
      <c r="R372" t="s">
        <v>963</v>
      </c>
      <c r="S372" t="s">
        <v>58</v>
      </c>
    </row>
    <row r="373" spans="1:19" x14ac:dyDescent="0.45">
      <c r="A373" t="str">
        <f>"17801"</f>
        <v>17801</v>
      </c>
      <c r="B373" t="s">
        <v>19</v>
      </c>
      <c r="C373" t="str">
        <f>"27404"</f>
        <v>27404</v>
      </c>
      <c r="D373" t="s">
        <v>2236</v>
      </c>
      <c r="E373" t="str">
        <f>"5300"</f>
        <v>5300</v>
      </c>
      <c r="F373" t="s">
        <v>2237</v>
      </c>
      <c r="G373" t="s">
        <v>70</v>
      </c>
      <c r="H373">
        <v>8</v>
      </c>
      <c r="I373" t="s">
        <v>2238</v>
      </c>
      <c r="K373" t="s">
        <v>2239</v>
      </c>
      <c r="L373" t="s">
        <v>25</v>
      </c>
      <c r="M373">
        <v>98328</v>
      </c>
      <c r="N373" t="s">
        <v>2240</v>
      </c>
      <c r="O373" t="s">
        <v>2241</v>
      </c>
      <c r="P373" t="s">
        <v>2242</v>
      </c>
      <c r="Q373" t="s">
        <v>157</v>
      </c>
      <c r="R373" t="s">
        <v>158</v>
      </c>
      <c r="S373" t="s">
        <v>159</v>
      </c>
    </row>
    <row r="374" spans="1:19" x14ac:dyDescent="0.45">
      <c r="A374" t="str">
        <f>"32801"</f>
        <v>32801</v>
      </c>
      <c r="B374" t="s">
        <v>1108</v>
      </c>
      <c r="C374" t="str">
        <f>"32081"</f>
        <v>32081</v>
      </c>
      <c r="D374" t="s">
        <v>2243</v>
      </c>
      <c r="E374" t="str">
        <f>"5301"</f>
        <v>5301</v>
      </c>
      <c r="F374" t="s">
        <v>2244</v>
      </c>
      <c r="G374">
        <v>9</v>
      </c>
      <c r="H374">
        <v>12</v>
      </c>
      <c r="I374" t="s">
        <v>2245</v>
      </c>
      <c r="K374" t="s">
        <v>2246</v>
      </c>
      <c r="L374" t="s">
        <v>25</v>
      </c>
      <c r="M374">
        <v>99205</v>
      </c>
      <c r="N374" t="s">
        <v>2247</v>
      </c>
      <c r="O374" t="s">
        <v>2248</v>
      </c>
      <c r="P374" t="s">
        <v>2249</v>
      </c>
      <c r="Q374" t="s">
        <v>30</v>
      </c>
      <c r="R374" t="s">
        <v>31</v>
      </c>
      <c r="S374" t="s">
        <v>58</v>
      </c>
    </row>
    <row r="375" spans="1:19" x14ac:dyDescent="0.45">
      <c r="A375" t="str">
        <f>"OSPI"</f>
        <v>OSPI</v>
      </c>
      <c r="B375" t="s">
        <v>1763</v>
      </c>
      <c r="C375" t="str">
        <f>"34979"</f>
        <v>34979</v>
      </c>
      <c r="D375" t="s">
        <v>2250</v>
      </c>
      <c r="E375" t="str">
        <f>"5302"</f>
        <v>5302</v>
      </c>
      <c r="F375" t="s">
        <v>2251</v>
      </c>
      <c r="G375">
        <v>9</v>
      </c>
      <c r="H375">
        <v>12</v>
      </c>
      <c r="I375" t="s">
        <v>2252</v>
      </c>
      <c r="K375" t="s">
        <v>2253</v>
      </c>
      <c r="L375" t="s">
        <v>25</v>
      </c>
      <c r="M375">
        <v>98312</v>
      </c>
      <c r="N375" t="s">
        <v>79</v>
      </c>
      <c r="Q375" t="s">
        <v>962</v>
      </c>
      <c r="R375" t="s">
        <v>963</v>
      </c>
      <c r="S375" t="s">
        <v>58</v>
      </c>
    </row>
    <row r="376" spans="1:19" x14ac:dyDescent="0.45">
      <c r="A376" t="str">
        <f>"32801"</f>
        <v>32801</v>
      </c>
      <c r="B376" t="s">
        <v>1108</v>
      </c>
      <c r="C376" t="str">
        <f>"01160"</f>
        <v>01160</v>
      </c>
      <c r="D376" t="s">
        <v>1165</v>
      </c>
      <c r="E376" t="str">
        <f>"5303"</f>
        <v>5303</v>
      </c>
      <c r="F376" t="s">
        <v>2254</v>
      </c>
      <c r="G376">
        <v>6</v>
      </c>
      <c r="H376">
        <v>8</v>
      </c>
      <c r="I376" t="s">
        <v>2216</v>
      </c>
      <c r="K376" t="s">
        <v>2255</v>
      </c>
      <c r="L376" t="s">
        <v>25</v>
      </c>
      <c r="M376">
        <v>99341</v>
      </c>
      <c r="N376" t="s">
        <v>79</v>
      </c>
      <c r="Q376" t="s">
        <v>2256</v>
      </c>
      <c r="R376" t="s">
        <v>31</v>
      </c>
      <c r="S376" t="s">
        <v>104</v>
      </c>
    </row>
    <row r="377" spans="1:19" x14ac:dyDescent="0.45">
      <c r="A377" t="str">
        <f>"OSPI"</f>
        <v>OSPI</v>
      </c>
      <c r="B377" t="s">
        <v>1763</v>
      </c>
      <c r="C377" t="str">
        <f>"34801"</f>
        <v>34801</v>
      </c>
      <c r="D377" t="s">
        <v>2257</v>
      </c>
      <c r="E377" t="str">
        <f>"5305"</f>
        <v>5305</v>
      </c>
      <c r="F377" t="s">
        <v>2258</v>
      </c>
      <c r="G377">
        <v>11</v>
      </c>
      <c r="H377">
        <v>13</v>
      </c>
      <c r="I377" t="s">
        <v>2259</v>
      </c>
      <c r="K377" t="s">
        <v>2260</v>
      </c>
      <c r="L377" t="s">
        <v>25</v>
      </c>
      <c r="M377">
        <v>98512</v>
      </c>
      <c r="N377" t="s">
        <v>2261</v>
      </c>
      <c r="O377" t="s">
        <v>2262</v>
      </c>
      <c r="P377" t="s">
        <v>2263</v>
      </c>
      <c r="Q377" t="s">
        <v>2264</v>
      </c>
      <c r="R377" t="s">
        <v>2265</v>
      </c>
      <c r="S377" t="s">
        <v>58</v>
      </c>
    </row>
    <row r="378" spans="1:19" x14ac:dyDescent="0.45">
      <c r="A378" t="str">
        <f>"OSPI"</f>
        <v>OSPI</v>
      </c>
      <c r="B378" t="s">
        <v>1763</v>
      </c>
      <c r="C378" t="str">
        <f>"17937"</f>
        <v>17937</v>
      </c>
      <c r="D378" t="s">
        <v>2266</v>
      </c>
      <c r="E378" t="str">
        <f>"5306"</f>
        <v>5306</v>
      </c>
      <c r="F378" t="s">
        <v>2267</v>
      </c>
      <c r="G378">
        <v>11</v>
      </c>
      <c r="H378">
        <v>12</v>
      </c>
      <c r="I378" t="s">
        <v>2268</v>
      </c>
      <c r="K378" t="s">
        <v>2269</v>
      </c>
      <c r="L378" t="s">
        <v>25</v>
      </c>
      <c r="M378">
        <v>98034</v>
      </c>
      <c r="N378" t="s">
        <v>2270</v>
      </c>
      <c r="O378" t="s">
        <v>2271</v>
      </c>
      <c r="P378" t="s">
        <v>2272</v>
      </c>
      <c r="Q378" t="s">
        <v>2264</v>
      </c>
      <c r="R378" t="s">
        <v>2265</v>
      </c>
      <c r="S378" t="s">
        <v>58</v>
      </c>
    </row>
    <row r="379" spans="1:19" x14ac:dyDescent="0.45">
      <c r="A379" t="str">
        <f>"17801"</f>
        <v>17801</v>
      </c>
      <c r="B379" t="s">
        <v>19</v>
      </c>
      <c r="C379" t="str">
        <f>"27010"</f>
        <v>27010</v>
      </c>
      <c r="D379" t="s">
        <v>2273</v>
      </c>
      <c r="E379" t="str">
        <f>"5307"</f>
        <v>5307</v>
      </c>
      <c r="F379" t="s">
        <v>2274</v>
      </c>
      <c r="G379">
        <v>9</v>
      </c>
      <c r="H379">
        <v>12</v>
      </c>
      <c r="I379" t="s">
        <v>2275</v>
      </c>
      <c r="K379" t="s">
        <v>2276</v>
      </c>
      <c r="L379" t="s">
        <v>25</v>
      </c>
      <c r="M379">
        <v>98405</v>
      </c>
      <c r="N379" t="s">
        <v>2277</v>
      </c>
      <c r="O379" t="s">
        <v>2278</v>
      </c>
      <c r="P379" t="s">
        <v>2279</v>
      </c>
      <c r="Q379" t="s">
        <v>2264</v>
      </c>
      <c r="R379" t="s">
        <v>2265</v>
      </c>
      <c r="S379" t="s">
        <v>58</v>
      </c>
    </row>
    <row r="380" spans="1:19" x14ac:dyDescent="0.45">
      <c r="A380" t="str">
        <f>"17801"</f>
        <v>17801</v>
      </c>
      <c r="B380" t="s">
        <v>19</v>
      </c>
      <c r="C380" t="str">
        <f>"17405"</f>
        <v>17405</v>
      </c>
      <c r="D380" t="s">
        <v>487</v>
      </c>
      <c r="E380" t="str">
        <f>"5308"</f>
        <v>5308</v>
      </c>
      <c r="F380" t="s">
        <v>2280</v>
      </c>
      <c r="G380" t="s">
        <v>22</v>
      </c>
      <c r="H380">
        <v>5</v>
      </c>
      <c r="I380" t="s">
        <v>2281</v>
      </c>
      <c r="K380" t="s">
        <v>490</v>
      </c>
      <c r="L380" t="s">
        <v>25</v>
      </c>
      <c r="M380">
        <v>98006</v>
      </c>
      <c r="N380" t="s">
        <v>2282</v>
      </c>
      <c r="O380" t="s">
        <v>2283</v>
      </c>
      <c r="P380" t="s">
        <v>2284</v>
      </c>
      <c r="Q380" t="s">
        <v>30</v>
      </c>
      <c r="R380" t="s">
        <v>31</v>
      </c>
      <c r="S380" t="s">
        <v>32</v>
      </c>
    </row>
    <row r="381" spans="1:19" x14ac:dyDescent="0.45">
      <c r="A381" t="str">
        <f>"06801"</f>
        <v>06801</v>
      </c>
      <c r="B381" t="s">
        <v>1870</v>
      </c>
      <c r="C381" t="str">
        <f>"06117"</f>
        <v>06117</v>
      </c>
      <c r="D381" t="s">
        <v>2285</v>
      </c>
      <c r="E381" t="str">
        <f>"5309"</f>
        <v>5309</v>
      </c>
      <c r="F381" t="s">
        <v>2286</v>
      </c>
      <c r="G381" t="s">
        <v>22</v>
      </c>
      <c r="H381">
        <v>5</v>
      </c>
      <c r="I381" t="s">
        <v>2287</v>
      </c>
      <c r="K381" t="s">
        <v>2288</v>
      </c>
      <c r="L381" t="s">
        <v>25</v>
      </c>
      <c r="M381">
        <v>98607</v>
      </c>
      <c r="N381" t="s">
        <v>2289</v>
      </c>
      <c r="O381" t="s">
        <v>2290</v>
      </c>
      <c r="P381" t="s">
        <v>2291</v>
      </c>
      <c r="Q381" t="s">
        <v>2256</v>
      </c>
      <c r="R381" t="s">
        <v>31</v>
      </c>
      <c r="S381" t="s">
        <v>32</v>
      </c>
    </row>
    <row r="382" spans="1:19" x14ac:dyDescent="0.45">
      <c r="A382" t="str">
        <f>"06801"</f>
        <v>06801</v>
      </c>
      <c r="B382" t="s">
        <v>1870</v>
      </c>
      <c r="C382" t="str">
        <f>"06114"</f>
        <v>06114</v>
      </c>
      <c r="D382" t="s">
        <v>2170</v>
      </c>
      <c r="E382" t="str">
        <f>"5310"</f>
        <v>5310</v>
      </c>
      <c r="F382" t="s">
        <v>2292</v>
      </c>
      <c r="G382">
        <v>9</v>
      </c>
      <c r="H382">
        <v>12</v>
      </c>
      <c r="I382" t="s">
        <v>2293</v>
      </c>
      <c r="K382" t="s">
        <v>2029</v>
      </c>
      <c r="L382" t="s">
        <v>25</v>
      </c>
      <c r="M382">
        <v>98664</v>
      </c>
      <c r="N382" t="s">
        <v>2294</v>
      </c>
      <c r="O382" t="s">
        <v>2295</v>
      </c>
      <c r="P382" t="s">
        <v>2296</v>
      </c>
      <c r="Q382" t="s">
        <v>2256</v>
      </c>
      <c r="R382" t="s">
        <v>31</v>
      </c>
      <c r="S382" t="s">
        <v>58</v>
      </c>
    </row>
    <row r="383" spans="1:19" x14ac:dyDescent="0.45">
      <c r="A383" t="str">
        <f>"06801"</f>
        <v>06801</v>
      </c>
      <c r="B383" t="s">
        <v>1870</v>
      </c>
      <c r="C383" t="str">
        <f>"06098"</f>
        <v>06098</v>
      </c>
      <c r="D383" t="s">
        <v>2095</v>
      </c>
      <c r="E383" t="str">
        <f>"5311"</f>
        <v>5311</v>
      </c>
      <c r="F383" t="s">
        <v>2297</v>
      </c>
      <c r="G383" t="s">
        <v>70</v>
      </c>
      <c r="H383">
        <v>5</v>
      </c>
      <c r="I383" t="s">
        <v>2298</v>
      </c>
      <c r="K383" t="s">
        <v>2299</v>
      </c>
      <c r="L383" t="s">
        <v>25</v>
      </c>
      <c r="M383">
        <v>98606</v>
      </c>
      <c r="N383" t="s">
        <v>2300</v>
      </c>
      <c r="O383" t="s">
        <v>2301</v>
      </c>
      <c r="P383" t="s">
        <v>2302</v>
      </c>
      <c r="Q383" t="s">
        <v>30</v>
      </c>
      <c r="R383" t="s">
        <v>31</v>
      </c>
      <c r="S383" t="s">
        <v>32</v>
      </c>
    </row>
    <row r="384" spans="1:19" x14ac:dyDescent="0.45">
      <c r="A384" t="str">
        <f>"06801"</f>
        <v>06801</v>
      </c>
      <c r="B384" t="s">
        <v>1870</v>
      </c>
      <c r="C384" t="str">
        <f>"08122"</f>
        <v>08122</v>
      </c>
      <c r="D384" t="s">
        <v>2303</v>
      </c>
      <c r="E384" t="str">
        <f>"5312"</f>
        <v>5312</v>
      </c>
      <c r="F384" t="s">
        <v>2304</v>
      </c>
      <c r="G384">
        <v>9</v>
      </c>
      <c r="H384">
        <v>12</v>
      </c>
      <c r="I384" t="s">
        <v>2305</v>
      </c>
      <c r="K384" t="s">
        <v>2306</v>
      </c>
      <c r="L384" t="s">
        <v>25</v>
      </c>
      <c r="M384">
        <v>98632</v>
      </c>
      <c r="N384" t="s">
        <v>2307</v>
      </c>
      <c r="O384" t="s">
        <v>2308</v>
      </c>
      <c r="P384" t="s">
        <v>2309</v>
      </c>
      <c r="Q384" t="s">
        <v>157</v>
      </c>
      <c r="R384" t="s">
        <v>158</v>
      </c>
      <c r="S384" t="s">
        <v>58</v>
      </c>
    </row>
    <row r="385" spans="1:19" x14ac:dyDescent="0.45">
      <c r="A385" t="str">
        <f>"17801"</f>
        <v>17801</v>
      </c>
      <c r="B385" t="s">
        <v>19</v>
      </c>
      <c r="C385" t="str">
        <f>"17403"</f>
        <v>17403</v>
      </c>
      <c r="D385" t="s">
        <v>344</v>
      </c>
      <c r="E385" t="str">
        <f>"5313"</f>
        <v>5313</v>
      </c>
      <c r="F385" t="s">
        <v>2310</v>
      </c>
      <c r="G385" t="s">
        <v>22</v>
      </c>
      <c r="H385" t="s">
        <v>22</v>
      </c>
      <c r="I385" t="s">
        <v>2311</v>
      </c>
      <c r="K385" t="s">
        <v>347</v>
      </c>
      <c r="L385" t="s">
        <v>25</v>
      </c>
      <c r="M385" t="s">
        <v>2312</v>
      </c>
      <c r="N385" t="s">
        <v>2313</v>
      </c>
      <c r="O385" t="s">
        <v>2314</v>
      </c>
      <c r="P385" t="s">
        <v>2315</v>
      </c>
      <c r="Q385" t="s">
        <v>2316</v>
      </c>
      <c r="R385" t="s">
        <v>31</v>
      </c>
      <c r="S385" t="s">
        <v>1248</v>
      </c>
    </row>
    <row r="386" spans="1:19" x14ac:dyDescent="0.45">
      <c r="A386" t="str">
        <f>"17801"</f>
        <v>17801</v>
      </c>
      <c r="B386" t="s">
        <v>19</v>
      </c>
      <c r="C386" t="str">
        <f>"17406"</f>
        <v>17406</v>
      </c>
      <c r="D386" t="s">
        <v>630</v>
      </c>
      <c r="E386" t="str">
        <f>"5315"</f>
        <v>5315</v>
      </c>
      <c r="F386" t="s">
        <v>2317</v>
      </c>
      <c r="G386">
        <v>9</v>
      </c>
      <c r="H386">
        <v>12</v>
      </c>
      <c r="I386" t="s">
        <v>630</v>
      </c>
      <c r="J386" t="s">
        <v>2318</v>
      </c>
      <c r="K386" t="s">
        <v>640</v>
      </c>
      <c r="L386" t="s">
        <v>25</v>
      </c>
      <c r="M386">
        <v>98168</v>
      </c>
      <c r="N386" t="s">
        <v>2319</v>
      </c>
      <c r="O386" t="s">
        <v>2320</v>
      </c>
      <c r="P386" t="s">
        <v>643</v>
      </c>
      <c r="Q386" t="s">
        <v>2264</v>
      </c>
      <c r="R386" t="s">
        <v>2265</v>
      </c>
      <c r="S386" t="s">
        <v>58</v>
      </c>
    </row>
    <row r="387" spans="1:19" x14ac:dyDescent="0.45">
      <c r="A387" t="str">
        <f>"04801"</f>
        <v>04801</v>
      </c>
      <c r="B387" t="s">
        <v>1549</v>
      </c>
      <c r="C387" t="str">
        <f>"04246"</f>
        <v>04246</v>
      </c>
      <c r="D387" t="s">
        <v>1656</v>
      </c>
      <c r="E387" t="str">
        <f>"5316"</f>
        <v>5316</v>
      </c>
      <c r="F387" t="s">
        <v>2321</v>
      </c>
      <c r="G387">
        <v>9</v>
      </c>
      <c r="H387">
        <v>12</v>
      </c>
      <c r="I387" t="s">
        <v>2322</v>
      </c>
      <c r="K387" t="s">
        <v>1659</v>
      </c>
      <c r="L387" t="s">
        <v>25</v>
      </c>
      <c r="M387">
        <v>98807</v>
      </c>
      <c r="N387" t="s">
        <v>1671</v>
      </c>
      <c r="O387" t="s">
        <v>1662</v>
      </c>
      <c r="P387" t="s">
        <v>1667</v>
      </c>
      <c r="Q387" t="s">
        <v>2264</v>
      </c>
      <c r="R387" t="s">
        <v>2265</v>
      </c>
      <c r="S387" t="s">
        <v>58</v>
      </c>
    </row>
    <row r="388" spans="1:19" x14ac:dyDescent="0.45">
      <c r="A388" t="str">
        <f>"34801"</f>
        <v>34801</v>
      </c>
      <c r="B388" t="s">
        <v>2257</v>
      </c>
      <c r="C388" t="str">
        <f>"21302"</f>
        <v>21302</v>
      </c>
      <c r="D388" t="s">
        <v>2323</v>
      </c>
      <c r="E388" t="str">
        <f>"5317"</f>
        <v>5317</v>
      </c>
      <c r="F388" t="s">
        <v>2324</v>
      </c>
      <c r="G388">
        <v>9</v>
      </c>
      <c r="H388">
        <v>12</v>
      </c>
      <c r="I388" t="s">
        <v>2325</v>
      </c>
      <c r="K388" t="s">
        <v>2326</v>
      </c>
      <c r="L388" t="s">
        <v>25</v>
      </c>
      <c r="M388">
        <v>98532</v>
      </c>
      <c r="N388" t="s">
        <v>2327</v>
      </c>
      <c r="O388" t="s">
        <v>2328</v>
      </c>
      <c r="P388" t="s">
        <v>2329</v>
      </c>
      <c r="Q388" t="s">
        <v>962</v>
      </c>
      <c r="R388" t="s">
        <v>963</v>
      </c>
      <c r="S388" t="s">
        <v>58</v>
      </c>
    </row>
    <row r="389" spans="1:19" x14ac:dyDescent="0.45">
      <c r="A389" t="str">
        <f>"OSPI"</f>
        <v>OSPI</v>
      </c>
      <c r="B389" t="s">
        <v>1763</v>
      </c>
      <c r="C389" t="str">
        <f>"18902"</f>
        <v>18902</v>
      </c>
      <c r="D389" t="s">
        <v>2330</v>
      </c>
      <c r="E389" t="str">
        <f>"5319"</f>
        <v>5319</v>
      </c>
      <c r="F389" t="s">
        <v>2331</v>
      </c>
      <c r="G389" t="s">
        <v>70</v>
      </c>
      <c r="H389">
        <v>12</v>
      </c>
      <c r="I389" t="s">
        <v>2332</v>
      </c>
      <c r="K389" t="s">
        <v>2333</v>
      </c>
      <c r="L389" t="s">
        <v>25</v>
      </c>
      <c r="M389">
        <v>98370</v>
      </c>
      <c r="N389" t="s">
        <v>2334</v>
      </c>
      <c r="O389" t="s">
        <v>2335</v>
      </c>
      <c r="P389" t="s">
        <v>2336</v>
      </c>
      <c r="Q389" t="s">
        <v>30</v>
      </c>
      <c r="R389" t="s">
        <v>2337</v>
      </c>
      <c r="S389" t="s">
        <v>330</v>
      </c>
    </row>
    <row r="390" spans="1:19" x14ac:dyDescent="0.45">
      <c r="A390" t="str">
        <f>"17801"</f>
        <v>17801</v>
      </c>
      <c r="B390" t="s">
        <v>19</v>
      </c>
      <c r="C390" t="str">
        <f>"27003"</f>
        <v>27003</v>
      </c>
      <c r="D390" t="s">
        <v>2338</v>
      </c>
      <c r="E390" t="str">
        <f>"5321"</f>
        <v>5321</v>
      </c>
      <c r="F390" t="s">
        <v>2339</v>
      </c>
      <c r="G390">
        <v>9</v>
      </c>
      <c r="H390">
        <v>12</v>
      </c>
      <c r="I390" t="s">
        <v>2340</v>
      </c>
      <c r="J390" t="s">
        <v>2341</v>
      </c>
      <c r="K390" t="s">
        <v>2342</v>
      </c>
      <c r="L390" t="s">
        <v>25</v>
      </c>
      <c r="M390">
        <v>98373</v>
      </c>
      <c r="N390" t="s">
        <v>2343</v>
      </c>
      <c r="O390" t="s">
        <v>2344</v>
      </c>
      <c r="P390" t="s">
        <v>2345</v>
      </c>
      <c r="Q390" t="s">
        <v>2264</v>
      </c>
      <c r="R390" t="s">
        <v>2265</v>
      </c>
      <c r="S390" t="s">
        <v>58</v>
      </c>
    </row>
    <row r="391" spans="1:19" x14ac:dyDescent="0.45">
      <c r="A391" t="str">
        <f>"17801"</f>
        <v>17801</v>
      </c>
      <c r="B391" t="s">
        <v>19</v>
      </c>
      <c r="C391" t="str">
        <f>"27003"</f>
        <v>27003</v>
      </c>
      <c r="D391" t="s">
        <v>2338</v>
      </c>
      <c r="E391" t="str">
        <f>"5322"</f>
        <v>5322</v>
      </c>
      <c r="F391" t="s">
        <v>2346</v>
      </c>
      <c r="G391" t="s">
        <v>70</v>
      </c>
      <c r="H391">
        <v>8</v>
      </c>
      <c r="I391" t="s">
        <v>2340</v>
      </c>
      <c r="J391" t="s">
        <v>2341</v>
      </c>
      <c r="K391" t="s">
        <v>2347</v>
      </c>
      <c r="L391" t="s">
        <v>25</v>
      </c>
      <c r="M391">
        <v>98373</v>
      </c>
      <c r="N391" t="s">
        <v>2343</v>
      </c>
      <c r="O391" t="s">
        <v>2344</v>
      </c>
      <c r="P391" t="s">
        <v>2345</v>
      </c>
      <c r="Q391" t="s">
        <v>157</v>
      </c>
      <c r="R391" t="s">
        <v>158</v>
      </c>
      <c r="S391" t="s">
        <v>159</v>
      </c>
    </row>
    <row r="392" spans="1:19" x14ac:dyDescent="0.45">
      <c r="A392" t="str">
        <f>"04801"</f>
        <v>04801</v>
      </c>
      <c r="B392" t="s">
        <v>1549</v>
      </c>
      <c r="C392" t="str">
        <f>"13161"</f>
        <v>13161</v>
      </c>
      <c r="D392" t="s">
        <v>2348</v>
      </c>
      <c r="E392" t="str">
        <f>"5323"</f>
        <v>5323</v>
      </c>
      <c r="F392" t="s">
        <v>2349</v>
      </c>
      <c r="G392">
        <v>9</v>
      </c>
      <c r="H392">
        <v>13</v>
      </c>
      <c r="I392" t="s">
        <v>2350</v>
      </c>
      <c r="K392" t="s">
        <v>2351</v>
      </c>
      <c r="L392" t="s">
        <v>25</v>
      </c>
      <c r="M392">
        <v>98837</v>
      </c>
      <c r="N392" t="s">
        <v>2352</v>
      </c>
      <c r="O392" t="s">
        <v>2353</v>
      </c>
      <c r="P392" t="s">
        <v>2354</v>
      </c>
      <c r="Q392" t="s">
        <v>2264</v>
      </c>
      <c r="R392" t="s">
        <v>2265</v>
      </c>
      <c r="S392" t="s">
        <v>58</v>
      </c>
    </row>
    <row r="393" spans="1:19" x14ac:dyDescent="0.45">
      <c r="A393" t="str">
        <f>"17801"</f>
        <v>17801</v>
      </c>
      <c r="B393" t="s">
        <v>19</v>
      </c>
      <c r="C393" t="str">
        <f>"17405"</f>
        <v>17405</v>
      </c>
      <c r="D393" t="s">
        <v>487</v>
      </c>
      <c r="E393" t="str">
        <f>"5325"</f>
        <v>5325</v>
      </c>
      <c r="F393" t="s">
        <v>2355</v>
      </c>
      <c r="G393">
        <v>10</v>
      </c>
      <c r="H393">
        <v>12</v>
      </c>
      <c r="I393" t="s">
        <v>2356</v>
      </c>
      <c r="K393" t="s">
        <v>931</v>
      </c>
      <c r="L393" t="s">
        <v>25</v>
      </c>
      <c r="M393">
        <v>98005</v>
      </c>
      <c r="N393" t="s">
        <v>2357</v>
      </c>
      <c r="O393" t="s">
        <v>2358</v>
      </c>
      <c r="P393" t="s">
        <v>2359</v>
      </c>
      <c r="Q393" t="s">
        <v>2264</v>
      </c>
      <c r="R393" t="s">
        <v>2265</v>
      </c>
      <c r="S393" t="s">
        <v>58</v>
      </c>
    </row>
    <row r="394" spans="1:19" x14ac:dyDescent="0.45">
      <c r="A394" t="str">
        <f>"06801"</f>
        <v>06801</v>
      </c>
      <c r="B394" t="s">
        <v>1870</v>
      </c>
      <c r="C394" t="str">
        <f>"06101"</f>
        <v>06101</v>
      </c>
      <c r="D394" t="s">
        <v>2108</v>
      </c>
      <c r="E394" t="str">
        <f>"5326"</f>
        <v>5326</v>
      </c>
      <c r="F394" t="s">
        <v>2360</v>
      </c>
      <c r="G394" t="s">
        <v>70</v>
      </c>
      <c r="H394">
        <v>12</v>
      </c>
      <c r="I394" t="s">
        <v>2361</v>
      </c>
      <c r="K394" t="s">
        <v>2111</v>
      </c>
      <c r="L394" t="s">
        <v>25</v>
      </c>
      <c r="M394">
        <v>98629</v>
      </c>
      <c r="N394" t="s">
        <v>2123</v>
      </c>
      <c r="O394" t="s">
        <v>2124</v>
      </c>
      <c r="P394" t="s">
        <v>2125</v>
      </c>
      <c r="Q394" t="s">
        <v>157</v>
      </c>
      <c r="R394" t="s">
        <v>158</v>
      </c>
      <c r="S394" t="s">
        <v>330</v>
      </c>
    </row>
    <row r="395" spans="1:19" x14ac:dyDescent="0.45">
      <c r="A395" t="str">
        <f>"32801"</f>
        <v>32801</v>
      </c>
      <c r="B395" t="s">
        <v>1108</v>
      </c>
      <c r="C395" t="str">
        <f>"32356"</f>
        <v>32356</v>
      </c>
      <c r="D395" t="s">
        <v>2362</v>
      </c>
      <c r="E395" t="str">
        <f>"5328"</f>
        <v>5328</v>
      </c>
      <c r="F395" t="s">
        <v>2363</v>
      </c>
      <c r="G395">
        <v>10</v>
      </c>
      <c r="H395">
        <v>13</v>
      </c>
      <c r="I395" t="s">
        <v>2364</v>
      </c>
      <c r="K395" t="s">
        <v>2365</v>
      </c>
      <c r="L395" t="s">
        <v>25</v>
      </c>
      <c r="M395" t="s">
        <v>2366</v>
      </c>
      <c r="N395" t="s">
        <v>2367</v>
      </c>
      <c r="O395" t="s">
        <v>2368</v>
      </c>
      <c r="P395" t="s">
        <v>2369</v>
      </c>
      <c r="Q395" t="s">
        <v>2264</v>
      </c>
      <c r="R395" t="s">
        <v>2265</v>
      </c>
      <c r="S395" t="s">
        <v>58</v>
      </c>
    </row>
    <row r="396" spans="1:19" x14ac:dyDescent="0.45">
      <c r="A396" t="str">
        <f>"29801"</f>
        <v>29801</v>
      </c>
      <c r="B396" t="s">
        <v>2370</v>
      </c>
      <c r="C396" t="str">
        <f>"31311"</f>
        <v>31311</v>
      </c>
      <c r="D396" t="s">
        <v>2371</v>
      </c>
      <c r="E396" t="str">
        <f>"5329"</f>
        <v>5329</v>
      </c>
      <c r="F396" t="s">
        <v>2372</v>
      </c>
      <c r="G396">
        <v>9</v>
      </c>
      <c r="H396">
        <v>12</v>
      </c>
      <c r="I396" t="s">
        <v>2373</v>
      </c>
      <c r="K396" t="s">
        <v>2374</v>
      </c>
      <c r="L396" t="s">
        <v>25</v>
      </c>
      <c r="M396">
        <v>98296</v>
      </c>
      <c r="N396" t="s">
        <v>2375</v>
      </c>
      <c r="O396" t="s">
        <v>2376</v>
      </c>
      <c r="P396" t="s">
        <v>2377</v>
      </c>
      <c r="Q396" t="s">
        <v>2264</v>
      </c>
      <c r="R396" t="s">
        <v>2265</v>
      </c>
      <c r="S396" t="s">
        <v>58</v>
      </c>
    </row>
    <row r="397" spans="1:19" x14ac:dyDescent="0.45">
      <c r="A397" t="str">
        <f>"29801"</f>
        <v>29801</v>
      </c>
      <c r="B397" t="s">
        <v>2370</v>
      </c>
      <c r="C397" t="str">
        <f>"31002"</f>
        <v>31002</v>
      </c>
      <c r="D397" t="s">
        <v>2378</v>
      </c>
      <c r="E397" t="str">
        <f>"5330"</f>
        <v>5330</v>
      </c>
      <c r="F397" t="s">
        <v>2379</v>
      </c>
      <c r="G397">
        <v>9</v>
      </c>
      <c r="H397">
        <v>12</v>
      </c>
      <c r="I397" t="s">
        <v>2380</v>
      </c>
      <c r="K397" t="s">
        <v>2381</v>
      </c>
      <c r="L397" t="s">
        <v>25</v>
      </c>
      <c r="M397" t="s">
        <v>2382</v>
      </c>
      <c r="N397" t="s">
        <v>2383</v>
      </c>
      <c r="O397" t="s">
        <v>2384</v>
      </c>
      <c r="P397" t="s">
        <v>2385</v>
      </c>
      <c r="Q397" t="s">
        <v>2264</v>
      </c>
      <c r="R397" t="s">
        <v>2265</v>
      </c>
      <c r="S397" t="s">
        <v>58</v>
      </c>
    </row>
    <row r="398" spans="1:19" x14ac:dyDescent="0.45">
      <c r="A398" t="str">
        <f>"17801"</f>
        <v>17801</v>
      </c>
      <c r="B398" t="s">
        <v>19</v>
      </c>
      <c r="C398" t="str">
        <f>"17417"</f>
        <v>17417</v>
      </c>
      <c r="D398" t="s">
        <v>2386</v>
      </c>
      <c r="E398" t="str">
        <f>"5331"</f>
        <v>5331</v>
      </c>
      <c r="F398" t="s">
        <v>2387</v>
      </c>
      <c r="G398">
        <v>9</v>
      </c>
      <c r="H398">
        <v>12</v>
      </c>
      <c r="I398" t="s">
        <v>2388</v>
      </c>
      <c r="K398" t="s">
        <v>2389</v>
      </c>
      <c r="L398" t="s">
        <v>25</v>
      </c>
      <c r="M398" t="s">
        <v>2390</v>
      </c>
      <c r="N398" t="s">
        <v>2391</v>
      </c>
      <c r="O398" t="s">
        <v>2392</v>
      </c>
      <c r="P398" t="s">
        <v>2393</v>
      </c>
      <c r="Q398" t="s">
        <v>2264</v>
      </c>
      <c r="R398" t="s">
        <v>2265</v>
      </c>
      <c r="S398" t="s">
        <v>58</v>
      </c>
    </row>
    <row r="399" spans="1:19" x14ac:dyDescent="0.45">
      <c r="A399" t="str">
        <f>"17801"</f>
        <v>17801</v>
      </c>
      <c r="B399" t="s">
        <v>19</v>
      </c>
      <c r="C399" t="str">
        <f>"27404"</f>
        <v>27404</v>
      </c>
      <c r="D399" t="s">
        <v>2236</v>
      </c>
      <c r="E399" t="str">
        <f>"5332"</f>
        <v>5332</v>
      </c>
      <c r="F399" t="s">
        <v>2394</v>
      </c>
      <c r="G399">
        <v>9</v>
      </c>
      <c r="H399">
        <v>12</v>
      </c>
      <c r="I399" t="s">
        <v>2238</v>
      </c>
      <c r="K399" t="s">
        <v>2239</v>
      </c>
      <c r="L399" t="s">
        <v>25</v>
      </c>
      <c r="M399">
        <v>98328</v>
      </c>
      <c r="N399" t="s">
        <v>79</v>
      </c>
      <c r="Q399" t="s">
        <v>2264</v>
      </c>
      <c r="R399" t="s">
        <v>2265</v>
      </c>
      <c r="S399" t="s">
        <v>58</v>
      </c>
    </row>
    <row r="400" spans="1:19" x14ac:dyDescent="0.45">
      <c r="A400" t="str">
        <f>"39801"</f>
        <v>39801</v>
      </c>
      <c r="B400" t="s">
        <v>2395</v>
      </c>
      <c r="C400" t="str">
        <f>"39119"</f>
        <v>39119</v>
      </c>
      <c r="D400" t="s">
        <v>2396</v>
      </c>
      <c r="E400" t="str">
        <f>"5334"</f>
        <v>5334</v>
      </c>
      <c r="F400" t="s">
        <v>2397</v>
      </c>
      <c r="G400">
        <v>9</v>
      </c>
      <c r="H400">
        <v>12</v>
      </c>
      <c r="I400" t="s">
        <v>2398</v>
      </c>
      <c r="K400" t="s">
        <v>2399</v>
      </c>
      <c r="L400" t="s">
        <v>25</v>
      </c>
      <c r="M400">
        <v>98942</v>
      </c>
      <c r="N400" t="s">
        <v>2400</v>
      </c>
      <c r="O400" t="s">
        <v>2401</v>
      </c>
      <c r="P400" t="s">
        <v>2402</v>
      </c>
      <c r="Q400" t="s">
        <v>2264</v>
      </c>
      <c r="R400" t="s">
        <v>2265</v>
      </c>
      <c r="S400" t="s">
        <v>58</v>
      </c>
    </row>
    <row r="401" spans="1:19" x14ac:dyDescent="0.45">
      <c r="A401" t="str">
        <f>"17801"</f>
        <v>17801</v>
      </c>
      <c r="B401" t="s">
        <v>19</v>
      </c>
      <c r="C401" t="str">
        <f>"17403"</f>
        <v>17403</v>
      </c>
      <c r="D401" t="s">
        <v>344</v>
      </c>
      <c r="E401" t="str">
        <f>"5335"</f>
        <v>5335</v>
      </c>
      <c r="F401" t="s">
        <v>2403</v>
      </c>
      <c r="G401">
        <v>11</v>
      </c>
      <c r="H401">
        <v>12</v>
      </c>
      <c r="I401" t="s">
        <v>359</v>
      </c>
      <c r="K401" t="s">
        <v>347</v>
      </c>
      <c r="L401" t="s">
        <v>25</v>
      </c>
      <c r="M401">
        <v>98055</v>
      </c>
      <c r="N401" t="s">
        <v>2404</v>
      </c>
      <c r="O401" t="s">
        <v>2405</v>
      </c>
      <c r="P401" t="s">
        <v>2406</v>
      </c>
      <c r="Q401" t="s">
        <v>2264</v>
      </c>
      <c r="R401" t="s">
        <v>2265</v>
      </c>
      <c r="S401" t="s">
        <v>58</v>
      </c>
    </row>
    <row r="402" spans="1:19" x14ac:dyDescent="0.45">
      <c r="A402" t="str">
        <f>"04801"</f>
        <v>04801</v>
      </c>
      <c r="B402" t="s">
        <v>1549</v>
      </c>
      <c r="C402" t="str">
        <f>"13301"</f>
        <v>13301</v>
      </c>
      <c r="D402" t="s">
        <v>2407</v>
      </c>
      <c r="E402" t="str">
        <f>"5336"</f>
        <v>5336</v>
      </c>
      <c r="F402" t="s">
        <v>2408</v>
      </c>
      <c r="G402">
        <v>9</v>
      </c>
      <c r="H402">
        <v>12</v>
      </c>
      <c r="I402" t="s">
        <v>2409</v>
      </c>
      <c r="K402" t="s">
        <v>2410</v>
      </c>
      <c r="L402" t="s">
        <v>25</v>
      </c>
      <c r="M402">
        <v>99116</v>
      </c>
      <c r="N402" t="s">
        <v>2411</v>
      </c>
      <c r="O402" t="s">
        <v>2412</v>
      </c>
      <c r="P402" t="s">
        <v>2413</v>
      </c>
      <c r="Q402" t="s">
        <v>157</v>
      </c>
      <c r="R402" t="s">
        <v>158</v>
      </c>
      <c r="S402" t="s">
        <v>58</v>
      </c>
    </row>
    <row r="403" spans="1:19" x14ac:dyDescent="0.45">
      <c r="A403" t="str">
        <f>"11801"</f>
        <v>11801</v>
      </c>
      <c r="B403" t="s">
        <v>1122</v>
      </c>
      <c r="C403" t="str">
        <f>"36140"</f>
        <v>36140</v>
      </c>
      <c r="D403" t="s">
        <v>2414</v>
      </c>
      <c r="E403" t="str">
        <f>"5337"</f>
        <v>5337</v>
      </c>
      <c r="F403" t="s">
        <v>2415</v>
      </c>
      <c r="G403">
        <v>11</v>
      </c>
      <c r="H403">
        <v>12</v>
      </c>
      <c r="I403" t="s">
        <v>2416</v>
      </c>
      <c r="K403" t="s">
        <v>2417</v>
      </c>
      <c r="L403" t="s">
        <v>25</v>
      </c>
      <c r="M403">
        <v>99362</v>
      </c>
      <c r="N403" t="s">
        <v>2418</v>
      </c>
      <c r="O403" t="s">
        <v>2419</v>
      </c>
      <c r="P403" t="s">
        <v>2420</v>
      </c>
      <c r="Q403" t="s">
        <v>172</v>
      </c>
      <c r="R403" t="s">
        <v>173</v>
      </c>
      <c r="S403" t="s">
        <v>58</v>
      </c>
    </row>
    <row r="404" spans="1:19" x14ac:dyDescent="0.45">
      <c r="A404" t="str">
        <f>"17801"</f>
        <v>17801</v>
      </c>
      <c r="B404" t="s">
        <v>19</v>
      </c>
      <c r="C404" t="str">
        <f>"27416"</f>
        <v>27416</v>
      </c>
      <c r="D404" t="s">
        <v>2421</v>
      </c>
      <c r="E404" t="str">
        <f>"5338"</f>
        <v>5338</v>
      </c>
      <c r="F404" t="s">
        <v>2422</v>
      </c>
      <c r="G404">
        <v>9</v>
      </c>
      <c r="H404">
        <v>12</v>
      </c>
      <c r="I404" t="s">
        <v>2423</v>
      </c>
      <c r="K404" t="s">
        <v>2424</v>
      </c>
      <c r="L404" t="s">
        <v>25</v>
      </c>
      <c r="M404">
        <v>98321</v>
      </c>
      <c r="N404" t="s">
        <v>2425</v>
      </c>
      <c r="O404" t="s">
        <v>2426</v>
      </c>
      <c r="P404" t="s">
        <v>2427</v>
      </c>
      <c r="Q404" t="s">
        <v>2264</v>
      </c>
      <c r="R404" t="s">
        <v>2265</v>
      </c>
      <c r="S404" t="s">
        <v>58</v>
      </c>
    </row>
    <row r="405" spans="1:19" x14ac:dyDescent="0.45">
      <c r="A405" t="str">
        <f>"32911"</f>
        <v>32911</v>
      </c>
      <c r="B405" t="s">
        <v>2428</v>
      </c>
      <c r="C405" t="str">
        <f>"32907"</f>
        <v>32907</v>
      </c>
      <c r="D405" t="s">
        <v>2429</v>
      </c>
      <c r="E405" t="str">
        <f>"5339"</f>
        <v>5339</v>
      </c>
      <c r="F405" t="s">
        <v>2430</v>
      </c>
      <c r="G405">
        <v>6</v>
      </c>
      <c r="H405">
        <v>12</v>
      </c>
      <c r="I405" t="s">
        <v>2431</v>
      </c>
      <c r="J405" t="s">
        <v>2432</v>
      </c>
      <c r="K405" t="s">
        <v>2246</v>
      </c>
      <c r="L405" t="s">
        <v>25</v>
      </c>
      <c r="M405">
        <v>99202</v>
      </c>
      <c r="N405" t="s">
        <v>2433</v>
      </c>
      <c r="O405" t="s">
        <v>2434</v>
      </c>
      <c r="P405" t="s">
        <v>2435</v>
      </c>
      <c r="Q405" t="s">
        <v>2436</v>
      </c>
      <c r="R405" t="s">
        <v>31</v>
      </c>
      <c r="S405" t="s">
        <v>159</v>
      </c>
    </row>
    <row r="406" spans="1:19" x14ac:dyDescent="0.45">
      <c r="A406" t="str">
        <f>"29801"</f>
        <v>29801</v>
      </c>
      <c r="B406" t="s">
        <v>2370</v>
      </c>
      <c r="C406" t="str">
        <f>"37501"</f>
        <v>37501</v>
      </c>
      <c r="D406" t="s">
        <v>2437</v>
      </c>
      <c r="E406" t="str">
        <f>"5340"</f>
        <v>5340</v>
      </c>
      <c r="F406" t="s">
        <v>2438</v>
      </c>
      <c r="G406">
        <v>9</v>
      </c>
      <c r="H406">
        <v>12</v>
      </c>
      <c r="I406" t="s">
        <v>2439</v>
      </c>
      <c r="K406" t="s">
        <v>2440</v>
      </c>
      <c r="L406" t="s">
        <v>25</v>
      </c>
      <c r="M406">
        <v>98225</v>
      </c>
      <c r="N406" t="s">
        <v>79</v>
      </c>
      <c r="Q406" t="s">
        <v>2264</v>
      </c>
      <c r="R406" t="s">
        <v>2265</v>
      </c>
      <c r="S406" t="s">
        <v>58</v>
      </c>
    </row>
    <row r="407" spans="1:19" x14ac:dyDescent="0.45">
      <c r="A407" t="str">
        <f>"06801"</f>
        <v>06801</v>
      </c>
      <c r="B407" t="s">
        <v>1870</v>
      </c>
      <c r="C407" t="str">
        <f>"06037"</f>
        <v>06037</v>
      </c>
      <c r="D407" t="s">
        <v>1871</v>
      </c>
      <c r="E407" t="str">
        <f>"5342"</f>
        <v>5342</v>
      </c>
      <c r="F407" t="s">
        <v>2441</v>
      </c>
      <c r="G407">
        <v>9</v>
      </c>
      <c r="H407">
        <v>12</v>
      </c>
      <c r="I407" t="s">
        <v>1906</v>
      </c>
      <c r="K407" t="s">
        <v>1874</v>
      </c>
      <c r="L407" t="s">
        <v>25</v>
      </c>
      <c r="M407" t="s">
        <v>1907</v>
      </c>
      <c r="N407" t="s">
        <v>2442</v>
      </c>
      <c r="O407" t="s">
        <v>2443</v>
      </c>
      <c r="P407" t="s">
        <v>2444</v>
      </c>
      <c r="Q407" t="s">
        <v>2264</v>
      </c>
      <c r="R407" t="s">
        <v>2265</v>
      </c>
      <c r="S407" t="s">
        <v>58</v>
      </c>
    </row>
    <row r="408" spans="1:19" x14ac:dyDescent="0.45">
      <c r="A408" t="str">
        <f>"29801"</f>
        <v>29801</v>
      </c>
      <c r="B408" t="s">
        <v>2370</v>
      </c>
      <c r="C408" t="str">
        <f>"15201"</f>
        <v>15201</v>
      </c>
      <c r="D408" t="s">
        <v>2445</v>
      </c>
      <c r="E408" t="str">
        <f>"5343"</f>
        <v>5343</v>
      </c>
      <c r="F408" t="s">
        <v>2446</v>
      </c>
      <c r="G408">
        <v>9</v>
      </c>
      <c r="H408">
        <v>12</v>
      </c>
      <c r="I408" t="s">
        <v>2447</v>
      </c>
      <c r="K408" t="s">
        <v>2448</v>
      </c>
      <c r="L408" t="s">
        <v>25</v>
      </c>
      <c r="M408">
        <v>98277</v>
      </c>
      <c r="N408" t="s">
        <v>2449</v>
      </c>
      <c r="O408" t="s">
        <v>2450</v>
      </c>
      <c r="P408" t="s">
        <v>2451</v>
      </c>
      <c r="Q408" t="s">
        <v>2264</v>
      </c>
      <c r="R408" t="s">
        <v>2265</v>
      </c>
      <c r="S408" t="s">
        <v>58</v>
      </c>
    </row>
    <row r="409" spans="1:19" x14ac:dyDescent="0.45">
      <c r="A409" t="str">
        <f>"32801"</f>
        <v>32801</v>
      </c>
      <c r="B409" t="s">
        <v>1108</v>
      </c>
      <c r="C409" t="str">
        <f>"32081"</f>
        <v>32081</v>
      </c>
      <c r="D409" t="s">
        <v>2243</v>
      </c>
      <c r="E409" t="str">
        <f>"5344"</f>
        <v>5344</v>
      </c>
      <c r="F409" t="s">
        <v>2452</v>
      </c>
      <c r="G409">
        <v>9</v>
      </c>
      <c r="H409">
        <v>12</v>
      </c>
      <c r="I409" t="s">
        <v>2453</v>
      </c>
      <c r="K409" t="s">
        <v>2246</v>
      </c>
      <c r="L409" t="s">
        <v>25</v>
      </c>
      <c r="M409">
        <v>99201</v>
      </c>
      <c r="N409" t="s">
        <v>2454</v>
      </c>
      <c r="O409" t="s">
        <v>2455</v>
      </c>
      <c r="P409" t="s">
        <v>2456</v>
      </c>
      <c r="Q409" t="s">
        <v>2264</v>
      </c>
      <c r="R409" t="s">
        <v>2265</v>
      </c>
      <c r="S409" t="s">
        <v>58</v>
      </c>
    </row>
    <row r="410" spans="1:19" x14ac:dyDescent="0.45">
      <c r="A410" t="str">
        <f>"11801"</f>
        <v>11801</v>
      </c>
      <c r="B410" t="s">
        <v>1122</v>
      </c>
      <c r="C410" t="str">
        <f>"11001"</f>
        <v>11001</v>
      </c>
      <c r="D410" t="s">
        <v>2457</v>
      </c>
      <c r="E410" t="str">
        <f>"5345"</f>
        <v>5345</v>
      </c>
      <c r="F410" t="s">
        <v>2458</v>
      </c>
      <c r="G410" t="s">
        <v>22</v>
      </c>
      <c r="H410">
        <v>6</v>
      </c>
      <c r="I410" t="s">
        <v>2459</v>
      </c>
      <c r="K410" t="s">
        <v>2460</v>
      </c>
      <c r="L410" t="s">
        <v>25</v>
      </c>
      <c r="M410">
        <v>99301</v>
      </c>
      <c r="N410" t="s">
        <v>2461</v>
      </c>
      <c r="O410" t="s">
        <v>2462</v>
      </c>
      <c r="P410" t="s">
        <v>2463</v>
      </c>
      <c r="Q410" t="s">
        <v>30</v>
      </c>
      <c r="R410" t="s">
        <v>31</v>
      </c>
      <c r="S410" t="s">
        <v>32</v>
      </c>
    </row>
    <row r="411" spans="1:19" x14ac:dyDescent="0.45">
      <c r="A411" t="str">
        <f>"32801"</f>
        <v>32801</v>
      </c>
      <c r="B411" t="s">
        <v>1108</v>
      </c>
      <c r="C411" t="str">
        <f>"32361"</f>
        <v>32361</v>
      </c>
      <c r="D411" t="s">
        <v>2464</v>
      </c>
      <c r="E411" t="str">
        <f>"5346"</f>
        <v>5346</v>
      </c>
      <c r="F411" t="s">
        <v>2465</v>
      </c>
      <c r="G411">
        <v>7</v>
      </c>
      <c r="H411">
        <v>8</v>
      </c>
      <c r="I411" t="s">
        <v>2466</v>
      </c>
      <c r="K411" t="s">
        <v>2365</v>
      </c>
      <c r="L411" t="s">
        <v>25</v>
      </c>
      <c r="M411">
        <v>99216</v>
      </c>
      <c r="N411" t="s">
        <v>2467</v>
      </c>
      <c r="O411" t="s">
        <v>2468</v>
      </c>
      <c r="P411" t="s">
        <v>2469</v>
      </c>
      <c r="Q411" t="s">
        <v>30</v>
      </c>
      <c r="R411" t="s">
        <v>31</v>
      </c>
      <c r="S411" t="s">
        <v>104</v>
      </c>
    </row>
    <row r="412" spans="1:19" x14ac:dyDescent="0.45">
      <c r="A412" t="str">
        <f>"17801"</f>
        <v>17801</v>
      </c>
      <c r="B412" t="s">
        <v>19</v>
      </c>
      <c r="C412" t="str">
        <f>"17210"</f>
        <v>17210</v>
      </c>
      <c r="D412" t="s">
        <v>20</v>
      </c>
      <c r="E412" t="str">
        <f>"5348"</f>
        <v>5348</v>
      </c>
      <c r="F412" t="s">
        <v>2470</v>
      </c>
      <c r="G412">
        <v>9</v>
      </c>
      <c r="H412">
        <v>12</v>
      </c>
      <c r="I412" t="s">
        <v>2471</v>
      </c>
      <c r="K412" t="s">
        <v>2472</v>
      </c>
      <c r="L412" t="s">
        <v>25</v>
      </c>
      <c r="M412">
        <v>98003</v>
      </c>
      <c r="N412" t="s">
        <v>2473</v>
      </c>
      <c r="O412" t="s">
        <v>2474</v>
      </c>
      <c r="P412" t="s">
        <v>2475</v>
      </c>
      <c r="Q412" t="s">
        <v>2264</v>
      </c>
      <c r="R412" t="s">
        <v>2265</v>
      </c>
      <c r="S412" t="s">
        <v>58</v>
      </c>
    </row>
    <row r="413" spans="1:19" x14ac:dyDescent="0.45">
      <c r="A413" t="str">
        <f>"29801"</f>
        <v>29801</v>
      </c>
      <c r="B413" t="s">
        <v>2370</v>
      </c>
      <c r="C413" t="str">
        <f>"31332"</f>
        <v>31332</v>
      </c>
      <c r="D413" t="s">
        <v>2476</v>
      </c>
      <c r="E413" t="str">
        <f>"5349"</f>
        <v>5349</v>
      </c>
      <c r="F413" t="s">
        <v>2477</v>
      </c>
      <c r="G413">
        <v>9</v>
      </c>
      <c r="H413">
        <v>12</v>
      </c>
      <c r="I413" t="s">
        <v>2478</v>
      </c>
      <c r="K413" t="s">
        <v>2479</v>
      </c>
      <c r="L413" t="s">
        <v>25</v>
      </c>
      <c r="M413">
        <v>98252</v>
      </c>
      <c r="N413" t="s">
        <v>2480</v>
      </c>
      <c r="O413" t="s">
        <v>2481</v>
      </c>
      <c r="P413" t="s">
        <v>2482</v>
      </c>
      <c r="Q413" t="s">
        <v>2264</v>
      </c>
      <c r="R413" t="s">
        <v>2265</v>
      </c>
      <c r="S413" t="s">
        <v>58</v>
      </c>
    </row>
    <row r="414" spans="1:19" x14ac:dyDescent="0.45">
      <c r="A414" t="str">
        <f>"29801"</f>
        <v>29801</v>
      </c>
      <c r="B414" t="s">
        <v>2370</v>
      </c>
      <c r="C414" t="str">
        <f>"31025"</f>
        <v>31025</v>
      </c>
      <c r="D414" t="s">
        <v>2483</v>
      </c>
      <c r="E414" t="str">
        <f>"5350"</f>
        <v>5350</v>
      </c>
      <c r="F414" t="s">
        <v>2484</v>
      </c>
      <c r="G414" t="s">
        <v>70</v>
      </c>
      <c r="H414">
        <v>5</v>
      </c>
      <c r="I414" t="s">
        <v>2485</v>
      </c>
      <c r="K414" t="s">
        <v>2486</v>
      </c>
      <c r="L414" t="s">
        <v>25</v>
      </c>
      <c r="M414">
        <v>98271</v>
      </c>
      <c r="N414" t="s">
        <v>2487</v>
      </c>
      <c r="O414" t="s">
        <v>2488</v>
      </c>
      <c r="P414" t="s">
        <v>2489</v>
      </c>
      <c r="Q414" t="s">
        <v>30</v>
      </c>
      <c r="R414" t="s">
        <v>31</v>
      </c>
      <c r="S414" t="s">
        <v>32</v>
      </c>
    </row>
    <row r="415" spans="1:19" x14ac:dyDescent="0.45">
      <c r="A415" t="str">
        <f>"17801"</f>
        <v>17801</v>
      </c>
      <c r="B415" t="s">
        <v>19</v>
      </c>
      <c r="C415" t="str">
        <f>"17001"</f>
        <v>17001</v>
      </c>
      <c r="D415" t="s">
        <v>2209</v>
      </c>
      <c r="E415" t="str">
        <f>"5351"</f>
        <v>5351</v>
      </c>
      <c r="F415" t="s">
        <v>2490</v>
      </c>
      <c r="G415">
        <v>6</v>
      </c>
      <c r="H415">
        <v>8</v>
      </c>
      <c r="I415" t="s">
        <v>2491</v>
      </c>
      <c r="K415" t="s">
        <v>152</v>
      </c>
      <c r="L415" t="s">
        <v>25</v>
      </c>
      <c r="M415">
        <v>98125</v>
      </c>
      <c r="N415" t="s">
        <v>2492</v>
      </c>
      <c r="O415" t="s">
        <v>2493</v>
      </c>
      <c r="P415" t="s">
        <v>2494</v>
      </c>
      <c r="Q415" t="s">
        <v>30</v>
      </c>
      <c r="R415" t="s">
        <v>31</v>
      </c>
      <c r="S415" t="s">
        <v>104</v>
      </c>
    </row>
    <row r="416" spans="1:19" x14ac:dyDescent="0.45">
      <c r="A416" t="str">
        <f>"39801"</f>
        <v>39801</v>
      </c>
      <c r="B416" t="s">
        <v>2395</v>
      </c>
      <c r="C416" t="str">
        <f>"39201"</f>
        <v>39201</v>
      </c>
      <c r="D416" t="s">
        <v>2495</v>
      </c>
      <c r="E416" t="str">
        <f>"5352"</f>
        <v>5352</v>
      </c>
      <c r="F416" t="s">
        <v>2496</v>
      </c>
      <c r="G416">
        <v>9</v>
      </c>
      <c r="H416">
        <v>12</v>
      </c>
      <c r="I416" t="s">
        <v>2497</v>
      </c>
      <c r="K416" t="s">
        <v>2498</v>
      </c>
      <c r="L416" t="s">
        <v>25</v>
      </c>
      <c r="M416">
        <v>98944</v>
      </c>
      <c r="N416" t="s">
        <v>2499</v>
      </c>
      <c r="O416" t="s">
        <v>2500</v>
      </c>
      <c r="P416" t="s">
        <v>2501</v>
      </c>
      <c r="Q416" t="s">
        <v>2502</v>
      </c>
      <c r="R416" t="s">
        <v>2265</v>
      </c>
      <c r="S416" t="s">
        <v>58</v>
      </c>
    </row>
    <row r="417" spans="1:19" x14ac:dyDescent="0.45">
      <c r="A417" t="str">
        <f>"04801"</f>
        <v>04801</v>
      </c>
      <c r="B417" t="s">
        <v>1549</v>
      </c>
      <c r="C417" t="str">
        <f>"13161"</f>
        <v>13161</v>
      </c>
      <c r="D417" t="s">
        <v>2348</v>
      </c>
      <c r="E417" t="str">
        <f>"5354"</f>
        <v>5354</v>
      </c>
      <c r="F417" t="s">
        <v>2503</v>
      </c>
      <c r="G417">
        <v>6</v>
      </c>
      <c r="H417">
        <v>8</v>
      </c>
      <c r="I417" t="s">
        <v>2504</v>
      </c>
      <c r="K417" t="s">
        <v>2351</v>
      </c>
      <c r="L417" t="s">
        <v>25</v>
      </c>
      <c r="M417">
        <v>98837</v>
      </c>
      <c r="N417" t="s">
        <v>2505</v>
      </c>
      <c r="O417" t="s">
        <v>2506</v>
      </c>
      <c r="P417" t="s">
        <v>2507</v>
      </c>
      <c r="Q417" t="s">
        <v>30</v>
      </c>
      <c r="R417" t="s">
        <v>31</v>
      </c>
      <c r="S417" t="s">
        <v>104</v>
      </c>
    </row>
    <row r="418" spans="1:19" x14ac:dyDescent="0.45">
      <c r="A418" t="str">
        <f>"39801"</f>
        <v>39801</v>
      </c>
      <c r="B418" t="s">
        <v>2395</v>
      </c>
      <c r="C418" t="str">
        <f>"39007"</f>
        <v>39007</v>
      </c>
      <c r="D418" t="s">
        <v>2508</v>
      </c>
      <c r="E418" t="str">
        <f>"5355"</f>
        <v>5355</v>
      </c>
      <c r="F418" t="s">
        <v>2509</v>
      </c>
      <c r="G418">
        <v>9</v>
      </c>
      <c r="H418">
        <v>12</v>
      </c>
      <c r="I418" t="s">
        <v>2510</v>
      </c>
      <c r="J418" t="s">
        <v>2511</v>
      </c>
      <c r="K418" t="s">
        <v>2512</v>
      </c>
      <c r="L418" t="s">
        <v>25</v>
      </c>
      <c r="M418">
        <v>98901</v>
      </c>
      <c r="N418" t="s">
        <v>2513</v>
      </c>
      <c r="O418" t="s">
        <v>2514</v>
      </c>
      <c r="P418" t="s">
        <v>2515</v>
      </c>
      <c r="Q418" t="s">
        <v>2264</v>
      </c>
      <c r="R418" t="s">
        <v>2265</v>
      </c>
      <c r="S418" t="s">
        <v>58</v>
      </c>
    </row>
    <row r="419" spans="1:19" x14ac:dyDescent="0.45">
      <c r="A419" t="str">
        <f>"32801"</f>
        <v>32801</v>
      </c>
      <c r="B419" t="s">
        <v>1108</v>
      </c>
      <c r="C419" t="str">
        <f>"32363"</f>
        <v>32363</v>
      </c>
      <c r="D419" t="s">
        <v>2516</v>
      </c>
      <c r="E419" t="str">
        <f>"5356"</f>
        <v>5356</v>
      </c>
      <c r="F419" t="s">
        <v>2517</v>
      </c>
      <c r="G419">
        <v>9</v>
      </c>
      <c r="H419">
        <v>12</v>
      </c>
      <c r="I419" t="s">
        <v>2518</v>
      </c>
      <c r="K419" t="s">
        <v>2246</v>
      </c>
      <c r="L419" t="s">
        <v>25</v>
      </c>
      <c r="M419">
        <v>99212</v>
      </c>
      <c r="N419" t="s">
        <v>2519</v>
      </c>
      <c r="O419" t="s">
        <v>2520</v>
      </c>
      <c r="P419" t="s">
        <v>2521</v>
      </c>
      <c r="Q419" t="s">
        <v>2264</v>
      </c>
      <c r="R419" t="s">
        <v>2265</v>
      </c>
      <c r="S419" t="s">
        <v>58</v>
      </c>
    </row>
    <row r="420" spans="1:19" x14ac:dyDescent="0.45">
      <c r="A420" t="str">
        <f>"32801"</f>
        <v>32801</v>
      </c>
      <c r="B420" t="s">
        <v>1108</v>
      </c>
      <c r="C420" t="str">
        <f>"33070"</f>
        <v>33070</v>
      </c>
      <c r="D420" t="s">
        <v>2522</v>
      </c>
      <c r="E420" t="str">
        <f>"5357"</f>
        <v>5357</v>
      </c>
      <c r="F420" t="s">
        <v>2523</v>
      </c>
      <c r="G420" t="s">
        <v>22</v>
      </c>
      <c r="H420" t="s">
        <v>22</v>
      </c>
      <c r="I420" t="s">
        <v>2524</v>
      </c>
      <c r="K420" t="s">
        <v>2525</v>
      </c>
      <c r="L420" t="s">
        <v>25</v>
      </c>
      <c r="M420">
        <v>99181</v>
      </c>
      <c r="N420" t="s">
        <v>2526</v>
      </c>
      <c r="O420" t="s">
        <v>2527</v>
      </c>
      <c r="P420" t="s">
        <v>2528</v>
      </c>
      <c r="Q420" t="s">
        <v>2316</v>
      </c>
      <c r="R420" t="s">
        <v>31</v>
      </c>
      <c r="S420" t="s">
        <v>1248</v>
      </c>
    </row>
    <row r="421" spans="1:19" x14ac:dyDescent="0.45">
      <c r="A421" t="str">
        <f>"29801"</f>
        <v>29801</v>
      </c>
      <c r="B421" t="s">
        <v>2370</v>
      </c>
      <c r="C421" t="str">
        <f>"31015"</f>
        <v>31015</v>
      </c>
      <c r="D421" t="s">
        <v>2529</v>
      </c>
      <c r="E421" t="str">
        <f>"5358"</f>
        <v>5358</v>
      </c>
      <c r="F421" t="s">
        <v>2530</v>
      </c>
      <c r="G421">
        <v>9</v>
      </c>
      <c r="H421">
        <v>12</v>
      </c>
      <c r="I421" t="s">
        <v>2531</v>
      </c>
      <c r="K421" t="s">
        <v>2532</v>
      </c>
      <c r="L421" t="s">
        <v>25</v>
      </c>
      <c r="M421">
        <v>98036</v>
      </c>
      <c r="N421" t="s">
        <v>2533</v>
      </c>
      <c r="O421" t="s">
        <v>2534</v>
      </c>
      <c r="P421" t="s">
        <v>2535</v>
      </c>
      <c r="Q421" t="s">
        <v>2264</v>
      </c>
      <c r="R421" t="s">
        <v>2265</v>
      </c>
      <c r="S421" t="s">
        <v>58</v>
      </c>
    </row>
    <row r="422" spans="1:19" x14ac:dyDescent="0.45">
      <c r="A422" t="str">
        <f>"34801"</f>
        <v>34801</v>
      </c>
      <c r="B422" t="s">
        <v>2257</v>
      </c>
      <c r="C422" t="str">
        <f>"21401"</f>
        <v>21401</v>
      </c>
      <c r="D422" t="s">
        <v>2536</v>
      </c>
      <c r="E422" t="str">
        <f>"5359"</f>
        <v>5359</v>
      </c>
      <c r="F422" t="s">
        <v>2537</v>
      </c>
      <c r="G422">
        <v>9</v>
      </c>
      <c r="H422">
        <v>12</v>
      </c>
      <c r="I422" t="s">
        <v>2538</v>
      </c>
      <c r="K422" t="s">
        <v>2539</v>
      </c>
      <c r="L422" t="s">
        <v>25</v>
      </c>
      <c r="M422">
        <v>98531</v>
      </c>
      <c r="N422" t="s">
        <v>2540</v>
      </c>
      <c r="O422" t="s">
        <v>2541</v>
      </c>
      <c r="P422" t="s">
        <v>2542</v>
      </c>
      <c r="Q422" t="s">
        <v>157</v>
      </c>
      <c r="R422" t="s">
        <v>158</v>
      </c>
      <c r="S422" t="s">
        <v>58</v>
      </c>
    </row>
    <row r="423" spans="1:19" x14ac:dyDescent="0.45">
      <c r="A423" t="str">
        <f>"06801"</f>
        <v>06801</v>
      </c>
      <c r="B423" t="s">
        <v>1870</v>
      </c>
      <c r="C423" t="str">
        <f>"06119"</f>
        <v>06119</v>
      </c>
      <c r="D423" t="s">
        <v>2543</v>
      </c>
      <c r="E423" t="str">
        <f>"5360"</f>
        <v>5360</v>
      </c>
      <c r="F423" t="s">
        <v>2544</v>
      </c>
      <c r="G423">
        <v>9</v>
      </c>
      <c r="H423">
        <v>12</v>
      </c>
      <c r="I423" t="s">
        <v>2545</v>
      </c>
      <c r="K423" t="s">
        <v>2546</v>
      </c>
      <c r="L423" t="s">
        <v>25</v>
      </c>
      <c r="M423">
        <v>98604</v>
      </c>
      <c r="N423" t="s">
        <v>2547</v>
      </c>
      <c r="O423" t="s">
        <v>2548</v>
      </c>
      <c r="P423" t="s">
        <v>2549</v>
      </c>
      <c r="Q423" t="s">
        <v>2264</v>
      </c>
      <c r="R423" t="s">
        <v>2265</v>
      </c>
      <c r="S423" t="s">
        <v>58</v>
      </c>
    </row>
    <row r="424" spans="1:19" x14ac:dyDescent="0.45">
      <c r="A424" t="str">
        <f>"32801"</f>
        <v>32801</v>
      </c>
      <c r="B424" t="s">
        <v>1108</v>
      </c>
      <c r="C424" t="str">
        <f>"32081"</f>
        <v>32081</v>
      </c>
      <c r="D424" t="s">
        <v>2243</v>
      </c>
      <c r="E424" t="str">
        <f>"5361"</f>
        <v>5361</v>
      </c>
      <c r="F424" t="s">
        <v>2550</v>
      </c>
      <c r="G424" t="s">
        <v>22</v>
      </c>
      <c r="H424">
        <v>8</v>
      </c>
      <c r="I424" t="s">
        <v>2551</v>
      </c>
      <c r="K424" t="s">
        <v>2246</v>
      </c>
      <c r="L424" t="s">
        <v>25</v>
      </c>
      <c r="M424">
        <v>99205</v>
      </c>
      <c r="N424" t="s">
        <v>2552</v>
      </c>
      <c r="O424" t="s">
        <v>2553</v>
      </c>
      <c r="P424" t="s">
        <v>2554</v>
      </c>
      <c r="Q424" t="s">
        <v>30</v>
      </c>
      <c r="R424" t="s">
        <v>31</v>
      </c>
      <c r="S424" t="s">
        <v>159</v>
      </c>
    </row>
    <row r="425" spans="1:19" x14ac:dyDescent="0.45">
      <c r="A425" t="str">
        <f>"11801"</f>
        <v>11801</v>
      </c>
      <c r="B425" t="s">
        <v>1122</v>
      </c>
      <c r="C425" t="str">
        <f>"36250"</f>
        <v>36250</v>
      </c>
      <c r="D425" t="s">
        <v>2555</v>
      </c>
      <c r="E425" t="str">
        <f>"5362"</f>
        <v>5362</v>
      </c>
      <c r="F425" t="s">
        <v>2556</v>
      </c>
      <c r="G425">
        <v>9</v>
      </c>
      <c r="H425">
        <v>12</v>
      </c>
      <c r="I425" t="s">
        <v>2557</v>
      </c>
      <c r="K425" t="s">
        <v>2558</v>
      </c>
      <c r="L425" t="s">
        <v>25</v>
      </c>
      <c r="M425">
        <v>99362</v>
      </c>
      <c r="N425" t="s">
        <v>2559</v>
      </c>
      <c r="O425" t="s">
        <v>2560</v>
      </c>
      <c r="P425" t="s">
        <v>2561</v>
      </c>
      <c r="Q425" t="s">
        <v>30</v>
      </c>
      <c r="R425" t="s">
        <v>31</v>
      </c>
      <c r="S425" t="s">
        <v>58</v>
      </c>
    </row>
    <row r="426" spans="1:19" x14ac:dyDescent="0.45">
      <c r="A426" t="str">
        <f>"18801"</f>
        <v>18801</v>
      </c>
      <c r="B426" t="s">
        <v>1731</v>
      </c>
      <c r="C426" t="str">
        <f>"05402"</f>
        <v>05402</v>
      </c>
      <c r="D426" t="s">
        <v>1851</v>
      </c>
      <c r="E426" t="str">
        <f>"5363"</f>
        <v>5363</v>
      </c>
      <c r="F426" t="s">
        <v>2562</v>
      </c>
      <c r="G426">
        <v>4</v>
      </c>
      <c r="H426">
        <v>6</v>
      </c>
      <c r="I426" t="s">
        <v>2563</v>
      </c>
      <c r="K426" t="s">
        <v>1854</v>
      </c>
      <c r="L426" t="s">
        <v>25</v>
      </c>
      <c r="M426">
        <v>98331</v>
      </c>
      <c r="N426" t="s">
        <v>2564</v>
      </c>
      <c r="O426" t="s">
        <v>2565</v>
      </c>
      <c r="P426" t="s">
        <v>2566</v>
      </c>
      <c r="Q426" t="s">
        <v>30</v>
      </c>
      <c r="R426" t="s">
        <v>31</v>
      </c>
      <c r="S426" t="s">
        <v>32</v>
      </c>
    </row>
    <row r="427" spans="1:19" x14ac:dyDescent="0.45">
      <c r="A427" t="str">
        <f>"17801"</f>
        <v>17801</v>
      </c>
      <c r="B427" t="s">
        <v>19</v>
      </c>
      <c r="C427" t="str">
        <f>"27400"</f>
        <v>27400</v>
      </c>
      <c r="D427" t="s">
        <v>2226</v>
      </c>
      <c r="E427" t="str">
        <f>"5364"</f>
        <v>5364</v>
      </c>
      <c r="F427" t="s">
        <v>2567</v>
      </c>
      <c r="G427" t="s">
        <v>22</v>
      </c>
      <c r="H427">
        <v>5</v>
      </c>
      <c r="I427" t="s">
        <v>2568</v>
      </c>
      <c r="K427" t="s">
        <v>2569</v>
      </c>
      <c r="L427" t="s">
        <v>25</v>
      </c>
      <c r="M427">
        <v>98433</v>
      </c>
      <c r="N427" t="s">
        <v>2570</v>
      </c>
      <c r="O427" t="s">
        <v>2571</v>
      </c>
      <c r="P427" t="s">
        <v>2572</v>
      </c>
      <c r="Q427" t="s">
        <v>30</v>
      </c>
      <c r="R427" t="s">
        <v>31</v>
      </c>
      <c r="S427" t="s">
        <v>32</v>
      </c>
    </row>
    <row r="428" spans="1:19" x14ac:dyDescent="0.45">
      <c r="A428" t="str">
        <f>"17801"</f>
        <v>17801</v>
      </c>
      <c r="B428" t="s">
        <v>19</v>
      </c>
      <c r="C428" t="str">
        <f>"27400"</f>
        <v>27400</v>
      </c>
      <c r="D428" t="s">
        <v>2226</v>
      </c>
      <c r="E428" t="str">
        <f>"5365"</f>
        <v>5365</v>
      </c>
      <c r="F428" t="s">
        <v>2573</v>
      </c>
      <c r="G428" t="s">
        <v>22</v>
      </c>
      <c r="H428">
        <v>5</v>
      </c>
      <c r="I428" t="s">
        <v>2574</v>
      </c>
      <c r="K428" t="s">
        <v>2575</v>
      </c>
      <c r="L428" t="s">
        <v>25</v>
      </c>
      <c r="M428">
        <v>98433</v>
      </c>
      <c r="N428" t="s">
        <v>2576</v>
      </c>
      <c r="O428" t="s">
        <v>2577</v>
      </c>
      <c r="P428" t="s">
        <v>2578</v>
      </c>
      <c r="Q428" t="s">
        <v>30</v>
      </c>
      <c r="R428" t="s">
        <v>31</v>
      </c>
      <c r="S428" t="s">
        <v>32</v>
      </c>
    </row>
    <row r="429" spans="1:19" x14ac:dyDescent="0.45">
      <c r="A429" t="str">
        <f>"29801"</f>
        <v>29801</v>
      </c>
      <c r="B429" t="s">
        <v>2370</v>
      </c>
      <c r="C429" t="str">
        <f>"37501"</f>
        <v>37501</v>
      </c>
      <c r="D429" t="s">
        <v>2437</v>
      </c>
      <c r="E429" t="str">
        <f>"5366"</f>
        <v>5366</v>
      </c>
      <c r="F429" t="s">
        <v>2579</v>
      </c>
      <c r="G429" t="s">
        <v>70</v>
      </c>
      <c r="H429">
        <v>12</v>
      </c>
      <c r="I429" t="s">
        <v>2580</v>
      </c>
      <c r="K429" t="s">
        <v>2440</v>
      </c>
      <c r="L429" t="s">
        <v>25</v>
      </c>
      <c r="M429" t="s">
        <v>2581</v>
      </c>
      <c r="N429" t="s">
        <v>2582</v>
      </c>
      <c r="O429" t="s">
        <v>2583</v>
      </c>
      <c r="P429" t="s">
        <v>2584</v>
      </c>
      <c r="Q429" t="s">
        <v>157</v>
      </c>
      <c r="R429" t="s">
        <v>158</v>
      </c>
      <c r="S429" t="s">
        <v>330</v>
      </c>
    </row>
    <row r="430" spans="1:19" x14ac:dyDescent="0.45">
      <c r="A430" t="str">
        <f>"11801"</f>
        <v>11801</v>
      </c>
      <c r="B430" t="s">
        <v>1122</v>
      </c>
      <c r="C430" t="str">
        <f>"01147"</f>
        <v>01147</v>
      </c>
      <c r="D430" t="s">
        <v>1123</v>
      </c>
      <c r="E430" t="str">
        <f>"5367"</f>
        <v>5367</v>
      </c>
      <c r="F430" t="s">
        <v>2585</v>
      </c>
      <c r="G430">
        <v>9</v>
      </c>
      <c r="H430">
        <v>12</v>
      </c>
      <c r="I430" t="s">
        <v>2586</v>
      </c>
      <c r="K430" t="s">
        <v>1126</v>
      </c>
      <c r="L430" t="s">
        <v>25</v>
      </c>
      <c r="M430">
        <v>99344</v>
      </c>
      <c r="N430" t="s">
        <v>2587</v>
      </c>
      <c r="O430" t="s">
        <v>2588</v>
      </c>
      <c r="P430" t="s">
        <v>2589</v>
      </c>
      <c r="Q430" t="s">
        <v>157</v>
      </c>
      <c r="R430" t="s">
        <v>158</v>
      </c>
      <c r="S430" t="s">
        <v>58</v>
      </c>
    </row>
    <row r="431" spans="1:19" x14ac:dyDescent="0.45">
      <c r="A431" t="str">
        <f>"06801"</f>
        <v>06801</v>
      </c>
      <c r="B431" t="s">
        <v>1870</v>
      </c>
      <c r="C431" t="str">
        <f>"20405"</f>
        <v>20405</v>
      </c>
      <c r="D431" t="s">
        <v>2590</v>
      </c>
      <c r="E431" t="str">
        <f>"5368"</f>
        <v>5368</v>
      </c>
      <c r="F431" t="s">
        <v>2591</v>
      </c>
      <c r="G431">
        <v>4</v>
      </c>
      <c r="H431">
        <v>6</v>
      </c>
      <c r="I431" t="s">
        <v>2592</v>
      </c>
      <c r="K431" t="s">
        <v>2593</v>
      </c>
      <c r="L431" t="s">
        <v>25</v>
      </c>
      <c r="M431">
        <v>98672</v>
      </c>
      <c r="N431" t="s">
        <v>2594</v>
      </c>
      <c r="O431" t="s">
        <v>2595</v>
      </c>
      <c r="P431" t="s">
        <v>2596</v>
      </c>
      <c r="Q431" t="s">
        <v>30</v>
      </c>
      <c r="R431" t="s">
        <v>31</v>
      </c>
      <c r="S431" t="s">
        <v>32</v>
      </c>
    </row>
    <row r="432" spans="1:19" x14ac:dyDescent="0.45">
      <c r="A432" t="str">
        <f>"34801"</f>
        <v>34801</v>
      </c>
      <c r="B432" t="s">
        <v>2257</v>
      </c>
      <c r="C432" t="str">
        <f>"21302"</f>
        <v>21302</v>
      </c>
      <c r="D432" t="s">
        <v>2323</v>
      </c>
      <c r="E432" t="str">
        <f>"5369"</f>
        <v>5369</v>
      </c>
      <c r="F432" t="s">
        <v>2597</v>
      </c>
      <c r="G432">
        <v>6</v>
      </c>
      <c r="H432">
        <v>12</v>
      </c>
      <c r="I432" t="s">
        <v>2598</v>
      </c>
      <c r="K432" t="s">
        <v>2326</v>
      </c>
      <c r="L432" t="s">
        <v>25</v>
      </c>
      <c r="M432">
        <v>98532</v>
      </c>
      <c r="N432" t="s">
        <v>2599</v>
      </c>
      <c r="O432" t="s">
        <v>2328</v>
      </c>
      <c r="P432" t="s">
        <v>2329</v>
      </c>
      <c r="Q432" t="s">
        <v>157</v>
      </c>
      <c r="R432" t="s">
        <v>158</v>
      </c>
      <c r="S432" t="s">
        <v>159</v>
      </c>
    </row>
    <row r="433" spans="1:19" x14ac:dyDescent="0.45">
      <c r="A433" t="str">
        <f>"17801"</f>
        <v>17801</v>
      </c>
      <c r="B433" t="s">
        <v>19</v>
      </c>
      <c r="C433" t="str">
        <f>"17401"</f>
        <v>17401</v>
      </c>
      <c r="D433" t="s">
        <v>149</v>
      </c>
      <c r="E433" t="str">
        <f>"5370"</f>
        <v>5370</v>
      </c>
      <c r="F433" t="s">
        <v>2600</v>
      </c>
      <c r="G433">
        <v>9</v>
      </c>
      <c r="H433">
        <v>12</v>
      </c>
      <c r="I433" t="s">
        <v>2601</v>
      </c>
      <c r="K433" t="s">
        <v>176</v>
      </c>
      <c r="L433" t="s">
        <v>25</v>
      </c>
      <c r="M433">
        <v>98146</v>
      </c>
      <c r="N433" t="s">
        <v>154</v>
      </c>
      <c r="O433" t="s">
        <v>155</v>
      </c>
      <c r="P433" t="s">
        <v>2602</v>
      </c>
      <c r="Q433" t="s">
        <v>2264</v>
      </c>
      <c r="R433" t="s">
        <v>2265</v>
      </c>
      <c r="S433" t="s">
        <v>58</v>
      </c>
    </row>
    <row r="434" spans="1:19" x14ac:dyDescent="0.45">
      <c r="A434" t="str">
        <f>"17801"</f>
        <v>17801</v>
      </c>
      <c r="B434" t="s">
        <v>19</v>
      </c>
      <c r="C434" t="str">
        <f>"17401"</f>
        <v>17401</v>
      </c>
      <c r="D434" t="s">
        <v>149</v>
      </c>
      <c r="E434" t="str">
        <f>"5371"</f>
        <v>5371</v>
      </c>
      <c r="F434" t="s">
        <v>2603</v>
      </c>
      <c r="G434" t="s">
        <v>70</v>
      </c>
      <c r="H434">
        <v>12</v>
      </c>
      <c r="I434" t="s">
        <v>2604</v>
      </c>
      <c r="K434" t="s">
        <v>176</v>
      </c>
      <c r="L434" t="s">
        <v>25</v>
      </c>
      <c r="M434">
        <v>98148</v>
      </c>
      <c r="N434" t="s">
        <v>154</v>
      </c>
      <c r="O434" t="s">
        <v>155</v>
      </c>
      <c r="P434" t="s">
        <v>2605</v>
      </c>
      <c r="Q434" t="s">
        <v>157</v>
      </c>
      <c r="R434" t="s">
        <v>158</v>
      </c>
      <c r="S434" t="s">
        <v>330</v>
      </c>
    </row>
    <row r="435" spans="1:19" x14ac:dyDescent="0.45">
      <c r="A435" t="str">
        <f>"17801"</f>
        <v>17801</v>
      </c>
      <c r="B435" t="s">
        <v>19</v>
      </c>
      <c r="C435" t="str">
        <f>"27403"</f>
        <v>27403</v>
      </c>
      <c r="D435" t="s">
        <v>2606</v>
      </c>
      <c r="E435" t="str">
        <f>"5372"</f>
        <v>5372</v>
      </c>
      <c r="F435" t="s">
        <v>2607</v>
      </c>
      <c r="G435">
        <v>9</v>
      </c>
      <c r="H435">
        <v>12</v>
      </c>
      <c r="I435" t="s">
        <v>2608</v>
      </c>
      <c r="K435" t="s">
        <v>2609</v>
      </c>
      <c r="L435" t="s">
        <v>25</v>
      </c>
      <c r="M435">
        <v>98387</v>
      </c>
      <c r="N435" t="s">
        <v>2610</v>
      </c>
      <c r="O435" t="s">
        <v>2611</v>
      </c>
      <c r="P435" t="s">
        <v>2612</v>
      </c>
      <c r="Q435" t="s">
        <v>2264</v>
      </c>
      <c r="R435" t="s">
        <v>2265</v>
      </c>
      <c r="S435" t="s">
        <v>58</v>
      </c>
    </row>
    <row r="436" spans="1:19" x14ac:dyDescent="0.45">
      <c r="A436" t="str">
        <f>"OSPI"</f>
        <v>OSPI</v>
      </c>
      <c r="B436" t="s">
        <v>1763</v>
      </c>
      <c r="C436" t="str">
        <f>"37903"</f>
        <v>37903</v>
      </c>
      <c r="D436" t="s">
        <v>2613</v>
      </c>
      <c r="E436" t="str">
        <f>"5373"</f>
        <v>5373</v>
      </c>
      <c r="F436" t="s">
        <v>2614</v>
      </c>
      <c r="G436" t="s">
        <v>70</v>
      </c>
      <c r="H436">
        <v>12</v>
      </c>
      <c r="I436" t="s">
        <v>2615</v>
      </c>
      <c r="K436" t="s">
        <v>2440</v>
      </c>
      <c r="L436" t="s">
        <v>25</v>
      </c>
      <c r="M436">
        <v>98226</v>
      </c>
      <c r="N436" t="s">
        <v>2616</v>
      </c>
      <c r="O436" t="s">
        <v>2617</v>
      </c>
      <c r="P436" t="s">
        <v>2618</v>
      </c>
      <c r="Q436" t="s">
        <v>2619</v>
      </c>
      <c r="R436" t="s">
        <v>2337</v>
      </c>
      <c r="S436" t="s">
        <v>330</v>
      </c>
    </row>
    <row r="437" spans="1:19" x14ac:dyDescent="0.45">
      <c r="A437" t="str">
        <f>"17801"</f>
        <v>17801</v>
      </c>
      <c r="B437" t="s">
        <v>19</v>
      </c>
      <c r="C437" t="str">
        <f>"17410"</f>
        <v>17410</v>
      </c>
      <c r="D437" t="s">
        <v>862</v>
      </c>
      <c r="E437" t="str">
        <f>"5374"</f>
        <v>5374</v>
      </c>
      <c r="F437" t="s">
        <v>2620</v>
      </c>
      <c r="G437">
        <v>9</v>
      </c>
      <c r="H437">
        <v>12</v>
      </c>
      <c r="I437" t="s">
        <v>2621</v>
      </c>
      <c r="K437" t="s">
        <v>871</v>
      </c>
      <c r="L437" t="s">
        <v>25</v>
      </c>
      <c r="M437">
        <v>98065</v>
      </c>
      <c r="N437" t="s">
        <v>2622</v>
      </c>
      <c r="O437" t="s">
        <v>2623</v>
      </c>
      <c r="P437" t="s">
        <v>2624</v>
      </c>
      <c r="Q437" t="s">
        <v>2625</v>
      </c>
      <c r="R437" t="s">
        <v>2265</v>
      </c>
      <c r="S437" t="s">
        <v>58</v>
      </c>
    </row>
    <row r="438" spans="1:19" x14ac:dyDescent="0.45">
      <c r="A438" t="str">
        <f>"34950"</f>
        <v>34950</v>
      </c>
      <c r="B438" t="s">
        <v>2626</v>
      </c>
      <c r="C438" t="str">
        <f>"17902"</f>
        <v>17902</v>
      </c>
      <c r="D438" t="s">
        <v>2627</v>
      </c>
      <c r="E438" t="str">
        <f>"5375"</f>
        <v>5375</v>
      </c>
      <c r="F438" t="s">
        <v>2627</v>
      </c>
      <c r="G438">
        <v>9</v>
      </c>
      <c r="H438">
        <v>12</v>
      </c>
      <c r="I438" t="s">
        <v>2628</v>
      </c>
      <c r="K438" t="s">
        <v>152</v>
      </c>
      <c r="L438" t="s">
        <v>25</v>
      </c>
      <c r="M438">
        <v>98134</v>
      </c>
      <c r="N438" t="s">
        <v>2629</v>
      </c>
      <c r="O438" t="s">
        <v>2630</v>
      </c>
      <c r="P438" t="s">
        <v>2631</v>
      </c>
      <c r="Q438" t="s">
        <v>2436</v>
      </c>
      <c r="R438" t="s">
        <v>31</v>
      </c>
      <c r="S438" t="s">
        <v>58</v>
      </c>
    </row>
    <row r="439" spans="1:19" x14ac:dyDescent="0.45">
      <c r="A439" t="str">
        <f>"34950"</f>
        <v>34950</v>
      </c>
      <c r="B439" t="s">
        <v>2626</v>
      </c>
      <c r="C439" t="str">
        <f>"27905"</f>
        <v>27905</v>
      </c>
      <c r="D439" t="s">
        <v>2632</v>
      </c>
      <c r="E439" t="str">
        <f>"5376"</f>
        <v>5376</v>
      </c>
      <c r="F439" t="s">
        <v>2632</v>
      </c>
      <c r="G439">
        <v>9</v>
      </c>
      <c r="H439">
        <v>12</v>
      </c>
      <c r="I439" t="s">
        <v>2633</v>
      </c>
      <c r="K439" t="s">
        <v>152</v>
      </c>
      <c r="L439" t="s">
        <v>25</v>
      </c>
      <c r="M439">
        <v>98134</v>
      </c>
      <c r="N439" t="s">
        <v>2634</v>
      </c>
      <c r="O439" t="s">
        <v>2635</v>
      </c>
      <c r="P439" t="s">
        <v>2636</v>
      </c>
      <c r="Q439" t="s">
        <v>2436</v>
      </c>
      <c r="R439" t="s">
        <v>31</v>
      </c>
      <c r="S439" t="s">
        <v>58</v>
      </c>
    </row>
    <row r="440" spans="1:19" x14ac:dyDescent="0.45">
      <c r="A440" t="str">
        <f>"34950"</f>
        <v>34950</v>
      </c>
      <c r="B440" t="s">
        <v>2626</v>
      </c>
      <c r="C440" t="str">
        <f>"17908"</f>
        <v>17908</v>
      </c>
      <c r="D440" t="s">
        <v>2637</v>
      </c>
      <c r="E440" t="str">
        <f>"5380"</f>
        <v>5380</v>
      </c>
      <c r="F440" t="s">
        <v>2638</v>
      </c>
      <c r="G440">
        <v>5</v>
      </c>
      <c r="H440">
        <v>8</v>
      </c>
      <c r="I440" t="s">
        <v>2639</v>
      </c>
      <c r="K440" t="s">
        <v>152</v>
      </c>
      <c r="L440" t="s">
        <v>25</v>
      </c>
      <c r="M440">
        <v>98168</v>
      </c>
      <c r="N440" t="s">
        <v>2640</v>
      </c>
      <c r="O440" t="s">
        <v>2641</v>
      </c>
      <c r="P440" t="s">
        <v>2642</v>
      </c>
      <c r="Q440" t="s">
        <v>2436</v>
      </c>
      <c r="R440" t="s">
        <v>31</v>
      </c>
      <c r="S440" t="s">
        <v>104</v>
      </c>
    </row>
    <row r="441" spans="1:19" x14ac:dyDescent="0.45">
      <c r="A441" t="str">
        <f>"32911"</f>
        <v>32911</v>
      </c>
      <c r="B441" t="s">
        <v>2428</v>
      </c>
      <c r="C441" t="str">
        <f>"32901"</f>
        <v>32901</v>
      </c>
      <c r="D441" t="s">
        <v>2643</v>
      </c>
      <c r="E441" t="str">
        <f>"5381"</f>
        <v>5381</v>
      </c>
      <c r="F441" t="s">
        <v>2643</v>
      </c>
      <c r="G441" t="s">
        <v>70</v>
      </c>
      <c r="H441">
        <v>8</v>
      </c>
      <c r="I441" t="s">
        <v>2644</v>
      </c>
      <c r="K441" t="s">
        <v>2246</v>
      </c>
      <c r="L441" t="s">
        <v>25</v>
      </c>
      <c r="M441">
        <v>99217</v>
      </c>
      <c r="N441" t="s">
        <v>2645</v>
      </c>
      <c r="O441" t="s">
        <v>2646</v>
      </c>
      <c r="P441" t="s">
        <v>2647</v>
      </c>
      <c r="Q441" t="s">
        <v>2436</v>
      </c>
      <c r="R441" t="s">
        <v>31</v>
      </c>
      <c r="S441" t="s">
        <v>32</v>
      </c>
    </row>
    <row r="442" spans="1:19" x14ac:dyDescent="0.45">
      <c r="A442" t="str">
        <f>"39801"</f>
        <v>39801</v>
      </c>
      <c r="B442" t="s">
        <v>2395</v>
      </c>
      <c r="C442" t="str">
        <f>"39119"</f>
        <v>39119</v>
      </c>
      <c r="D442" t="s">
        <v>2396</v>
      </c>
      <c r="E442" t="str">
        <f>"5383"</f>
        <v>5383</v>
      </c>
      <c r="F442" t="s">
        <v>2648</v>
      </c>
      <c r="G442" t="s">
        <v>70</v>
      </c>
      <c r="H442">
        <v>2</v>
      </c>
      <c r="I442" t="s">
        <v>2649</v>
      </c>
      <c r="K442" t="s">
        <v>2399</v>
      </c>
      <c r="L442" t="s">
        <v>25</v>
      </c>
      <c r="M442">
        <v>98942</v>
      </c>
      <c r="N442" t="s">
        <v>2650</v>
      </c>
      <c r="O442" t="s">
        <v>2651</v>
      </c>
      <c r="P442" t="s">
        <v>2652</v>
      </c>
      <c r="Q442" t="s">
        <v>30</v>
      </c>
      <c r="R442" t="s">
        <v>31</v>
      </c>
      <c r="S442" t="s">
        <v>32</v>
      </c>
    </row>
    <row r="443" spans="1:19" x14ac:dyDescent="0.45">
      <c r="A443" t="str">
        <f>"39801"</f>
        <v>39801</v>
      </c>
      <c r="B443" t="s">
        <v>2395</v>
      </c>
      <c r="C443" t="str">
        <f>"39119"</f>
        <v>39119</v>
      </c>
      <c r="D443" t="s">
        <v>2396</v>
      </c>
      <c r="E443" t="str">
        <f>"5384"</f>
        <v>5384</v>
      </c>
      <c r="F443" t="s">
        <v>2653</v>
      </c>
      <c r="G443">
        <v>3</v>
      </c>
      <c r="H443">
        <v>5</v>
      </c>
      <c r="I443" t="s">
        <v>2654</v>
      </c>
      <c r="K443" t="s">
        <v>2399</v>
      </c>
      <c r="L443" t="s">
        <v>25</v>
      </c>
      <c r="M443">
        <v>98942</v>
      </c>
      <c r="N443" t="s">
        <v>2655</v>
      </c>
      <c r="O443" t="s">
        <v>2656</v>
      </c>
      <c r="P443" t="s">
        <v>2657</v>
      </c>
      <c r="Q443" t="s">
        <v>30</v>
      </c>
      <c r="R443" t="s">
        <v>31</v>
      </c>
      <c r="S443" t="s">
        <v>32</v>
      </c>
    </row>
    <row r="444" spans="1:19" x14ac:dyDescent="0.45">
      <c r="A444" t="str">
        <f>"39801"</f>
        <v>39801</v>
      </c>
      <c r="B444" t="s">
        <v>2395</v>
      </c>
      <c r="C444" t="str">
        <f>"39119"</f>
        <v>39119</v>
      </c>
      <c r="D444" t="s">
        <v>2396</v>
      </c>
      <c r="E444" t="str">
        <f>"5385"</f>
        <v>5385</v>
      </c>
      <c r="F444" t="s">
        <v>2658</v>
      </c>
      <c r="G444">
        <v>6</v>
      </c>
      <c r="H444">
        <v>8</v>
      </c>
      <c r="I444" t="s">
        <v>2659</v>
      </c>
      <c r="K444" t="s">
        <v>2399</v>
      </c>
      <c r="L444" t="s">
        <v>25</v>
      </c>
      <c r="M444">
        <v>98942</v>
      </c>
      <c r="N444" t="s">
        <v>2660</v>
      </c>
      <c r="O444" t="s">
        <v>2661</v>
      </c>
      <c r="P444" t="s">
        <v>2662</v>
      </c>
      <c r="Q444" t="s">
        <v>30</v>
      </c>
      <c r="R444" t="s">
        <v>31</v>
      </c>
      <c r="S444" t="s">
        <v>104</v>
      </c>
    </row>
    <row r="445" spans="1:19" x14ac:dyDescent="0.45">
      <c r="A445" t="str">
        <f>"17801"</f>
        <v>17801</v>
      </c>
      <c r="B445" t="s">
        <v>19</v>
      </c>
      <c r="C445" t="str">
        <f>"27400"</f>
        <v>27400</v>
      </c>
      <c r="D445" t="s">
        <v>2226</v>
      </c>
      <c r="E445" t="str">
        <f>"5386"</f>
        <v>5386</v>
      </c>
      <c r="F445" t="s">
        <v>2663</v>
      </c>
      <c r="G445" t="s">
        <v>22</v>
      </c>
      <c r="H445" t="s">
        <v>22</v>
      </c>
      <c r="I445" t="s">
        <v>2664</v>
      </c>
      <c r="K445" t="s">
        <v>2230</v>
      </c>
      <c r="L445" t="s">
        <v>25</v>
      </c>
      <c r="M445">
        <v>98499</v>
      </c>
      <c r="N445" t="s">
        <v>2665</v>
      </c>
      <c r="O445" t="s">
        <v>2666</v>
      </c>
      <c r="P445" t="s">
        <v>2667</v>
      </c>
      <c r="Q445" t="s">
        <v>2316</v>
      </c>
      <c r="R445" t="s">
        <v>31</v>
      </c>
      <c r="S445" t="s">
        <v>1248</v>
      </c>
    </row>
    <row r="446" spans="1:19" x14ac:dyDescent="0.45">
      <c r="A446" t="str">
        <f>"17801"</f>
        <v>17801</v>
      </c>
      <c r="B446" t="s">
        <v>19</v>
      </c>
      <c r="C446" t="str">
        <f>"27400"</f>
        <v>27400</v>
      </c>
      <c r="D446" t="s">
        <v>2226</v>
      </c>
      <c r="E446" t="str">
        <f>"5387"</f>
        <v>5387</v>
      </c>
      <c r="F446" t="s">
        <v>2668</v>
      </c>
      <c r="G446" t="s">
        <v>22</v>
      </c>
      <c r="H446">
        <v>5</v>
      </c>
      <c r="I446" t="s">
        <v>2669</v>
      </c>
      <c r="K446" t="s">
        <v>2230</v>
      </c>
      <c r="L446" t="s">
        <v>25</v>
      </c>
      <c r="M446">
        <v>98499</v>
      </c>
      <c r="N446" t="s">
        <v>2670</v>
      </c>
      <c r="O446" t="s">
        <v>2671</v>
      </c>
      <c r="P446" t="s">
        <v>2672</v>
      </c>
      <c r="Q446" t="s">
        <v>30</v>
      </c>
      <c r="R446" t="s">
        <v>31</v>
      </c>
      <c r="S446" t="s">
        <v>32</v>
      </c>
    </row>
    <row r="447" spans="1:19" x14ac:dyDescent="0.45">
      <c r="A447" t="str">
        <f>"39801"</f>
        <v>39801</v>
      </c>
      <c r="B447" t="s">
        <v>2395</v>
      </c>
      <c r="C447" t="str">
        <f>"13160"</f>
        <v>13160</v>
      </c>
      <c r="D447" t="s">
        <v>2673</v>
      </c>
      <c r="E447" t="str">
        <f>"5388"</f>
        <v>5388</v>
      </c>
      <c r="F447" t="s">
        <v>2674</v>
      </c>
      <c r="G447">
        <v>4</v>
      </c>
      <c r="H447">
        <v>6</v>
      </c>
      <c r="I447" t="s">
        <v>2675</v>
      </c>
      <c r="K447" t="s">
        <v>2676</v>
      </c>
      <c r="L447" t="s">
        <v>25</v>
      </c>
      <c r="M447" t="s">
        <v>2677</v>
      </c>
      <c r="N447" t="s">
        <v>2678</v>
      </c>
      <c r="O447" t="s">
        <v>2679</v>
      </c>
      <c r="P447" t="s">
        <v>2680</v>
      </c>
      <c r="Q447" t="s">
        <v>30</v>
      </c>
      <c r="R447" t="s">
        <v>31</v>
      </c>
      <c r="S447" t="s">
        <v>32</v>
      </c>
    </row>
    <row r="448" spans="1:19" x14ac:dyDescent="0.45">
      <c r="A448" t="str">
        <f>"17801"</f>
        <v>17801</v>
      </c>
      <c r="B448" t="s">
        <v>19</v>
      </c>
      <c r="C448" t="str">
        <f>"27001"</f>
        <v>27001</v>
      </c>
      <c r="D448" t="s">
        <v>2681</v>
      </c>
      <c r="E448" t="str">
        <f>"5389"</f>
        <v>5389</v>
      </c>
      <c r="F448" t="s">
        <v>2682</v>
      </c>
      <c r="G448" t="s">
        <v>22</v>
      </c>
      <c r="H448" t="s">
        <v>22</v>
      </c>
      <c r="I448" t="s">
        <v>2683</v>
      </c>
      <c r="K448" t="s">
        <v>2684</v>
      </c>
      <c r="L448" t="s">
        <v>25</v>
      </c>
      <c r="M448">
        <v>98388</v>
      </c>
      <c r="N448" t="s">
        <v>2685</v>
      </c>
      <c r="O448" t="s">
        <v>2686</v>
      </c>
      <c r="P448" t="s">
        <v>2687</v>
      </c>
      <c r="Q448" t="s">
        <v>66</v>
      </c>
      <c r="R448" t="s">
        <v>67</v>
      </c>
      <c r="S448" t="s">
        <v>1248</v>
      </c>
    </row>
    <row r="449" spans="1:19" x14ac:dyDescent="0.45">
      <c r="A449" t="str">
        <f>"17801"</f>
        <v>17801</v>
      </c>
      <c r="B449" t="s">
        <v>19</v>
      </c>
      <c r="C449" t="str">
        <f>"27416"</f>
        <v>27416</v>
      </c>
      <c r="D449" t="s">
        <v>2421</v>
      </c>
      <c r="E449" t="str">
        <f>"5390"</f>
        <v>5390</v>
      </c>
      <c r="F449" t="s">
        <v>2688</v>
      </c>
      <c r="G449" t="s">
        <v>70</v>
      </c>
      <c r="H449">
        <v>12</v>
      </c>
      <c r="I449" t="s">
        <v>2423</v>
      </c>
      <c r="K449" t="s">
        <v>2424</v>
      </c>
      <c r="L449" t="s">
        <v>25</v>
      </c>
      <c r="M449">
        <v>98321</v>
      </c>
      <c r="N449" t="s">
        <v>2689</v>
      </c>
      <c r="O449" t="s">
        <v>2426</v>
      </c>
      <c r="P449" t="s">
        <v>2690</v>
      </c>
      <c r="Q449" t="s">
        <v>2691</v>
      </c>
      <c r="R449" t="s">
        <v>31</v>
      </c>
      <c r="S449" t="s">
        <v>330</v>
      </c>
    </row>
    <row r="450" spans="1:19" x14ac:dyDescent="0.45">
      <c r="A450" t="str">
        <f>"11801"</f>
        <v>11801</v>
      </c>
      <c r="B450" t="s">
        <v>1122</v>
      </c>
      <c r="C450" t="str">
        <f>"11001"</f>
        <v>11001</v>
      </c>
      <c r="D450" t="s">
        <v>2457</v>
      </c>
      <c r="E450" t="str">
        <f>"5391"</f>
        <v>5391</v>
      </c>
      <c r="F450" t="s">
        <v>2692</v>
      </c>
      <c r="G450" t="s">
        <v>22</v>
      </c>
      <c r="H450">
        <v>6</v>
      </c>
      <c r="I450" t="s">
        <v>2693</v>
      </c>
      <c r="K450" t="s">
        <v>2460</v>
      </c>
      <c r="L450" t="s">
        <v>25</v>
      </c>
      <c r="M450">
        <v>99301</v>
      </c>
      <c r="N450" t="s">
        <v>2694</v>
      </c>
      <c r="O450" t="s">
        <v>2695</v>
      </c>
      <c r="P450" t="s">
        <v>2696</v>
      </c>
      <c r="Q450" t="s">
        <v>30</v>
      </c>
      <c r="R450" t="s">
        <v>31</v>
      </c>
      <c r="S450" t="s">
        <v>32</v>
      </c>
    </row>
    <row r="451" spans="1:19" x14ac:dyDescent="0.45">
      <c r="A451" t="str">
        <f>"11801"</f>
        <v>11801</v>
      </c>
      <c r="B451" t="s">
        <v>1122</v>
      </c>
      <c r="C451" t="str">
        <f>"11001"</f>
        <v>11001</v>
      </c>
      <c r="D451" t="s">
        <v>2457</v>
      </c>
      <c r="E451" t="str">
        <f>"5392"</f>
        <v>5392</v>
      </c>
      <c r="F451" t="s">
        <v>2697</v>
      </c>
      <c r="G451" t="s">
        <v>22</v>
      </c>
      <c r="H451">
        <v>6</v>
      </c>
      <c r="I451" t="s">
        <v>2698</v>
      </c>
      <c r="K451" t="s">
        <v>2460</v>
      </c>
      <c r="L451" t="s">
        <v>25</v>
      </c>
      <c r="M451">
        <v>99301</v>
      </c>
      <c r="N451" t="s">
        <v>2699</v>
      </c>
      <c r="O451" t="s">
        <v>2700</v>
      </c>
      <c r="P451" t="s">
        <v>2701</v>
      </c>
      <c r="Q451" t="s">
        <v>30</v>
      </c>
      <c r="R451" t="s">
        <v>31</v>
      </c>
      <c r="S451" t="s">
        <v>32</v>
      </c>
    </row>
    <row r="452" spans="1:19" x14ac:dyDescent="0.45">
      <c r="A452" t="str">
        <f>"11801"</f>
        <v>11801</v>
      </c>
      <c r="B452" t="s">
        <v>1122</v>
      </c>
      <c r="C452" t="str">
        <f>"11001"</f>
        <v>11001</v>
      </c>
      <c r="D452" t="s">
        <v>2457</v>
      </c>
      <c r="E452" t="str">
        <f>"5393"</f>
        <v>5393</v>
      </c>
      <c r="F452" t="s">
        <v>2702</v>
      </c>
      <c r="G452" t="s">
        <v>70</v>
      </c>
      <c r="H452">
        <v>8</v>
      </c>
      <c r="I452" t="s">
        <v>2703</v>
      </c>
      <c r="K452" t="s">
        <v>2460</v>
      </c>
      <c r="L452" t="s">
        <v>25</v>
      </c>
      <c r="M452">
        <v>99301</v>
      </c>
      <c r="N452" t="s">
        <v>2704</v>
      </c>
      <c r="O452" t="s">
        <v>2705</v>
      </c>
      <c r="P452" t="s">
        <v>2706</v>
      </c>
      <c r="Q452" t="s">
        <v>157</v>
      </c>
      <c r="R452" t="s">
        <v>158</v>
      </c>
      <c r="S452" t="s">
        <v>159</v>
      </c>
    </row>
    <row r="453" spans="1:19" x14ac:dyDescent="0.45">
      <c r="A453" t="str">
        <f>"11801"</f>
        <v>11801</v>
      </c>
      <c r="B453" t="s">
        <v>1122</v>
      </c>
      <c r="C453" t="str">
        <f>"11001"</f>
        <v>11001</v>
      </c>
      <c r="D453" t="s">
        <v>2457</v>
      </c>
      <c r="E453" t="str">
        <f>"5394"</f>
        <v>5394</v>
      </c>
      <c r="F453" t="s">
        <v>2707</v>
      </c>
      <c r="G453">
        <v>3</v>
      </c>
      <c r="H453">
        <v>6</v>
      </c>
      <c r="I453" t="s">
        <v>2708</v>
      </c>
      <c r="K453" t="s">
        <v>2460</v>
      </c>
      <c r="L453" t="s">
        <v>25</v>
      </c>
      <c r="M453">
        <v>99301</v>
      </c>
      <c r="N453" t="s">
        <v>2709</v>
      </c>
      <c r="O453" t="s">
        <v>2710</v>
      </c>
      <c r="P453" t="s">
        <v>2711</v>
      </c>
      <c r="Q453" t="s">
        <v>30</v>
      </c>
      <c r="R453" t="s">
        <v>31</v>
      </c>
      <c r="S453" t="s">
        <v>32</v>
      </c>
    </row>
    <row r="454" spans="1:19" x14ac:dyDescent="0.45">
      <c r="A454" t="str">
        <f>"18801"</f>
        <v>18801</v>
      </c>
      <c r="B454" t="s">
        <v>1731</v>
      </c>
      <c r="C454" t="str">
        <f>"18100"</f>
        <v>18100</v>
      </c>
      <c r="D454" t="s">
        <v>2712</v>
      </c>
      <c r="E454" t="str">
        <f>"5395"</f>
        <v>5395</v>
      </c>
      <c r="F454" t="s">
        <v>2713</v>
      </c>
      <c r="G454">
        <v>10</v>
      </c>
      <c r="H454">
        <v>12</v>
      </c>
      <c r="I454" t="s">
        <v>2714</v>
      </c>
      <c r="K454" t="s">
        <v>2253</v>
      </c>
      <c r="L454" t="s">
        <v>25</v>
      </c>
      <c r="M454">
        <v>98312</v>
      </c>
      <c r="N454" t="s">
        <v>2715</v>
      </c>
      <c r="O454" t="s">
        <v>2716</v>
      </c>
      <c r="P454" t="s">
        <v>2717</v>
      </c>
      <c r="Q454" t="s">
        <v>2256</v>
      </c>
      <c r="R454" t="s">
        <v>31</v>
      </c>
      <c r="S454" t="s">
        <v>58</v>
      </c>
    </row>
    <row r="455" spans="1:19" x14ac:dyDescent="0.45">
      <c r="A455" t="str">
        <f>"32801"</f>
        <v>32801</v>
      </c>
      <c r="B455" t="s">
        <v>1108</v>
      </c>
      <c r="C455" t="str">
        <f>"32360"</f>
        <v>32360</v>
      </c>
      <c r="D455" t="s">
        <v>2217</v>
      </c>
      <c r="E455" t="str">
        <f>"5396"</f>
        <v>5396</v>
      </c>
      <c r="F455" t="s">
        <v>2718</v>
      </c>
      <c r="G455">
        <v>7</v>
      </c>
      <c r="H455">
        <v>12</v>
      </c>
      <c r="I455" t="s">
        <v>2719</v>
      </c>
      <c r="K455" t="s">
        <v>2220</v>
      </c>
      <c r="L455" t="s">
        <v>25</v>
      </c>
      <c r="M455">
        <v>99004</v>
      </c>
      <c r="N455" t="s">
        <v>2720</v>
      </c>
      <c r="O455" t="s">
        <v>2721</v>
      </c>
      <c r="P455" t="s">
        <v>2722</v>
      </c>
      <c r="Q455" t="s">
        <v>2264</v>
      </c>
      <c r="R455" t="s">
        <v>2265</v>
      </c>
      <c r="S455" t="s">
        <v>159</v>
      </c>
    </row>
    <row r="456" spans="1:19" x14ac:dyDescent="0.45">
      <c r="A456" t="str">
        <f>"OSPI"</f>
        <v>OSPI</v>
      </c>
      <c r="B456" t="s">
        <v>1763</v>
      </c>
      <c r="C456" t="str">
        <f>"06801"</f>
        <v>06801</v>
      </c>
      <c r="D456" t="s">
        <v>1870</v>
      </c>
      <c r="E456" t="str">
        <f>"5398"</f>
        <v>5398</v>
      </c>
      <c r="F456" t="s">
        <v>2723</v>
      </c>
      <c r="G456">
        <v>9</v>
      </c>
      <c r="H456">
        <v>12</v>
      </c>
      <c r="I456" t="s">
        <v>2724</v>
      </c>
      <c r="K456" t="s">
        <v>2029</v>
      </c>
      <c r="L456" t="s">
        <v>25</v>
      </c>
      <c r="M456">
        <v>98661</v>
      </c>
      <c r="N456" t="s">
        <v>2206</v>
      </c>
      <c r="O456" t="s">
        <v>2207</v>
      </c>
      <c r="P456" t="s">
        <v>2725</v>
      </c>
      <c r="Q456" t="s">
        <v>2264</v>
      </c>
      <c r="R456" t="s">
        <v>2265</v>
      </c>
      <c r="S456" t="s">
        <v>58</v>
      </c>
    </row>
    <row r="457" spans="1:19" x14ac:dyDescent="0.45">
      <c r="A457" t="str">
        <f>"39801"</f>
        <v>39801</v>
      </c>
      <c r="B457" t="s">
        <v>2395</v>
      </c>
      <c r="C457" t="str">
        <f>"39200"</f>
        <v>39200</v>
      </c>
      <c r="D457" t="s">
        <v>2726</v>
      </c>
      <c r="E457" t="str">
        <f>"5399"</f>
        <v>5399</v>
      </c>
      <c r="F457" t="s">
        <v>2727</v>
      </c>
      <c r="G457">
        <v>9</v>
      </c>
      <c r="H457">
        <v>12</v>
      </c>
      <c r="I457" t="s">
        <v>2728</v>
      </c>
      <c r="K457" t="s">
        <v>2729</v>
      </c>
      <c r="L457" t="s">
        <v>25</v>
      </c>
      <c r="M457">
        <v>98930</v>
      </c>
      <c r="N457" t="s">
        <v>2730</v>
      </c>
      <c r="O457" t="s">
        <v>2731</v>
      </c>
      <c r="P457" t="s">
        <v>2732</v>
      </c>
      <c r="Q457" t="s">
        <v>2264</v>
      </c>
      <c r="R457" t="s">
        <v>2265</v>
      </c>
      <c r="S457" t="s">
        <v>58</v>
      </c>
    </row>
    <row r="458" spans="1:19" x14ac:dyDescent="0.45">
      <c r="A458" t="str">
        <f>"06801"</f>
        <v>06801</v>
      </c>
      <c r="B458" t="s">
        <v>1870</v>
      </c>
      <c r="C458" t="str">
        <f>"08122"</f>
        <v>08122</v>
      </c>
      <c r="D458" t="s">
        <v>2303</v>
      </c>
      <c r="E458" t="str">
        <f>"5400"</f>
        <v>5400</v>
      </c>
      <c r="F458" t="s">
        <v>2733</v>
      </c>
      <c r="G458">
        <v>9</v>
      </c>
      <c r="H458">
        <v>12</v>
      </c>
      <c r="I458" t="s">
        <v>2734</v>
      </c>
      <c r="K458" t="s">
        <v>2306</v>
      </c>
      <c r="L458" t="s">
        <v>25</v>
      </c>
      <c r="M458">
        <v>98632</v>
      </c>
      <c r="N458" t="s">
        <v>2307</v>
      </c>
      <c r="O458" t="s">
        <v>2308</v>
      </c>
      <c r="P458" t="s">
        <v>2309</v>
      </c>
      <c r="Q458" t="s">
        <v>2264</v>
      </c>
      <c r="R458" t="s">
        <v>2265</v>
      </c>
      <c r="S458" t="s">
        <v>58</v>
      </c>
    </row>
    <row r="459" spans="1:19" x14ac:dyDescent="0.45">
      <c r="A459" t="str">
        <f>"32801"</f>
        <v>32801</v>
      </c>
      <c r="B459" t="s">
        <v>1108</v>
      </c>
      <c r="C459" t="str">
        <f>"32354"</f>
        <v>32354</v>
      </c>
      <c r="D459" t="s">
        <v>2735</v>
      </c>
      <c r="E459" t="str">
        <f>"5401"</f>
        <v>5401</v>
      </c>
      <c r="F459" t="s">
        <v>2736</v>
      </c>
      <c r="G459">
        <v>11</v>
      </c>
      <c r="H459">
        <v>12</v>
      </c>
      <c r="I459" t="s">
        <v>2737</v>
      </c>
      <c r="K459" t="s">
        <v>2738</v>
      </c>
      <c r="L459" t="s">
        <v>25</v>
      </c>
      <c r="M459">
        <v>99021</v>
      </c>
      <c r="N459" t="s">
        <v>2739</v>
      </c>
      <c r="O459" t="s">
        <v>2740</v>
      </c>
      <c r="P459" t="s">
        <v>2741</v>
      </c>
      <c r="Q459" t="s">
        <v>2625</v>
      </c>
      <c r="R459" t="s">
        <v>2265</v>
      </c>
      <c r="S459" t="s">
        <v>58</v>
      </c>
    </row>
    <row r="460" spans="1:19" x14ac:dyDescent="0.45">
      <c r="A460" t="str">
        <f>"29801"</f>
        <v>29801</v>
      </c>
      <c r="B460" t="s">
        <v>2370</v>
      </c>
      <c r="C460" t="str">
        <f>"31025"</f>
        <v>31025</v>
      </c>
      <c r="D460" t="s">
        <v>2483</v>
      </c>
      <c r="E460" t="str">
        <f>"5402"</f>
        <v>5402</v>
      </c>
      <c r="F460" t="s">
        <v>2742</v>
      </c>
      <c r="G460">
        <v>10</v>
      </c>
      <c r="H460">
        <v>12</v>
      </c>
      <c r="I460" t="s">
        <v>2743</v>
      </c>
      <c r="K460" t="s">
        <v>2744</v>
      </c>
      <c r="L460" t="s">
        <v>25</v>
      </c>
      <c r="M460">
        <v>98270</v>
      </c>
      <c r="N460" t="s">
        <v>2745</v>
      </c>
      <c r="O460" t="s">
        <v>2746</v>
      </c>
      <c r="P460" t="s">
        <v>2747</v>
      </c>
      <c r="Q460" t="s">
        <v>2264</v>
      </c>
      <c r="R460" t="s">
        <v>2265</v>
      </c>
      <c r="S460" t="s">
        <v>58</v>
      </c>
    </row>
    <row r="461" spans="1:19" x14ac:dyDescent="0.45">
      <c r="A461" t="str">
        <f>"OSPI"</f>
        <v>OSPI</v>
      </c>
      <c r="B461" t="s">
        <v>1763</v>
      </c>
      <c r="C461" t="str">
        <f>"11801"</f>
        <v>11801</v>
      </c>
      <c r="D461" t="s">
        <v>1122</v>
      </c>
      <c r="E461" t="str">
        <f>"5403"</f>
        <v>5403</v>
      </c>
      <c r="F461" t="s">
        <v>2748</v>
      </c>
      <c r="G461">
        <v>9</v>
      </c>
      <c r="H461">
        <v>12</v>
      </c>
      <c r="I461" t="s">
        <v>2749</v>
      </c>
      <c r="K461" t="s">
        <v>2750</v>
      </c>
      <c r="L461" t="s">
        <v>25</v>
      </c>
      <c r="M461">
        <v>99301</v>
      </c>
      <c r="N461" t="s">
        <v>79</v>
      </c>
      <c r="Q461" t="s">
        <v>2264</v>
      </c>
      <c r="R461" t="s">
        <v>2265</v>
      </c>
      <c r="S461" t="s">
        <v>58</v>
      </c>
    </row>
    <row r="462" spans="1:19" x14ac:dyDescent="0.45">
      <c r="A462" t="str">
        <f>"17801"</f>
        <v>17801</v>
      </c>
      <c r="B462" t="s">
        <v>19</v>
      </c>
      <c r="C462" t="str">
        <f>"17001"</f>
        <v>17001</v>
      </c>
      <c r="D462" t="s">
        <v>2209</v>
      </c>
      <c r="E462" t="str">
        <f>"5405"</f>
        <v>5405</v>
      </c>
      <c r="F462" t="s">
        <v>2751</v>
      </c>
      <c r="G462">
        <v>9</v>
      </c>
      <c r="H462">
        <v>12</v>
      </c>
      <c r="I462" t="s">
        <v>2752</v>
      </c>
      <c r="K462" t="s">
        <v>152</v>
      </c>
      <c r="L462" t="s">
        <v>25</v>
      </c>
      <c r="M462">
        <v>98118</v>
      </c>
      <c r="N462" t="s">
        <v>2753</v>
      </c>
      <c r="O462" t="s">
        <v>2754</v>
      </c>
      <c r="P462" t="s">
        <v>2755</v>
      </c>
      <c r="Q462" t="s">
        <v>2264</v>
      </c>
      <c r="R462" t="s">
        <v>2265</v>
      </c>
      <c r="S462" t="s">
        <v>58</v>
      </c>
    </row>
    <row r="463" spans="1:19" x14ac:dyDescent="0.45">
      <c r="A463" t="str">
        <f>"17801"</f>
        <v>17801</v>
      </c>
      <c r="B463" t="s">
        <v>19</v>
      </c>
      <c r="C463" t="str">
        <f>"17001"</f>
        <v>17001</v>
      </c>
      <c r="D463" t="s">
        <v>2209</v>
      </c>
      <c r="E463" t="str">
        <f>"5406"</f>
        <v>5406</v>
      </c>
      <c r="F463" t="s">
        <v>2756</v>
      </c>
      <c r="G463" t="s">
        <v>22</v>
      </c>
      <c r="H463">
        <v>12</v>
      </c>
      <c r="I463" t="s">
        <v>2757</v>
      </c>
      <c r="K463" t="s">
        <v>152</v>
      </c>
      <c r="L463" t="s">
        <v>25</v>
      </c>
      <c r="M463">
        <v>98108</v>
      </c>
      <c r="N463" t="s">
        <v>2758</v>
      </c>
      <c r="O463" t="s">
        <v>2759</v>
      </c>
      <c r="P463" t="s">
        <v>2760</v>
      </c>
      <c r="Q463" t="s">
        <v>66</v>
      </c>
      <c r="R463" t="s">
        <v>67</v>
      </c>
      <c r="S463" t="s">
        <v>68</v>
      </c>
    </row>
    <row r="464" spans="1:19" x14ac:dyDescent="0.45">
      <c r="A464" t="str">
        <f>"06801"</f>
        <v>06801</v>
      </c>
      <c r="B464" t="s">
        <v>1870</v>
      </c>
      <c r="C464" t="str">
        <f>"08404"</f>
        <v>08404</v>
      </c>
      <c r="D464" t="s">
        <v>2761</v>
      </c>
      <c r="E464" t="str">
        <f>"5409"</f>
        <v>5409</v>
      </c>
      <c r="F464" t="s">
        <v>2762</v>
      </c>
      <c r="G464">
        <v>5</v>
      </c>
      <c r="H464">
        <v>8</v>
      </c>
      <c r="I464" t="s">
        <v>2763</v>
      </c>
      <c r="K464" t="s">
        <v>2764</v>
      </c>
      <c r="L464" t="s">
        <v>25</v>
      </c>
      <c r="M464">
        <v>98674</v>
      </c>
      <c r="N464" t="s">
        <v>2765</v>
      </c>
      <c r="O464" t="s">
        <v>2766</v>
      </c>
      <c r="P464" t="s">
        <v>2767</v>
      </c>
      <c r="Q464" t="s">
        <v>30</v>
      </c>
      <c r="R464" t="s">
        <v>31</v>
      </c>
      <c r="S464" t="s">
        <v>104</v>
      </c>
    </row>
    <row r="465" spans="1:19" x14ac:dyDescent="0.45">
      <c r="A465" t="str">
        <f>"17801"</f>
        <v>17801</v>
      </c>
      <c r="B465" t="s">
        <v>19</v>
      </c>
      <c r="C465" t="str">
        <f>"27001"</f>
        <v>27001</v>
      </c>
      <c r="D465" t="s">
        <v>2681</v>
      </c>
      <c r="E465" t="str">
        <f>"5410"</f>
        <v>5410</v>
      </c>
      <c r="F465" t="s">
        <v>2768</v>
      </c>
      <c r="G465">
        <v>11</v>
      </c>
      <c r="H465">
        <v>12</v>
      </c>
      <c r="I465" t="s">
        <v>2683</v>
      </c>
      <c r="K465" t="s">
        <v>2684</v>
      </c>
      <c r="L465" t="s">
        <v>25</v>
      </c>
      <c r="M465">
        <v>98388</v>
      </c>
      <c r="N465" t="s">
        <v>2769</v>
      </c>
      <c r="O465" t="s">
        <v>2686</v>
      </c>
      <c r="P465" t="s">
        <v>2687</v>
      </c>
      <c r="Q465" t="s">
        <v>66</v>
      </c>
      <c r="R465" t="s">
        <v>67</v>
      </c>
      <c r="S465" t="s">
        <v>58</v>
      </c>
    </row>
    <row r="466" spans="1:19" x14ac:dyDescent="0.45">
      <c r="A466" t="str">
        <f>"17801"</f>
        <v>17801</v>
      </c>
      <c r="B466" t="s">
        <v>19</v>
      </c>
      <c r="C466" t="str">
        <f>"27400"</f>
        <v>27400</v>
      </c>
      <c r="D466" t="s">
        <v>2226</v>
      </c>
      <c r="E466" t="str">
        <f>"5411"</f>
        <v>5411</v>
      </c>
      <c r="F466" t="s">
        <v>2770</v>
      </c>
      <c r="G466">
        <v>9</v>
      </c>
      <c r="H466">
        <v>12</v>
      </c>
      <c r="I466" t="s">
        <v>2771</v>
      </c>
      <c r="K466" t="s">
        <v>2230</v>
      </c>
      <c r="L466" t="s">
        <v>25</v>
      </c>
      <c r="M466">
        <v>98499</v>
      </c>
      <c r="N466" t="s">
        <v>2772</v>
      </c>
      <c r="O466" t="s">
        <v>2773</v>
      </c>
      <c r="P466" t="s">
        <v>2774</v>
      </c>
      <c r="Q466" t="s">
        <v>2264</v>
      </c>
      <c r="R466" t="s">
        <v>2265</v>
      </c>
      <c r="S466" t="s">
        <v>58</v>
      </c>
    </row>
    <row r="467" spans="1:19" x14ac:dyDescent="0.45">
      <c r="A467" t="str">
        <f>"29801"</f>
        <v>29801</v>
      </c>
      <c r="B467" t="s">
        <v>2370</v>
      </c>
      <c r="C467" t="str">
        <f>"15204"</f>
        <v>15204</v>
      </c>
      <c r="D467" t="s">
        <v>2775</v>
      </c>
      <c r="E467" t="str">
        <f>"5412"</f>
        <v>5412</v>
      </c>
      <c r="F467" t="s">
        <v>2776</v>
      </c>
      <c r="G467">
        <v>9</v>
      </c>
      <c r="H467">
        <v>12</v>
      </c>
      <c r="I467" t="s">
        <v>2777</v>
      </c>
      <c r="K467" t="s">
        <v>2778</v>
      </c>
      <c r="L467" t="s">
        <v>25</v>
      </c>
      <c r="M467">
        <v>98239</v>
      </c>
      <c r="N467" t="s">
        <v>2779</v>
      </c>
      <c r="O467" t="s">
        <v>2780</v>
      </c>
      <c r="P467" t="s">
        <v>2781</v>
      </c>
      <c r="Q467" t="s">
        <v>2264</v>
      </c>
      <c r="R467" t="s">
        <v>2265</v>
      </c>
      <c r="S467" t="s">
        <v>58</v>
      </c>
    </row>
    <row r="468" spans="1:19" x14ac:dyDescent="0.45">
      <c r="A468" t="str">
        <f>"18801"</f>
        <v>18801</v>
      </c>
      <c r="B468" t="s">
        <v>1731</v>
      </c>
      <c r="C468" t="str">
        <f>"16049"</f>
        <v>16049</v>
      </c>
      <c r="D468" t="s">
        <v>2782</v>
      </c>
      <c r="E468" t="str">
        <f>"5397"</f>
        <v>5397</v>
      </c>
      <c r="F468" t="s">
        <v>2783</v>
      </c>
      <c r="G468">
        <v>9</v>
      </c>
      <c r="H468">
        <v>12</v>
      </c>
      <c r="I468" t="s">
        <v>2784</v>
      </c>
      <c r="K468" t="s">
        <v>2785</v>
      </c>
      <c r="L468" t="s">
        <v>25</v>
      </c>
      <c r="M468">
        <v>98325</v>
      </c>
      <c r="N468" t="s">
        <v>2786</v>
      </c>
      <c r="O468" t="s">
        <v>2787</v>
      </c>
      <c r="P468" t="s">
        <v>2788</v>
      </c>
      <c r="Q468" t="s">
        <v>2264</v>
      </c>
      <c r="R468" t="s">
        <v>2265</v>
      </c>
      <c r="S468" t="s">
        <v>58</v>
      </c>
    </row>
    <row r="469" spans="1:19" x14ac:dyDescent="0.45">
      <c r="A469" t="str">
        <f>"11801"</f>
        <v>11801</v>
      </c>
      <c r="B469" t="s">
        <v>1122</v>
      </c>
      <c r="C469" t="str">
        <f>"02250"</f>
        <v>02250</v>
      </c>
      <c r="D469" t="s">
        <v>1176</v>
      </c>
      <c r="E469" t="str">
        <f>"5413"</f>
        <v>5413</v>
      </c>
      <c r="F469" t="s">
        <v>2789</v>
      </c>
      <c r="G469">
        <v>11</v>
      </c>
      <c r="H469">
        <v>13</v>
      </c>
      <c r="I469" t="s">
        <v>2790</v>
      </c>
      <c r="K469" t="s">
        <v>1179</v>
      </c>
      <c r="L469" t="s">
        <v>25</v>
      </c>
      <c r="M469">
        <v>99403</v>
      </c>
      <c r="N469" t="s">
        <v>2791</v>
      </c>
      <c r="O469" t="s">
        <v>2792</v>
      </c>
      <c r="P469" t="s">
        <v>2793</v>
      </c>
      <c r="Q469" t="s">
        <v>2264</v>
      </c>
      <c r="R469" t="s">
        <v>2265</v>
      </c>
      <c r="S469" t="s">
        <v>58</v>
      </c>
    </row>
    <row r="470" spans="1:19" x14ac:dyDescent="0.45">
      <c r="A470" t="str">
        <f>"29801"</f>
        <v>29801</v>
      </c>
      <c r="B470" t="s">
        <v>2370</v>
      </c>
      <c r="C470" t="str">
        <f>"31002"</f>
        <v>31002</v>
      </c>
      <c r="D470" t="s">
        <v>2378</v>
      </c>
      <c r="E470" t="str">
        <f>"5414"</f>
        <v>5414</v>
      </c>
      <c r="F470" t="s">
        <v>2794</v>
      </c>
      <c r="G470" t="s">
        <v>70</v>
      </c>
      <c r="H470">
        <v>12</v>
      </c>
      <c r="I470" t="s">
        <v>2380</v>
      </c>
      <c r="K470" t="s">
        <v>2381</v>
      </c>
      <c r="L470" t="s">
        <v>25</v>
      </c>
      <c r="M470" t="s">
        <v>2382</v>
      </c>
      <c r="N470" t="s">
        <v>2795</v>
      </c>
      <c r="O470" t="s">
        <v>2796</v>
      </c>
      <c r="P470" t="s">
        <v>2797</v>
      </c>
      <c r="Q470" t="s">
        <v>30</v>
      </c>
      <c r="R470" t="s">
        <v>31</v>
      </c>
      <c r="S470" t="s">
        <v>330</v>
      </c>
    </row>
    <row r="471" spans="1:19" x14ac:dyDescent="0.45">
      <c r="A471" t="str">
        <f>"34801"</f>
        <v>34801</v>
      </c>
      <c r="B471" t="s">
        <v>2257</v>
      </c>
      <c r="C471" t="str">
        <f>"21206"</f>
        <v>21206</v>
      </c>
      <c r="D471" t="s">
        <v>2798</v>
      </c>
      <c r="E471" t="str">
        <f>"5415"</f>
        <v>5415</v>
      </c>
      <c r="F471" t="s">
        <v>2799</v>
      </c>
      <c r="G471">
        <v>7</v>
      </c>
      <c r="H471">
        <v>12</v>
      </c>
      <c r="I471" t="s">
        <v>2800</v>
      </c>
      <c r="K471" t="s">
        <v>2801</v>
      </c>
      <c r="L471" t="s">
        <v>25</v>
      </c>
      <c r="M471">
        <v>98564</v>
      </c>
      <c r="N471" t="s">
        <v>2802</v>
      </c>
      <c r="O471" t="s">
        <v>2803</v>
      </c>
      <c r="P471" t="s">
        <v>2804</v>
      </c>
      <c r="Q471" t="s">
        <v>157</v>
      </c>
      <c r="R471" t="s">
        <v>158</v>
      </c>
      <c r="S471" t="s">
        <v>159</v>
      </c>
    </row>
    <row r="472" spans="1:19" x14ac:dyDescent="0.45">
      <c r="A472" t="str">
        <f>"34801"</f>
        <v>34801</v>
      </c>
      <c r="B472" t="s">
        <v>2257</v>
      </c>
      <c r="C472" t="str">
        <f>"14068"</f>
        <v>14068</v>
      </c>
      <c r="D472" t="s">
        <v>2805</v>
      </c>
      <c r="E472" t="str">
        <f>"5416"</f>
        <v>5416</v>
      </c>
      <c r="F472" t="s">
        <v>2806</v>
      </c>
      <c r="G472">
        <v>9</v>
      </c>
      <c r="H472">
        <v>12</v>
      </c>
      <c r="I472" t="s">
        <v>2807</v>
      </c>
      <c r="K472" t="s">
        <v>2808</v>
      </c>
      <c r="L472" t="s">
        <v>25</v>
      </c>
      <c r="M472">
        <v>98541</v>
      </c>
      <c r="N472" t="s">
        <v>2809</v>
      </c>
      <c r="O472" t="s">
        <v>2810</v>
      </c>
      <c r="P472" t="s">
        <v>2811</v>
      </c>
      <c r="Q472" t="s">
        <v>2264</v>
      </c>
      <c r="R472" t="s">
        <v>2265</v>
      </c>
      <c r="S472" t="s">
        <v>58</v>
      </c>
    </row>
    <row r="473" spans="1:19" x14ac:dyDescent="0.45">
      <c r="A473" t="str">
        <f>"32801"</f>
        <v>32801</v>
      </c>
      <c r="B473" t="s">
        <v>1108</v>
      </c>
      <c r="C473" t="str">
        <f>"32325"</f>
        <v>32325</v>
      </c>
      <c r="D473" t="s">
        <v>2812</v>
      </c>
      <c r="E473" t="str">
        <f>"5417"</f>
        <v>5417</v>
      </c>
      <c r="F473" t="s">
        <v>2813</v>
      </c>
      <c r="G473">
        <v>9</v>
      </c>
      <c r="H473">
        <v>12</v>
      </c>
      <c r="I473" t="s">
        <v>2814</v>
      </c>
      <c r="K473" t="s">
        <v>2815</v>
      </c>
      <c r="L473" t="s">
        <v>25</v>
      </c>
      <c r="M473">
        <v>99026</v>
      </c>
      <c r="N473" t="s">
        <v>2816</v>
      </c>
      <c r="O473" t="s">
        <v>2817</v>
      </c>
      <c r="P473" t="s">
        <v>2818</v>
      </c>
      <c r="Q473" t="s">
        <v>2264</v>
      </c>
      <c r="R473" t="s">
        <v>2265</v>
      </c>
      <c r="S473" t="s">
        <v>58</v>
      </c>
    </row>
    <row r="474" spans="1:19" x14ac:dyDescent="0.45">
      <c r="A474" t="str">
        <f>"04801"</f>
        <v>04801</v>
      </c>
      <c r="B474" t="s">
        <v>1549</v>
      </c>
      <c r="C474" t="str">
        <f>"04228"</f>
        <v>04228</v>
      </c>
      <c r="D474" t="s">
        <v>1625</v>
      </c>
      <c r="E474" t="str">
        <f>"5418"</f>
        <v>5418</v>
      </c>
      <c r="F474" t="s">
        <v>2819</v>
      </c>
      <c r="G474" t="s">
        <v>70</v>
      </c>
      <c r="H474">
        <v>8</v>
      </c>
      <c r="I474" t="s">
        <v>2820</v>
      </c>
      <c r="K474" t="s">
        <v>1634</v>
      </c>
      <c r="L474" t="s">
        <v>25</v>
      </c>
      <c r="M474">
        <v>98826</v>
      </c>
      <c r="N474" t="s">
        <v>2821</v>
      </c>
      <c r="O474" t="s">
        <v>2822</v>
      </c>
      <c r="P474" t="s">
        <v>2823</v>
      </c>
      <c r="Q474" t="s">
        <v>2256</v>
      </c>
      <c r="R474" t="s">
        <v>31</v>
      </c>
      <c r="S474" t="s">
        <v>159</v>
      </c>
    </row>
    <row r="475" spans="1:19" x14ac:dyDescent="0.45">
      <c r="A475" t="str">
        <f>"11801"</f>
        <v>11801</v>
      </c>
      <c r="B475" t="s">
        <v>1122</v>
      </c>
      <c r="C475" t="str">
        <f>"03400"</f>
        <v>03400</v>
      </c>
      <c r="D475" t="s">
        <v>1462</v>
      </c>
      <c r="E475" t="str">
        <f>"5419"</f>
        <v>5419</v>
      </c>
      <c r="F475" t="s">
        <v>2824</v>
      </c>
      <c r="G475" t="s">
        <v>22</v>
      </c>
      <c r="H475">
        <v>5</v>
      </c>
      <c r="I475" t="s">
        <v>2825</v>
      </c>
      <c r="K475" t="s">
        <v>1465</v>
      </c>
      <c r="L475" t="s">
        <v>25</v>
      </c>
      <c r="M475">
        <v>99352</v>
      </c>
      <c r="N475" t="s">
        <v>2826</v>
      </c>
      <c r="O475" t="s">
        <v>2827</v>
      </c>
      <c r="P475" t="s">
        <v>2828</v>
      </c>
      <c r="Q475" t="s">
        <v>30</v>
      </c>
      <c r="R475" t="s">
        <v>31</v>
      </c>
      <c r="S475" t="s">
        <v>32</v>
      </c>
    </row>
    <row r="476" spans="1:19" x14ac:dyDescent="0.45">
      <c r="A476" t="str">
        <f>"OSPI"</f>
        <v>OSPI</v>
      </c>
      <c r="B476" t="s">
        <v>1763</v>
      </c>
      <c r="C476" t="str">
        <f>"05903"</f>
        <v>05903</v>
      </c>
      <c r="D476" t="s">
        <v>2829</v>
      </c>
      <c r="E476" t="str">
        <f>"5430"</f>
        <v>5430</v>
      </c>
      <c r="F476" t="s">
        <v>2830</v>
      </c>
      <c r="G476" t="s">
        <v>70</v>
      </c>
      <c r="H476">
        <v>12</v>
      </c>
      <c r="I476" t="s">
        <v>2831</v>
      </c>
      <c r="K476" t="s">
        <v>2832</v>
      </c>
      <c r="L476" t="s">
        <v>25</v>
      </c>
      <c r="M476">
        <v>98350</v>
      </c>
      <c r="N476" t="s">
        <v>2833</v>
      </c>
      <c r="O476" t="s">
        <v>2834</v>
      </c>
      <c r="P476" t="s">
        <v>2835</v>
      </c>
      <c r="Q476" t="s">
        <v>2836</v>
      </c>
      <c r="R476" t="s">
        <v>2337</v>
      </c>
      <c r="S476" t="s">
        <v>330</v>
      </c>
    </row>
    <row r="477" spans="1:19" x14ac:dyDescent="0.45">
      <c r="A477" t="str">
        <f>"OSPI"</f>
        <v>OSPI</v>
      </c>
      <c r="B477" t="s">
        <v>1763</v>
      </c>
      <c r="C477" t="str">
        <f>"27931"</f>
        <v>27931</v>
      </c>
      <c r="D477" t="s">
        <v>2837</v>
      </c>
      <c r="E477" t="str">
        <f>"5431"</f>
        <v>5431</v>
      </c>
      <c r="F477" t="s">
        <v>2838</v>
      </c>
      <c r="G477">
        <v>9</v>
      </c>
      <c r="H477">
        <v>12</v>
      </c>
      <c r="I477" t="s">
        <v>2839</v>
      </c>
      <c r="K477" t="s">
        <v>2276</v>
      </c>
      <c r="L477" t="s">
        <v>25</v>
      </c>
      <c r="M477">
        <v>98405</v>
      </c>
      <c r="N477" t="s">
        <v>2840</v>
      </c>
      <c r="O477" t="s">
        <v>2841</v>
      </c>
      <c r="P477" t="s">
        <v>2842</v>
      </c>
      <c r="Q477" t="s">
        <v>2264</v>
      </c>
      <c r="R477" t="s">
        <v>2265</v>
      </c>
      <c r="S477" t="s">
        <v>58</v>
      </c>
    </row>
    <row r="478" spans="1:19" x14ac:dyDescent="0.45">
      <c r="A478" t="str">
        <f>"32801"</f>
        <v>32801</v>
      </c>
      <c r="B478" t="s">
        <v>1108</v>
      </c>
      <c r="C478" t="str">
        <f>"32361"</f>
        <v>32361</v>
      </c>
      <c r="D478" t="s">
        <v>2464</v>
      </c>
      <c r="E478" t="str">
        <f>"5432"</f>
        <v>5432</v>
      </c>
      <c r="F478" t="s">
        <v>2843</v>
      </c>
      <c r="G478">
        <v>7</v>
      </c>
      <c r="H478">
        <v>12</v>
      </c>
      <c r="I478" t="s">
        <v>2844</v>
      </c>
      <c r="K478" t="s">
        <v>2365</v>
      </c>
      <c r="L478" t="s">
        <v>25</v>
      </c>
      <c r="M478">
        <v>99216</v>
      </c>
      <c r="N478" t="s">
        <v>2845</v>
      </c>
      <c r="O478" t="s">
        <v>2846</v>
      </c>
      <c r="P478" t="s">
        <v>2847</v>
      </c>
      <c r="Q478" t="s">
        <v>157</v>
      </c>
      <c r="R478" t="s">
        <v>158</v>
      </c>
      <c r="S478" t="s">
        <v>330</v>
      </c>
    </row>
    <row r="479" spans="1:19" x14ac:dyDescent="0.45">
      <c r="A479" t="str">
        <f>"32801"</f>
        <v>32801</v>
      </c>
      <c r="B479" t="s">
        <v>1108</v>
      </c>
      <c r="C479" t="str">
        <f>"32361"</f>
        <v>32361</v>
      </c>
      <c r="D479" t="s">
        <v>2464</v>
      </c>
      <c r="E479" t="str">
        <f>"5433"</f>
        <v>5433</v>
      </c>
      <c r="F479" t="s">
        <v>2848</v>
      </c>
      <c r="G479" t="s">
        <v>70</v>
      </c>
      <c r="H479">
        <v>12</v>
      </c>
      <c r="I479" t="s">
        <v>2849</v>
      </c>
      <c r="K479" t="s">
        <v>2365</v>
      </c>
      <c r="L479" t="s">
        <v>25</v>
      </c>
      <c r="M479">
        <v>99216</v>
      </c>
      <c r="N479" t="s">
        <v>2850</v>
      </c>
      <c r="O479" t="s">
        <v>2851</v>
      </c>
      <c r="P479" t="s">
        <v>2852</v>
      </c>
      <c r="Q479" t="s">
        <v>157</v>
      </c>
      <c r="R479" t="s">
        <v>158</v>
      </c>
      <c r="S479" t="s">
        <v>330</v>
      </c>
    </row>
    <row r="480" spans="1:19" x14ac:dyDescent="0.45">
      <c r="A480" t="str">
        <f>"OSPI"</f>
        <v>OSPI</v>
      </c>
      <c r="B480" t="s">
        <v>1763</v>
      </c>
      <c r="C480" t="str">
        <f>"32801"</f>
        <v>32801</v>
      </c>
      <c r="D480" t="s">
        <v>1108</v>
      </c>
      <c r="E480" t="str">
        <f>"5434"</f>
        <v>5434</v>
      </c>
      <c r="F480" t="s">
        <v>2853</v>
      </c>
      <c r="G480">
        <v>11</v>
      </c>
      <c r="H480">
        <v>12</v>
      </c>
      <c r="I480" t="s">
        <v>2854</v>
      </c>
      <c r="K480" t="s">
        <v>2246</v>
      </c>
      <c r="L480" t="s">
        <v>25</v>
      </c>
      <c r="M480">
        <v>99202</v>
      </c>
      <c r="N480" t="s">
        <v>2855</v>
      </c>
      <c r="O480" t="s">
        <v>2856</v>
      </c>
      <c r="P480" t="s">
        <v>2857</v>
      </c>
      <c r="Q480" t="s">
        <v>2264</v>
      </c>
      <c r="R480" t="s">
        <v>2265</v>
      </c>
      <c r="S480" t="s">
        <v>58</v>
      </c>
    </row>
    <row r="481" spans="1:19" x14ac:dyDescent="0.45">
      <c r="A481" t="str">
        <f>"06801"</f>
        <v>06801</v>
      </c>
      <c r="B481" t="s">
        <v>1870</v>
      </c>
      <c r="C481" t="str">
        <f>"06114"</f>
        <v>06114</v>
      </c>
      <c r="D481" t="s">
        <v>2170</v>
      </c>
      <c r="E481" t="str">
        <f>"5435"</f>
        <v>5435</v>
      </c>
      <c r="F481" t="s">
        <v>2858</v>
      </c>
      <c r="G481">
        <v>9</v>
      </c>
      <c r="H481">
        <v>12</v>
      </c>
      <c r="I481" t="s">
        <v>2859</v>
      </c>
      <c r="K481" t="s">
        <v>2029</v>
      </c>
      <c r="L481" t="s">
        <v>25</v>
      </c>
      <c r="M481">
        <v>98682</v>
      </c>
      <c r="N481" t="s">
        <v>2860</v>
      </c>
      <c r="O481" t="s">
        <v>2861</v>
      </c>
      <c r="P481" t="s">
        <v>2862</v>
      </c>
      <c r="Q481" t="s">
        <v>2264</v>
      </c>
      <c r="R481" t="s">
        <v>2265</v>
      </c>
      <c r="S481" t="s">
        <v>58</v>
      </c>
    </row>
    <row r="482" spans="1:19" x14ac:dyDescent="0.45">
      <c r="A482" t="str">
        <f>"17801"</f>
        <v>17801</v>
      </c>
      <c r="B482" t="s">
        <v>19</v>
      </c>
      <c r="C482" t="str">
        <f>"27402"</f>
        <v>27402</v>
      </c>
      <c r="D482" t="s">
        <v>2863</v>
      </c>
      <c r="E482" t="str">
        <f>"5436"</f>
        <v>5436</v>
      </c>
      <c r="F482" t="s">
        <v>2864</v>
      </c>
      <c r="G482" t="s">
        <v>22</v>
      </c>
      <c r="H482" t="s">
        <v>22</v>
      </c>
      <c r="I482" t="s">
        <v>2865</v>
      </c>
      <c r="K482" t="s">
        <v>2276</v>
      </c>
      <c r="L482" t="s">
        <v>25</v>
      </c>
      <c r="M482">
        <v>98444</v>
      </c>
      <c r="N482" t="s">
        <v>2866</v>
      </c>
      <c r="O482" t="s">
        <v>2867</v>
      </c>
      <c r="P482" t="s">
        <v>2868</v>
      </c>
      <c r="Q482" t="s">
        <v>2316</v>
      </c>
      <c r="R482" t="s">
        <v>31</v>
      </c>
      <c r="S482" t="s">
        <v>1248</v>
      </c>
    </row>
    <row r="483" spans="1:19" x14ac:dyDescent="0.45">
      <c r="A483" t="str">
        <f>"17801"</f>
        <v>17801</v>
      </c>
      <c r="B483" t="s">
        <v>19</v>
      </c>
      <c r="C483" t="str">
        <f>"17411"</f>
        <v>17411</v>
      </c>
      <c r="D483" t="s">
        <v>910</v>
      </c>
      <c r="E483" t="str">
        <f>"5437"</f>
        <v>5437</v>
      </c>
      <c r="F483" t="s">
        <v>2869</v>
      </c>
      <c r="G483">
        <v>9</v>
      </c>
      <c r="H483">
        <v>12</v>
      </c>
      <c r="I483" t="s">
        <v>2870</v>
      </c>
      <c r="J483" t="s">
        <v>311</v>
      </c>
      <c r="K483" t="s">
        <v>2871</v>
      </c>
      <c r="L483" t="s">
        <v>25</v>
      </c>
      <c r="M483">
        <v>98027</v>
      </c>
      <c r="N483" t="s">
        <v>2872</v>
      </c>
      <c r="O483" t="s">
        <v>2873</v>
      </c>
      <c r="P483" t="s">
        <v>2874</v>
      </c>
      <c r="Q483" t="s">
        <v>30</v>
      </c>
      <c r="R483" t="s">
        <v>31</v>
      </c>
      <c r="S483" t="s">
        <v>58</v>
      </c>
    </row>
    <row r="484" spans="1:19" x14ac:dyDescent="0.45">
      <c r="A484" t="str">
        <f>"11801"</f>
        <v>11801</v>
      </c>
      <c r="B484" t="s">
        <v>1122</v>
      </c>
      <c r="C484" t="str">
        <f>"03017"</f>
        <v>03017</v>
      </c>
      <c r="D484" t="s">
        <v>1235</v>
      </c>
      <c r="E484" t="str">
        <f>"5438"</f>
        <v>5438</v>
      </c>
      <c r="F484" t="s">
        <v>2875</v>
      </c>
      <c r="G484" t="s">
        <v>70</v>
      </c>
      <c r="H484">
        <v>5</v>
      </c>
      <c r="I484" t="s">
        <v>2876</v>
      </c>
      <c r="K484" t="s">
        <v>1263</v>
      </c>
      <c r="L484" t="s">
        <v>25</v>
      </c>
      <c r="M484">
        <v>99338</v>
      </c>
      <c r="N484" t="s">
        <v>2877</v>
      </c>
      <c r="O484" t="s">
        <v>2878</v>
      </c>
      <c r="P484" t="s">
        <v>2879</v>
      </c>
      <c r="Q484" t="s">
        <v>30</v>
      </c>
      <c r="R484" t="s">
        <v>31</v>
      </c>
      <c r="S484" t="s">
        <v>32</v>
      </c>
    </row>
    <row r="485" spans="1:19" x14ac:dyDescent="0.45">
      <c r="A485" t="str">
        <f>"11801"</f>
        <v>11801</v>
      </c>
      <c r="B485" t="s">
        <v>1122</v>
      </c>
      <c r="C485" t="str">
        <f>"03017"</f>
        <v>03017</v>
      </c>
      <c r="D485" t="s">
        <v>1235</v>
      </c>
      <c r="E485" t="str">
        <f>"5439"</f>
        <v>5439</v>
      </c>
      <c r="F485" t="s">
        <v>262</v>
      </c>
      <c r="G485">
        <v>6</v>
      </c>
      <c r="H485">
        <v>8</v>
      </c>
      <c r="I485" t="s">
        <v>2880</v>
      </c>
      <c r="K485" t="s">
        <v>1263</v>
      </c>
      <c r="L485" t="s">
        <v>25</v>
      </c>
      <c r="M485">
        <v>99338</v>
      </c>
      <c r="N485" t="s">
        <v>2881</v>
      </c>
      <c r="O485" t="s">
        <v>2882</v>
      </c>
      <c r="P485" t="s">
        <v>2883</v>
      </c>
      <c r="Q485" t="s">
        <v>2256</v>
      </c>
      <c r="R485" t="s">
        <v>31</v>
      </c>
      <c r="S485" t="s">
        <v>104</v>
      </c>
    </row>
    <row r="486" spans="1:19" x14ac:dyDescent="0.45">
      <c r="A486" t="str">
        <f>"17801"</f>
        <v>17801</v>
      </c>
      <c r="B486" t="s">
        <v>19</v>
      </c>
      <c r="C486" t="str">
        <f>"17415"</f>
        <v>17415</v>
      </c>
      <c r="D486" t="s">
        <v>2884</v>
      </c>
      <c r="E486" t="str">
        <f>"5440"</f>
        <v>5440</v>
      </c>
      <c r="F486" t="s">
        <v>2885</v>
      </c>
      <c r="G486">
        <v>12</v>
      </c>
      <c r="H486">
        <v>12</v>
      </c>
      <c r="I486" t="s">
        <v>2886</v>
      </c>
      <c r="K486" t="s">
        <v>2887</v>
      </c>
      <c r="L486" t="s">
        <v>25</v>
      </c>
      <c r="M486" t="s">
        <v>2888</v>
      </c>
      <c r="N486" t="s">
        <v>2889</v>
      </c>
      <c r="O486" t="s">
        <v>2890</v>
      </c>
      <c r="P486" t="s">
        <v>2891</v>
      </c>
      <c r="Q486" t="s">
        <v>66</v>
      </c>
      <c r="R486" t="s">
        <v>67</v>
      </c>
      <c r="S486" t="s">
        <v>58</v>
      </c>
    </row>
    <row r="487" spans="1:19" x14ac:dyDescent="0.45">
      <c r="A487" t="str">
        <f>"29801"</f>
        <v>29801</v>
      </c>
      <c r="B487" t="s">
        <v>2370</v>
      </c>
      <c r="C487" t="str">
        <f>"31004"</f>
        <v>31004</v>
      </c>
      <c r="D487" t="s">
        <v>2892</v>
      </c>
      <c r="E487" t="str">
        <f>"5441"</f>
        <v>5441</v>
      </c>
      <c r="F487" t="s">
        <v>2864</v>
      </c>
      <c r="G487" t="s">
        <v>22</v>
      </c>
      <c r="H487" t="s">
        <v>22</v>
      </c>
      <c r="I487" t="s">
        <v>2893</v>
      </c>
      <c r="K487" t="s">
        <v>2894</v>
      </c>
      <c r="L487" t="s">
        <v>25</v>
      </c>
      <c r="M487">
        <v>98258</v>
      </c>
      <c r="N487" t="s">
        <v>2895</v>
      </c>
      <c r="O487" t="s">
        <v>2896</v>
      </c>
      <c r="P487" t="s">
        <v>2897</v>
      </c>
      <c r="Q487" t="s">
        <v>2316</v>
      </c>
      <c r="R487" t="s">
        <v>31</v>
      </c>
      <c r="S487" t="s">
        <v>1248</v>
      </c>
    </row>
    <row r="488" spans="1:19" x14ac:dyDescent="0.45">
      <c r="A488" t="str">
        <f>"29801"</f>
        <v>29801</v>
      </c>
      <c r="B488" t="s">
        <v>2370</v>
      </c>
      <c r="C488" t="str">
        <f>"31004"</f>
        <v>31004</v>
      </c>
      <c r="D488" t="s">
        <v>2892</v>
      </c>
      <c r="E488" t="str">
        <f>"5442"</f>
        <v>5442</v>
      </c>
      <c r="F488" t="s">
        <v>2898</v>
      </c>
      <c r="G488">
        <v>8</v>
      </c>
      <c r="H488">
        <v>12</v>
      </c>
      <c r="I488" t="s">
        <v>2899</v>
      </c>
      <c r="K488" t="s">
        <v>2894</v>
      </c>
      <c r="L488" t="s">
        <v>25</v>
      </c>
      <c r="M488">
        <v>98258</v>
      </c>
      <c r="N488" t="s">
        <v>2900</v>
      </c>
      <c r="O488" t="s">
        <v>2901</v>
      </c>
      <c r="P488" t="s">
        <v>2902</v>
      </c>
      <c r="Q488" t="s">
        <v>157</v>
      </c>
      <c r="R488" t="s">
        <v>158</v>
      </c>
      <c r="S488" t="s">
        <v>58</v>
      </c>
    </row>
    <row r="489" spans="1:19" x14ac:dyDescent="0.45">
      <c r="A489" t="str">
        <f>"39801"</f>
        <v>39801</v>
      </c>
      <c r="B489" t="s">
        <v>2395</v>
      </c>
      <c r="C489" t="str">
        <f>"39120"</f>
        <v>39120</v>
      </c>
      <c r="D489" t="s">
        <v>2903</v>
      </c>
      <c r="E489" t="str">
        <f>"5443"</f>
        <v>5443</v>
      </c>
      <c r="F489" t="s">
        <v>2904</v>
      </c>
      <c r="G489">
        <v>9</v>
      </c>
      <c r="H489">
        <v>12</v>
      </c>
      <c r="I489" t="s">
        <v>2905</v>
      </c>
      <c r="K489" t="s">
        <v>2906</v>
      </c>
      <c r="L489" t="s">
        <v>25</v>
      </c>
      <c r="M489">
        <v>98935</v>
      </c>
      <c r="N489" t="s">
        <v>2907</v>
      </c>
      <c r="O489" t="s">
        <v>2908</v>
      </c>
      <c r="P489" t="s">
        <v>2909</v>
      </c>
      <c r="Q489" t="s">
        <v>2264</v>
      </c>
      <c r="R489" t="s">
        <v>2265</v>
      </c>
      <c r="S489" t="s">
        <v>58</v>
      </c>
    </row>
    <row r="490" spans="1:19" x14ac:dyDescent="0.45">
      <c r="A490" t="str">
        <f>"34801"</f>
        <v>34801</v>
      </c>
      <c r="B490" t="s">
        <v>2257</v>
      </c>
      <c r="C490" t="str">
        <f>"23311"</f>
        <v>23311</v>
      </c>
      <c r="D490" t="s">
        <v>2910</v>
      </c>
      <c r="E490" t="str">
        <f>"5444"</f>
        <v>5444</v>
      </c>
      <c r="F490" t="s">
        <v>2911</v>
      </c>
      <c r="G490" t="s">
        <v>22</v>
      </c>
      <c r="H490">
        <v>12</v>
      </c>
      <c r="I490" t="s">
        <v>2912</v>
      </c>
      <c r="K490" t="s">
        <v>2808</v>
      </c>
      <c r="L490" t="s">
        <v>25</v>
      </c>
      <c r="M490">
        <v>98541</v>
      </c>
      <c r="N490" t="s">
        <v>79</v>
      </c>
      <c r="Q490" t="s">
        <v>30</v>
      </c>
      <c r="R490" t="s">
        <v>31</v>
      </c>
      <c r="S490" t="s">
        <v>68</v>
      </c>
    </row>
    <row r="491" spans="1:19" x14ac:dyDescent="0.45">
      <c r="A491" t="str">
        <f>"34801"</f>
        <v>34801</v>
      </c>
      <c r="B491" t="s">
        <v>2257</v>
      </c>
      <c r="C491" t="str">
        <f>"23311"</f>
        <v>23311</v>
      </c>
      <c r="D491" t="s">
        <v>2910</v>
      </c>
      <c r="E491" t="str">
        <f>"5445"</f>
        <v>5445</v>
      </c>
      <c r="F491" t="s">
        <v>2913</v>
      </c>
      <c r="G491" t="s">
        <v>70</v>
      </c>
      <c r="H491">
        <v>12</v>
      </c>
      <c r="I491" t="s">
        <v>2914</v>
      </c>
      <c r="J491" t="s">
        <v>2915</v>
      </c>
      <c r="K491" t="s">
        <v>2260</v>
      </c>
      <c r="L491" t="s">
        <v>25</v>
      </c>
      <c r="M491">
        <v>98501</v>
      </c>
      <c r="N491" t="s">
        <v>79</v>
      </c>
      <c r="Q491" t="s">
        <v>2256</v>
      </c>
      <c r="R491" t="s">
        <v>31</v>
      </c>
      <c r="S491" t="s">
        <v>330</v>
      </c>
    </row>
    <row r="492" spans="1:19" x14ac:dyDescent="0.45">
      <c r="A492" t="str">
        <f>"32801"</f>
        <v>32801</v>
      </c>
      <c r="B492" t="s">
        <v>1108</v>
      </c>
      <c r="C492" t="str">
        <f>"33207"</f>
        <v>33207</v>
      </c>
      <c r="D492" t="s">
        <v>2916</v>
      </c>
      <c r="E492" t="str">
        <f>"5446"</f>
        <v>5446</v>
      </c>
      <c r="F492" t="s">
        <v>2917</v>
      </c>
      <c r="G492" t="s">
        <v>70</v>
      </c>
      <c r="H492">
        <v>12</v>
      </c>
      <c r="I492" t="s">
        <v>2918</v>
      </c>
      <c r="K492" t="s">
        <v>2919</v>
      </c>
      <c r="L492" t="s">
        <v>25</v>
      </c>
      <c r="M492">
        <v>99173</v>
      </c>
      <c r="N492" t="s">
        <v>2920</v>
      </c>
      <c r="O492" t="s">
        <v>2921</v>
      </c>
      <c r="P492" t="s">
        <v>2922</v>
      </c>
      <c r="Q492" t="s">
        <v>157</v>
      </c>
      <c r="R492" t="s">
        <v>158</v>
      </c>
      <c r="S492" t="s">
        <v>330</v>
      </c>
    </row>
    <row r="493" spans="1:19" x14ac:dyDescent="0.45">
      <c r="A493" t="str">
        <f>"17801"</f>
        <v>17801</v>
      </c>
      <c r="B493" t="s">
        <v>19</v>
      </c>
      <c r="C493" t="str">
        <f>"17400"</f>
        <v>17400</v>
      </c>
      <c r="D493" t="s">
        <v>117</v>
      </c>
      <c r="E493" t="str">
        <f>"5447"</f>
        <v>5447</v>
      </c>
      <c r="F493" t="s">
        <v>2923</v>
      </c>
      <c r="G493" t="s">
        <v>22</v>
      </c>
      <c r="H493">
        <v>5</v>
      </c>
      <c r="I493" t="s">
        <v>2924</v>
      </c>
      <c r="K493" t="s">
        <v>120</v>
      </c>
      <c r="L493" t="s">
        <v>25</v>
      </c>
      <c r="M493">
        <v>98040</v>
      </c>
      <c r="N493" t="s">
        <v>2925</v>
      </c>
      <c r="O493" t="s">
        <v>2926</v>
      </c>
      <c r="P493" t="s">
        <v>2927</v>
      </c>
      <c r="Q493" t="s">
        <v>2256</v>
      </c>
      <c r="R493" t="s">
        <v>31</v>
      </c>
      <c r="S493" t="s">
        <v>32</v>
      </c>
    </row>
    <row r="494" spans="1:19" x14ac:dyDescent="0.45">
      <c r="A494" t="str">
        <f>"29801"</f>
        <v>29801</v>
      </c>
      <c r="B494" t="s">
        <v>2370</v>
      </c>
      <c r="C494" t="str">
        <f>"37505"</f>
        <v>37505</v>
      </c>
      <c r="D494" t="s">
        <v>2928</v>
      </c>
      <c r="E494" t="str">
        <f>"5448"</f>
        <v>5448</v>
      </c>
      <c r="F494" t="s">
        <v>2929</v>
      </c>
      <c r="G494">
        <v>9</v>
      </c>
      <c r="H494">
        <v>12</v>
      </c>
      <c r="N494" t="s">
        <v>2930</v>
      </c>
      <c r="O494" t="s">
        <v>2931</v>
      </c>
      <c r="P494" t="s">
        <v>2932</v>
      </c>
      <c r="Q494" t="s">
        <v>2264</v>
      </c>
      <c r="R494" t="s">
        <v>2265</v>
      </c>
      <c r="S494" t="s">
        <v>58</v>
      </c>
    </row>
    <row r="495" spans="1:19" x14ac:dyDescent="0.45">
      <c r="A495" t="str">
        <f>"29801"</f>
        <v>29801</v>
      </c>
      <c r="B495" t="s">
        <v>2370</v>
      </c>
      <c r="C495" t="str">
        <f>"29320"</f>
        <v>29320</v>
      </c>
      <c r="D495" t="s">
        <v>2933</v>
      </c>
      <c r="E495" t="str">
        <f>"5449"</f>
        <v>5449</v>
      </c>
      <c r="F495" t="s">
        <v>2934</v>
      </c>
      <c r="G495">
        <v>10</v>
      </c>
      <c r="H495">
        <v>12</v>
      </c>
      <c r="I495" t="s">
        <v>2935</v>
      </c>
      <c r="K495" t="s">
        <v>2936</v>
      </c>
      <c r="L495" t="s">
        <v>25</v>
      </c>
      <c r="M495">
        <v>98273</v>
      </c>
      <c r="N495" t="s">
        <v>2937</v>
      </c>
      <c r="O495" t="s">
        <v>2938</v>
      </c>
      <c r="P495" t="s">
        <v>2939</v>
      </c>
      <c r="Q495" t="s">
        <v>2264</v>
      </c>
      <c r="R495" t="s">
        <v>2265</v>
      </c>
      <c r="S495" t="s">
        <v>58</v>
      </c>
    </row>
    <row r="496" spans="1:19" x14ac:dyDescent="0.45">
      <c r="A496" t="str">
        <f>"29801"</f>
        <v>29801</v>
      </c>
      <c r="B496" t="s">
        <v>2370</v>
      </c>
      <c r="C496" t="str">
        <f>"31006"</f>
        <v>31006</v>
      </c>
      <c r="D496" t="s">
        <v>2940</v>
      </c>
      <c r="E496" t="str">
        <f>"5450"</f>
        <v>5450</v>
      </c>
      <c r="F496" t="s">
        <v>2941</v>
      </c>
      <c r="G496" t="s">
        <v>70</v>
      </c>
      <c r="H496">
        <v>5</v>
      </c>
      <c r="I496" t="s">
        <v>2942</v>
      </c>
      <c r="K496" t="s">
        <v>2532</v>
      </c>
      <c r="L496" t="s">
        <v>25</v>
      </c>
      <c r="M496">
        <v>98087</v>
      </c>
      <c r="N496" t="s">
        <v>2943</v>
      </c>
      <c r="O496" t="s">
        <v>2944</v>
      </c>
      <c r="P496" t="s">
        <v>2945</v>
      </c>
      <c r="Q496" t="s">
        <v>30</v>
      </c>
      <c r="R496" t="s">
        <v>31</v>
      </c>
      <c r="S496" t="s">
        <v>32</v>
      </c>
    </row>
    <row r="497" spans="1:19" x14ac:dyDescent="0.45">
      <c r="A497" t="str">
        <f>"39801"</f>
        <v>39801</v>
      </c>
      <c r="B497" t="s">
        <v>2395</v>
      </c>
      <c r="C497" t="str">
        <f>"39003"</f>
        <v>39003</v>
      </c>
      <c r="D497" t="s">
        <v>2946</v>
      </c>
      <c r="E497" t="str">
        <f>"5451"</f>
        <v>5451</v>
      </c>
      <c r="F497" t="s">
        <v>2947</v>
      </c>
      <c r="G497" t="s">
        <v>70</v>
      </c>
      <c r="H497">
        <v>4</v>
      </c>
      <c r="I497" t="s">
        <v>2948</v>
      </c>
      <c r="K497" t="s">
        <v>2949</v>
      </c>
      <c r="L497" t="s">
        <v>25</v>
      </c>
      <c r="M497">
        <v>98937</v>
      </c>
      <c r="N497" t="s">
        <v>2950</v>
      </c>
      <c r="O497" t="s">
        <v>2951</v>
      </c>
      <c r="P497" t="s">
        <v>2952</v>
      </c>
      <c r="Q497" t="s">
        <v>30</v>
      </c>
      <c r="R497" t="s">
        <v>31</v>
      </c>
      <c r="S497" t="s">
        <v>32</v>
      </c>
    </row>
    <row r="498" spans="1:19" x14ac:dyDescent="0.45">
      <c r="A498" t="str">
        <f>"34801"</f>
        <v>34801</v>
      </c>
      <c r="B498" t="s">
        <v>2257</v>
      </c>
      <c r="C498" t="str">
        <f>"34003"</f>
        <v>34003</v>
      </c>
      <c r="D498" t="s">
        <v>2953</v>
      </c>
      <c r="E498" t="str">
        <f>"5452"</f>
        <v>5452</v>
      </c>
      <c r="F498" t="s">
        <v>2954</v>
      </c>
      <c r="G498">
        <v>6</v>
      </c>
      <c r="H498">
        <v>8</v>
      </c>
      <c r="I498" t="s">
        <v>2955</v>
      </c>
      <c r="K498" t="s">
        <v>2956</v>
      </c>
      <c r="L498" t="s">
        <v>25</v>
      </c>
      <c r="M498">
        <v>98516</v>
      </c>
      <c r="N498" t="s">
        <v>2957</v>
      </c>
      <c r="O498" t="s">
        <v>2958</v>
      </c>
      <c r="P498" t="s">
        <v>2959</v>
      </c>
      <c r="Q498" t="s">
        <v>30</v>
      </c>
      <c r="R498" t="s">
        <v>31</v>
      </c>
      <c r="S498" t="s">
        <v>104</v>
      </c>
    </row>
    <row r="499" spans="1:19" x14ac:dyDescent="0.45">
      <c r="A499" t="str">
        <f>"06801"</f>
        <v>06801</v>
      </c>
      <c r="B499" t="s">
        <v>1870</v>
      </c>
      <c r="C499" t="str">
        <f>"25101"</f>
        <v>25101</v>
      </c>
      <c r="D499" t="s">
        <v>2960</v>
      </c>
      <c r="E499" t="str">
        <f>"5454"</f>
        <v>5454</v>
      </c>
      <c r="F499" t="s">
        <v>2961</v>
      </c>
      <c r="G499">
        <v>6</v>
      </c>
      <c r="H499">
        <v>12</v>
      </c>
      <c r="I499" t="s">
        <v>2962</v>
      </c>
      <c r="K499" t="s">
        <v>2963</v>
      </c>
      <c r="L499" t="s">
        <v>25</v>
      </c>
      <c r="M499">
        <v>98631</v>
      </c>
      <c r="N499" t="s">
        <v>2964</v>
      </c>
      <c r="O499" t="s">
        <v>2965</v>
      </c>
      <c r="P499" t="s">
        <v>2966</v>
      </c>
      <c r="Q499" t="s">
        <v>157</v>
      </c>
      <c r="R499" t="s">
        <v>158</v>
      </c>
      <c r="S499" t="s">
        <v>159</v>
      </c>
    </row>
    <row r="500" spans="1:19" x14ac:dyDescent="0.45">
      <c r="A500" t="str">
        <f>"29801"</f>
        <v>29801</v>
      </c>
      <c r="B500" t="s">
        <v>2370</v>
      </c>
      <c r="C500" t="str">
        <f>"29101"</f>
        <v>29101</v>
      </c>
      <c r="D500" t="s">
        <v>2967</v>
      </c>
      <c r="E500" t="str">
        <f>"5456"</f>
        <v>5456</v>
      </c>
      <c r="F500" t="s">
        <v>2968</v>
      </c>
      <c r="G500">
        <v>9</v>
      </c>
      <c r="H500">
        <v>12</v>
      </c>
      <c r="I500" t="s">
        <v>2969</v>
      </c>
      <c r="K500" t="s">
        <v>2970</v>
      </c>
      <c r="L500" t="s">
        <v>25</v>
      </c>
      <c r="M500">
        <v>98284</v>
      </c>
      <c r="N500" t="s">
        <v>2971</v>
      </c>
      <c r="O500" t="s">
        <v>2972</v>
      </c>
      <c r="P500" t="s">
        <v>2973</v>
      </c>
      <c r="Q500" t="s">
        <v>157</v>
      </c>
      <c r="R500" t="s">
        <v>158</v>
      </c>
      <c r="S500" t="s">
        <v>58</v>
      </c>
    </row>
    <row r="501" spans="1:19" x14ac:dyDescent="0.45">
      <c r="A501" t="str">
        <f>"17801"</f>
        <v>17801</v>
      </c>
      <c r="B501" t="s">
        <v>19</v>
      </c>
      <c r="C501" t="str">
        <f>"17410"</f>
        <v>17410</v>
      </c>
      <c r="D501" t="s">
        <v>862</v>
      </c>
      <c r="E501" t="str">
        <f>"5457"</f>
        <v>5457</v>
      </c>
      <c r="F501" t="s">
        <v>2974</v>
      </c>
      <c r="G501" t="s">
        <v>70</v>
      </c>
      <c r="H501">
        <v>5</v>
      </c>
      <c r="I501" t="s">
        <v>2975</v>
      </c>
      <c r="K501" t="s">
        <v>871</v>
      </c>
      <c r="L501" t="s">
        <v>25</v>
      </c>
      <c r="M501">
        <v>98065</v>
      </c>
      <c r="N501" t="s">
        <v>2976</v>
      </c>
      <c r="O501" t="s">
        <v>2977</v>
      </c>
      <c r="P501" t="s">
        <v>2978</v>
      </c>
      <c r="Q501" t="s">
        <v>30</v>
      </c>
      <c r="R501" t="s">
        <v>31</v>
      </c>
      <c r="S501" t="s">
        <v>32</v>
      </c>
    </row>
    <row r="502" spans="1:19" x14ac:dyDescent="0.45">
      <c r="A502" t="str">
        <f>"17801"</f>
        <v>17801</v>
      </c>
      <c r="B502" t="s">
        <v>19</v>
      </c>
      <c r="C502" t="str">
        <f>"27010"</f>
        <v>27010</v>
      </c>
      <c r="D502" t="s">
        <v>2273</v>
      </c>
      <c r="E502" t="str">
        <f>"5458"</f>
        <v>5458</v>
      </c>
      <c r="F502" t="s">
        <v>2979</v>
      </c>
      <c r="G502">
        <v>9</v>
      </c>
      <c r="H502">
        <v>12</v>
      </c>
      <c r="I502" t="s">
        <v>2980</v>
      </c>
      <c r="K502" t="s">
        <v>2276</v>
      </c>
      <c r="L502" t="s">
        <v>25</v>
      </c>
      <c r="M502">
        <v>98444</v>
      </c>
      <c r="N502" t="s">
        <v>2981</v>
      </c>
      <c r="O502" t="s">
        <v>2982</v>
      </c>
      <c r="P502" t="s">
        <v>2983</v>
      </c>
      <c r="Q502" t="s">
        <v>30</v>
      </c>
      <c r="R502" t="s">
        <v>31</v>
      </c>
      <c r="S502" t="s">
        <v>58</v>
      </c>
    </row>
    <row r="503" spans="1:19" x14ac:dyDescent="0.45">
      <c r="A503" t="str">
        <f>"17801"</f>
        <v>17801</v>
      </c>
      <c r="B503" t="s">
        <v>19</v>
      </c>
      <c r="C503" t="str">
        <f>"27010"</f>
        <v>27010</v>
      </c>
      <c r="D503" t="s">
        <v>2273</v>
      </c>
      <c r="E503" t="str">
        <f>"5459"</f>
        <v>5459</v>
      </c>
      <c r="F503" t="s">
        <v>2984</v>
      </c>
      <c r="G503" t="s">
        <v>22</v>
      </c>
      <c r="H503" t="s">
        <v>22</v>
      </c>
      <c r="I503" t="s">
        <v>2985</v>
      </c>
      <c r="K503" t="s">
        <v>2276</v>
      </c>
      <c r="L503" t="s">
        <v>25</v>
      </c>
      <c r="M503">
        <v>98407</v>
      </c>
      <c r="N503" t="s">
        <v>2986</v>
      </c>
      <c r="O503" t="s">
        <v>2987</v>
      </c>
      <c r="P503" t="s">
        <v>2988</v>
      </c>
      <c r="Q503" t="s">
        <v>2316</v>
      </c>
      <c r="R503" t="s">
        <v>31</v>
      </c>
      <c r="S503" t="s">
        <v>1248</v>
      </c>
    </row>
    <row r="504" spans="1:19" x14ac:dyDescent="0.45">
      <c r="A504" t="str">
        <f>"11801"</f>
        <v>11801</v>
      </c>
      <c r="B504" t="s">
        <v>1122</v>
      </c>
      <c r="C504" t="str">
        <f>"36140"</f>
        <v>36140</v>
      </c>
      <c r="D504" t="s">
        <v>2414</v>
      </c>
      <c r="E504" t="str">
        <f>"5460"</f>
        <v>5460</v>
      </c>
      <c r="F504" t="s">
        <v>2989</v>
      </c>
      <c r="G504">
        <v>11</v>
      </c>
      <c r="H504">
        <v>12</v>
      </c>
      <c r="I504" t="s">
        <v>2990</v>
      </c>
      <c r="K504" t="s">
        <v>2991</v>
      </c>
      <c r="L504" t="s">
        <v>25</v>
      </c>
      <c r="M504">
        <v>99362</v>
      </c>
      <c r="N504" t="s">
        <v>2992</v>
      </c>
      <c r="O504" t="s">
        <v>2993</v>
      </c>
      <c r="P504" t="s">
        <v>2994</v>
      </c>
      <c r="Q504" t="s">
        <v>2264</v>
      </c>
      <c r="R504" t="s">
        <v>2265</v>
      </c>
      <c r="S504" t="s">
        <v>58</v>
      </c>
    </row>
    <row r="505" spans="1:19" x14ac:dyDescent="0.45">
      <c r="A505" t="str">
        <f>"32801"</f>
        <v>32801</v>
      </c>
      <c r="B505" t="s">
        <v>1108</v>
      </c>
      <c r="C505" t="str">
        <f>"33049"</f>
        <v>33049</v>
      </c>
      <c r="D505" t="s">
        <v>2995</v>
      </c>
      <c r="E505" t="str">
        <f>"5461"</f>
        <v>5461</v>
      </c>
      <c r="F505" t="s">
        <v>2996</v>
      </c>
      <c r="G505">
        <v>9</v>
      </c>
      <c r="H505">
        <v>12</v>
      </c>
      <c r="I505" t="s">
        <v>2997</v>
      </c>
      <c r="K505" t="s">
        <v>2998</v>
      </c>
      <c r="L505" t="s">
        <v>25</v>
      </c>
      <c r="M505">
        <v>99040</v>
      </c>
      <c r="N505" t="s">
        <v>2999</v>
      </c>
      <c r="O505" t="s">
        <v>3000</v>
      </c>
      <c r="P505" t="s">
        <v>3001</v>
      </c>
      <c r="Q505" t="s">
        <v>2264</v>
      </c>
      <c r="R505" t="s">
        <v>2265</v>
      </c>
      <c r="S505" t="s">
        <v>58</v>
      </c>
    </row>
    <row r="506" spans="1:19" x14ac:dyDescent="0.45">
      <c r="A506" t="str">
        <f>"32801"</f>
        <v>32801</v>
      </c>
      <c r="B506" t="s">
        <v>1108</v>
      </c>
      <c r="C506" t="str">
        <f>"32363"</f>
        <v>32363</v>
      </c>
      <c r="D506" t="s">
        <v>2516</v>
      </c>
      <c r="E506" t="str">
        <f>"5462"</f>
        <v>5462</v>
      </c>
      <c r="F506" t="s">
        <v>3002</v>
      </c>
      <c r="G506" t="s">
        <v>22</v>
      </c>
      <c r="H506" t="s">
        <v>22</v>
      </c>
      <c r="I506" t="s">
        <v>3003</v>
      </c>
      <c r="K506" t="s">
        <v>2365</v>
      </c>
      <c r="L506" t="s">
        <v>25</v>
      </c>
      <c r="M506">
        <v>99212</v>
      </c>
      <c r="N506" t="s">
        <v>3004</v>
      </c>
      <c r="O506" t="s">
        <v>3005</v>
      </c>
      <c r="P506" t="s">
        <v>3006</v>
      </c>
      <c r="Q506" t="s">
        <v>2316</v>
      </c>
      <c r="R506" t="s">
        <v>31</v>
      </c>
      <c r="S506" t="s">
        <v>1248</v>
      </c>
    </row>
    <row r="507" spans="1:19" x14ac:dyDescent="0.45">
      <c r="A507" t="str">
        <f>"34801"</f>
        <v>34801</v>
      </c>
      <c r="B507" t="s">
        <v>2257</v>
      </c>
      <c r="C507" t="str">
        <f>"21401"</f>
        <v>21401</v>
      </c>
      <c r="D507" t="s">
        <v>2536</v>
      </c>
      <c r="E507" t="str">
        <f>"5463"</f>
        <v>5463</v>
      </c>
      <c r="F507" t="s">
        <v>2864</v>
      </c>
      <c r="G507" t="s">
        <v>22</v>
      </c>
      <c r="H507" t="s">
        <v>22</v>
      </c>
      <c r="I507" t="s">
        <v>3007</v>
      </c>
      <c r="K507" t="s">
        <v>2539</v>
      </c>
      <c r="L507" t="s">
        <v>25</v>
      </c>
      <c r="M507">
        <v>98531</v>
      </c>
      <c r="N507" t="s">
        <v>3008</v>
      </c>
      <c r="O507" t="s">
        <v>3009</v>
      </c>
      <c r="P507" t="s">
        <v>3010</v>
      </c>
      <c r="Q507" t="s">
        <v>2316</v>
      </c>
      <c r="R507" t="s">
        <v>31</v>
      </c>
      <c r="S507" t="s">
        <v>1248</v>
      </c>
    </row>
    <row r="508" spans="1:19" x14ac:dyDescent="0.45">
      <c r="A508" t="str">
        <f>"29801"</f>
        <v>29801</v>
      </c>
      <c r="B508" t="s">
        <v>2370</v>
      </c>
      <c r="C508" t="str">
        <f>"37502"</f>
        <v>37502</v>
      </c>
      <c r="D508" t="s">
        <v>3011</v>
      </c>
      <c r="E508" t="str">
        <f>"5464"</f>
        <v>5464</v>
      </c>
      <c r="F508" t="s">
        <v>3012</v>
      </c>
      <c r="G508">
        <v>9</v>
      </c>
      <c r="H508">
        <v>12</v>
      </c>
      <c r="I508" t="s">
        <v>3013</v>
      </c>
      <c r="K508" t="s">
        <v>3014</v>
      </c>
      <c r="L508" t="s">
        <v>25</v>
      </c>
      <c r="M508">
        <v>98248</v>
      </c>
      <c r="N508" t="s">
        <v>3015</v>
      </c>
      <c r="O508" t="s">
        <v>3016</v>
      </c>
      <c r="P508" t="s">
        <v>3017</v>
      </c>
      <c r="Q508" t="s">
        <v>2264</v>
      </c>
      <c r="R508" t="s">
        <v>2265</v>
      </c>
      <c r="S508" t="s">
        <v>58</v>
      </c>
    </row>
    <row r="509" spans="1:19" x14ac:dyDescent="0.45">
      <c r="A509" t="str">
        <f>"29801"</f>
        <v>29801</v>
      </c>
      <c r="B509" t="s">
        <v>2370</v>
      </c>
      <c r="C509" t="str">
        <f>"37503"</f>
        <v>37503</v>
      </c>
      <c r="D509" t="s">
        <v>3018</v>
      </c>
      <c r="E509" t="str">
        <f>"5465"</f>
        <v>5465</v>
      </c>
      <c r="F509" t="s">
        <v>3019</v>
      </c>
      <c r="G509">
        <v>10</v>
      </c>
      <c r="H509">
        <v>12</v>
      </c>
      <c r="I509" t="s">
        <v>3018</v>
      </c>
      <c r="J509" t="s">
        <v>3020</v>
      </c>
      <c r="K509" t="s">
        <v>3021</v>
      </c>
      <c r="L509" t="s">
        <v>25</v>
      </c>
      <c r="M509">
        <v>98230</v>
      </c>
      <c r="N509" t="s">
        <v>3022</v>
      </c>
      <c r="O509" t="s">
        <v>3023</v>
      </c>
      <c r="P509" t="s">
        <v>3024</v>
      </c>
      <c r="Q509" t="s">
        <v>2502</v>
      </c>
      <c r="R509" t="s">
        <v>2265</v>
      </c>
      <c r="S509" t="s">
        <v>58</v>
      </c>
    </row>
    <row r="510" spans="1:19" x14ac:dyDescent="0.45">
      <c r="A510" t="str">
        <f>"29801"</f>
        <v>29801</v>
      </c>
      <c r="B510" t="s">
        <v>2370</v>
      </c>
      <c r="C510" t="str">
        <f>"37504"</f>
        <v>37504</v>
      </c>
      <c r="D510" t="s">
        <v>3025</v>
      </c>
      <c r="E510" t="str">
        <f>"5466"</f>
        <v>5466</v>
      </c>
      <c r="F510" t="s">
        <v>3026</v>
      </c>
      <c r="G510">
        <v>9</v>
      </c>
      <c r="H510">
        <v>12</v>
      </c>
      <c r="I510" t="s">
        <v>3027</v>
      </c>
      <c r="K510" t="s">
        <v>3028</v>
      </c>
      <c r="L510" t="s">
        <v>25</v>
      </c>
      <c r="M510">
        <v>98264</v>
      </c>
      <c r="N510" t="s">
        <v>3029</v>
      </c>
      <c r="O510" t="s">
        <v>3030</v>
      </c>
      <c r="P510" t="s">
        <v>3031</v>
      </c>
      <c r="Q510" t="s">
        <v>2264</v>
      </c>
      <c r="R510" t="s">
        <v>2265</v>
      </c>
      <c r="S510" t="s">
        <v>58</v>
      </c>
    </row>
    <row r="511" spans="1:19" x14ac:dyDescent="0.45">
      <c r="A511" t="str">
        <f>"06801"</f>
        <v>06801</v>
      </c>
      <c r="B511" t="s">
        <v>1870</v>
      </c>
      <c r="C511" t="str">
        <f>"06701"</f>
        <v>06701</v>
      </c>
      <c r="D511" t="s">
        <v>3032</v>
      </c>
      <c r="E511" t="str">
        <f>"5467"</f>
        <v>5467</v>
      </c>
      <c r="F511" t="s">
        <v>3033</v>
      </c>
      <c r="G511" t="s">
        <v>22</v>
      </c>
      <c r="H511">
        <v>12</v>
      </c>
      <c r="I511" t="s">
        <v>2724</v>
      </c>
      <c r="K511" t="s">
        <v>2029</v>
      </c>
      <c r="L511" t="s">
        <v>25</v>
      </c>
      <c r="M511">
        <v>98661</v>
      </c>
      <c r="N511" t="s">
        <v>3034</v>
      </c>
      <c r="O511" t="s">
        <v>3035</v>
      </c>
      <c r="P511" t="s">
        <v>3036</v>
      </c>
      <c r="Q511" t="s">
        <v>66</v>
      </c>
      <c r="R511" t="s">
        <v>67</v>
      </c>
      <c r="S511" t="s">
        <v>68</v>
      </c>
    </row>
    <row r="512" spans="1:19" x14ac:dyDescent="0.45">
      <c r="A512" t="str">
        <f>"34950"</f>
        <v>34950</v>
      </c>
      <c r="B512" t="s">
        <v>2626</v>
      </c>
      <c r="C512" t="str">
        <f>"17910"</f>
        <v>17910</v>
      </c>
      <c r="D512" t="s">
        <v>3037</v>
      </c>
      <c r="E512" t="str">
        <f>"5468"</f>
        <v>5468</v>
      </c>
      <c r="F512" t="s">
        <v>3038</v>
      </c>
      <c r="G512">
        <v>6</v>
      </c>
      <c r="H512">
        <v>10</v>
      </c>
      <c r="I512" t="s">
        <v>3039</v>
      </c>
      <c r="K512" t="s">
        <v>152</v>
      </c>
      <c r="L512" t="s">
        <v>25</v>
      </c>
      <c r="M512">
        <v>98118</v>
      </c>
      <c r="N512" t="s">
        <v>3040</v>
      </c>
      <c r="O512" t="s">
        <v>3041</v>
      </c>
      <c r="P512" t="s">
        <v>3042</v>
      </c>
      <c r="Q512" t="s">
        <v>2436</v>
      </c>
      <c r="R512" t="s">
        <v>31</v>
      </c>
      <c r="S512" t="s">
        <v>159</v>
      </c>
    </row>
    <row r="513" spans="1:19" x14ac:dyDescent="0.45">
      <c r="A513" t="str">
        <f>"34950"</f>
        <v>34950</v>
      </c>
      <c r="B513" t="s">
        <v>2626</v>
      </c>
      <c r="C513" t="str">
        <f>"17905"</f>
        <v>17905</v>
      </c>
      <c r="D513" t="s">
        <v>3043</v>
      </c>
      <c r="E513" t="str">
        <f>"5469"</f>
        <v>5469</v>
      </c>
      <c r="F513" t="s">
        <v>3043</v>
      </c>
      <c r="G513">
        <v>6</v>
      </c>
      <c r="H513">
        <v>12</v>
      </c>
      <c r="I513" t="s">
        <v>3044</v>
      </c>
      <c r="K513" t="s">
        <v>152</v>
      </c>
      <c r="L513" t="s">
        <v>25</v>
      </c>
      <c r="M513">
        <v>98126</v>
      </c>
      <c r="N513" t="s">
        <v>3045</v>
      </c>
      <c r="O513" t="s">
        <v>3046</v>
      </c>
      <c r="P513" t="s">
        <v>3047</v>
      </c>
      <c r="Q513" t="s">
        <v>2436</v>
      </c>
      <c r="R513" t="s">
        <v>31</v>
      </c>
      <c r="S513" t="s">
        <v>159</v>
      </c>
    </row>
    <row r="514" spans="1:19" x14ac:dyDescent="0.45">
      <c r="A514" t="str">
        <f>"34950"</f>
        <v>34950</v>
      </c>
      <c r="B514" t="s">
        <v>2626</v>
      </c>
      <c r="C514" t="str">
        <f>"36901"</f>
        <v>36901</v>
      </c>
      <c r="D514" t="s">
        <v>3048</v>
      </c>
      <c r="E514" t="str">
        <f>"5470"</f>
        <v>5470</v>
      </c>
      <c r="F514" t="s">
        <v>3049</v>
      </c>
      <c r="G514">
        <v>6</v>
      </c>
      <c r="H514">
        <v>8</v>
      </c>
      <c r="I514" t="s">
        <v>3050</v>
      </c>
      <c r="K514" t="s">
        <v>2991</v>
      </c>
      <c r="L514" t="s">
        <v>25</v>
      </c>
      <c r="M514">
        <v>99362</v>
      </c>
      <c r="N514" t="s">
        <v>3051</v>
      </c>
      <c r="O514" t="s">
        <v>3052</v>
      </c>
      <c r="P514" t="s">
        <v>2435</v>
      </c>
      <c r="Q514" t="s">
        <v>2436</v>
      </c>
      <c r="R514" t="s">
        <v>31</v>
      </c>
      <c r="S514" t="s">
        <v>104</v>
      </c>
    </row>
    <row r="515" spans="1:19" x14ac:dyDescent="0.45">
      <c r="A515" t="str">
        <f>"17801"</f>
        <v>17801</v>
      </c>
      <c r="B515" t="s">
        <v>19</v>
      </c>
      <c r="C515" t="str">
        <f>"27403"</f>
        <v>27403</v>
      </c>
      <c r="D515" t="s">
        <v>2606</v>
      </c>
      <c r="E515" t="str">
        <f>"5471"</f>
        <v>5471</v>
      </c>
      <c r="F515" t="s">
        <v>3053</v>
      </c>
      <c r="G515" t="s">
        <v>70</v>
      </c>
      <c r="H515">
        <v>5</v>
      </c>
      <c r="I515" t="s">
        <v>3054</v>
      </c>
      <c r="K515" t="s">
        <v>2347</v>
      </c>
      <c r="L515" t="s">
        <v>25</v>
      </c>
      <c r="M515">
        <v>98375</v>
      </c>
      <c r="N515" t="s">
        <v>3055</v>
      </c>
      <c r="O515" t="s">
        <v>3056</v>
      </c>
      <c r="P515" t="s">
        <v>3057</v>
      </c>
      <c r="Q515" t="s">
        <v>30</v>
      </c>
      <c r="R515" t="s">
        <v>31</v>
      </c>
      <c r="S515" t="s">
        <v>32</v>
      </c>
    </row>
    <row r="516" spans="1:19" x14ac:dyDescent="0.45">
      <c r="A516" t="str">
        <f>"18801"</f>
        <v>18801</v>
      </c>
      <c r="B516" t="s">
        <v>1731</v>
      </c>
      <c r="C516" t="str">
        <f>"18401"</f>
        <v>18401</v>
      </c>
      <c r="D516" t="s">
        <v>3058</v>
      </c>
      <c r="E516" t="str">
        <f>"5472"</f>
        <v>5472</v>
      </c>
      <c r="F516" t="s">
        <v>3059</v>
      </c>
      <c r="G516" t="s">
        <v>70</v>
      </c>
      <c r="H516">
        <v>12</v>
      </c>
      <c r="I516" t="s">
        <v>3060</v>
      </c>
      <c r="K516" t="s">
        <v>3061</v>
      </c>
      <c r="L516" t="s">
        <v>25</v>
      </c>
      <c r="M516">
        <v>98383</v>
      </c>
      <c r="N516" t="s">
        <v>3062</v>
      </c>
      <c r="O516" t="s">
        <v>3063</v>
      </c>
      <c r="P516" t="s">
        <v>3064</v>
      </c>
      <c r="Q516" t="s">
        <v>157</v>
      </c>
      <c r="R516" t="s">
        <v>158</v>
      </c>
      <c r="S516" t="s">
        <v>330</v>
      </c>
    </row>
    <row r="517" spans="1:19" x14ac:dyDescent="0.45">
      <c r="A517" t="str">
        <f>"17801"</f>
        <v>17801</v>
      </c>
      <c r="B517" t="s">
        <v>19</v>
      </c>
      <c r="C517" t="str">
        <f>"17210"</f>
        <v>17210</v>
      </c>
      <c r="D517" t="s">
        <v>20</v>
      </c>
      <c r="E517" t="str">
        <f>"5473"</f>
        <v>5473</v>
      </c>
      <c r="F517" t="s">
        <v>3065</v>
      </c>
      <c r="G517">
        <v>6</v>
      </c>
      <c r="H517">
        <v>12</v>
      </c>
      <c r="I517" t="s">
        <v>3066</v>
      </c>
      <c r="K517" t="s">
        <v>2472</v>
      </c>
      <c r="L517" t="s">
        <v>25</v>
      </c>
      <c r="M517">
        <v>98023</v>
      </c>
      <c r="N517" t="s">
        <v>3067</v>
      </c>
      <c r="O517" t="s">
        <v>3068</v>
      </c>
      <c r="P517" t="s">
        <v>3069</v>
      </c>
      <c r="Q517" t="s">
        <v>30</v>
      </c>
      <c r="R517" t="s">
        <v>31</v>
      </c>
      <c r="S517" t="s">
        <v>159</v>
      </c>
    </row>
    <row r="518" spans="1:19" x14ac:dyDescent="0.45">
      <c r="A518" t="str">
        <f>"29801"</f>
        <v>29801</v>
      </c>
      <c r="B518" t="s">
        <v>2370</v>
      </c>
      <c r="C518" t="str">
        <f>"37502"</f>
        <v>37502</v>
      </c>
      <c r="D518" t="s">
        <v>3011</v>
      </c>
      <c r="E518" t="str">
        <f>"5474"</f>
        <v>5474</v>
      </c>
      <c r="F518" t="s">
        <v>3070</v>
      </c>
      <c r="G518" t="s">
        <v>70</v>
      </c>
      <c r="H518">
        <v>10</v>
      </c>
      <c r="I518" t="s">
        <v>3071</v>
      </c>
      <c r="K518" t="s">
        <v>3072</v>
      </c>
      <c r="L518" t="s">
        <v>25</v>
      </c>
      <c r="M518">
        <v>98248</v>
      </c>
      <c r="N518" t="s">
        <v>3015</v>
      </c>
      <c r="O518" t="s">
        <v>3016</v>
      </c>
      <c r="P518" t="s">
        <v>3073</v>
      </c>
      <c r="Q518" t="s">
        <v>157</v>
      </c>
      <c r="R518" t="s">
        <v>158</v>
      </c>
      <c r="S518" t="s">
        <v>159</v>
      </c>
    </row>
    <row r="519" spans="1:19" x14ac:dyDescent="0.45">
      <c r="A519" t="str">
        <f>"29801"</f>
        <v>29801</v>
      </c>
      <c r="B519" t="s">
        <v>2370</v>
      </c>
      <c r="C519" t="str">
        <f>"31004"</f>
        <v>31004</v>
      </c>
      <c r="D519" t="s">
        <v>2892</v>
      </c>
      <c r="E519" t="str">
        <f>"5477"</f>
        <v>5477</v>
      </c>
      <c r="F519" t="s">
        <v>3074</v>
      </c>
      <c r="G519" t="s">
        <v>70</v>
      </c>
      <c r="H519">
        <v>5</v>
      </c>
      <c r="I519" t="s">
        <v>3075</v>
      </c>
      <c r="K519" t="s">
        <v>2894</v>
      </c>
      <c r="L519" t="s">
        <v>25</v>
      </c>
      <c r="M519">
        <v>98258</v>
      </c>
      <c r="N519" t="s">
        <v>3076</v>
      </c>
      <c r="O519" t="s">
        <v>3077</v>
      </c>
      <c r="P519" t="s">
        <v>3078</v>
      </c>
      <c r="Q519" t="s">
        <v>30</v>
      </c>
      <c r="R519" t="s">
        <v>31</v>
      </c>
      <c r="S519" t="s">
        <v>32</v>
      </c>
    </row>
    <row r="520" spans="1:19" x14ac:dyDescent="0.45">
      <c r="A520" t="str">
        <f>"29801"</f>
        <v>29801</v>
      </c>
      <c r="B520" t="s">
        <v>2370</v>
      </c>
      <c r="C520" t="str">
        <f>"31025"</f>
        <v>31025</v>
      </c>
      <c r="D520" t="s">
        <v>2483</v>
      </c>
      <c r="E520" t="str">
        <f>"5478"</f>
        <v>5478</v>
      </c>
      <c r="F520" t="s">
        <v>3079</v>
      </c>
      <c r="G520">
        <v>9</v>
      </c>
      <c r="H520">
        <v>12</v>
      </c>
      <c r="I520" t="s">
        <v>3080</v>
      </c>
      <c r="K520" t="s">
        <v>2744</v>
      </c>
      <c r="L520" t="s">
        <v>25</v>
      </c>
      <c r="M520">
        <v>98270</v>
      </c>
      <c r="N520" t="s">
        <v>3081</v>
      </c>
      <c r="O520" t="s">
        <v>3082</v>
      </c>
      <c r="P520" t="s">
        <v>3083</v>
      </c>
      <c r="Q520" t="s">
        <v>30</v>
      </c>
      <c r="R520" t="s">
        <v>31</v>
      </c>
      <c r="S520" t="s">
        <v>58</v>
      </c>
    </row>
    <row r="521" spans="1:19" x14ac:dyDescent="0.45">
      <c r="A521" t="str">
        <f>"06801"</f>
        <v>06801</v>
      </c>
      <c r="B521" t="s">
        <v>1870</v>
      </c>
      <c r="C521" t="str">
        <f>"30031"</f>
        <v>30031</v>
      </c>
      <c r="D521" t="s">
        <v>3084</v>
      </c>
      <c r="E521" t="str">
        <f>"5480"</f>
        <v>5480</v>
      </c>
      <c r="F521" t="s">
        <v>3085</v>
      </c>
      <c r="G521">
        <v>9</v>
      </c>
      <c r="H521">
        <v>12</v>
      </c>
      <c r="I521" t="s">
        <v>3086</v>
      </c>
      <c r="K521" t="s">
        <v>3087</v>
      </c>
      <c r="L521" t="s">
        <v>25</v>
      </c>
      <c r="M521">
        <v>98605</v>
      </c>
      <c r="N521" t="s">
        <v>3088</v>
      </c>
      <c r="O521" t="s">
        <v>3089</v>
      </c>
      <c r="P521" t="s">
        <v>3090</v>
      </c>
      <c r="Q521" t="s">
        <v>2256</v>
      </c>
      <c r="R521" t="s">
        <v>31</v>
      </c>
      <c r="S521" t="s">
        <v>58</v>
      </c>
    </row>
    <row r="522" spans="1:19" x14ac:dyDescent="0.45">
      <c r="A522" t="str">
        <f>"17801"</f>
        <v>17801</v>
      </c>
      <c r="B522" t="s">
        <v>19</v>
      </c>
      <c r="C522" t="str">
        <f>"17417"</f>
        <v>17417</v>
      </c>
      <c r="D522" t="s">
        <v>2386</v>
      </c>
      <c r="E522" t="str">
        <f>"5481"</f>
        <v>5481</v>
      </c>
      <c r="F522" t="s">
        <v>3091</v>
      </c>
      <c r="G522">
        <v>9</v>
      </c>
      <c r="H522">
        <v>12</v>
      </c>
      <c r="I522" t="s">
        <v>3092</v>
      </c>
      <c r="K522" t="s">
        <v>2389</v>
      </c>
      <c r="L522" t="s">
        <v>25</v>
      </c>
      <c r="M522">
        <v>98012</v>
      </c>
      <c r="N522" t="s">
        <v>3093</v>
      </c>
      <c r="O522" t="s">
        <v>3094</v>
      </c>
      <c r="P522" t="s">
        <v>3095</v>
      </c>
      <c r="Q522" t="s">
        <v>30</v>
      </c>
      <c r="R522" t="s">
        <v>31</v>
      </c>
      <c r="S522" t="s">
        <v>58</v>
      </c>
    </row>
    <row r="523" spans="1:19" x14ac:dyDescent="0.45">
      <c r="A523" t="str">
        <f>"29801"</f>
        <v>29801</v>
      </c>
      <c r="B523" t="s">
        <v>2370</v>
      </c>
      <c r="C523" t="str">
        <f>"31006"</f>
        <v>31006</v>
      </c>
      <c r="D523" t="s">
        <v>2940</v>
      </c>
      <c r="E523" t="str">
        <f>"5482"</f>
        <v>5482</v>
      </c>
      <c r="F523" t="s">
        <v>3096</v>
      </c>
      <c r="G523" t="s">
        <v>70</v>
      </c>
      <c r="H523" t="s">
        <v>70</v>
      </c>
      <c r="I523" t="s">
        <v>3097</v>
      </c>
      <c r="J523" t="s">
        <v>3098</v>
      </c>
      <c r="K523" t="s">
        <v>2381</v>
      </c>
      <c r="L523" t="s">
        <v>25</v>
      </c>
      <c r="M523">
        <v>98204</v>
      </c>
      <c r="N523" t="s">
        <v>3099</v>
      </c>
      <c r="O523" t="s">
        <v>3100</v>
      </c>
      <c r="P523" t="s">
        <v>3101</v>
      </c>
      <c r="Q523" t="s">
        <v>30</v>
      </c>
      <c r="R523" t="s">
        <v>31</v>
      </c>
      <c r="S523" t="s">
        <v>32</v>
      </c>
    </row>
    <row r="524" spans="1:19" x14ac:dyDescent="0.45">
      <c r="A524" t="str">
        <f>"11801"</f>
        <v>11801</v>
      </c>
      <c r="B524" t="s">
        <v>1122</v>
      </c>
      <c r="C524" t="str">
        <f>"11001"</f>
        <v>11001</v>
      </c>
      <c r="D524" t="s">
        <v>2457</v>
      </c>
      <c r="E524" t="str">
        <f>"5483"</f>
        <v>5483</v>
      </c>
      <c r="F524" t="s">
        <v>3102</v>
      </c>
      <c r="G524" t="s">
        <v>22</v>
      </c>
      <c r="H524" t="s">
        <v>22</v>
      </c>
      <c r="I524" t="s">
        <v>3103</v>
      </c>
      <c r="K524" t="s">
        <v>2460</v>
      </c>
      <c r="L524" t="s">
        <v>25</v>
      </c>
      <c r="M524">
        <v>99301</v>
      </c>
      <c r="N524" t="s">
        <v>3104</v>
      </c>
      <c r="O524" t="s">
        <v>3105</v>
      </c>
      <c r="P524" t="s">
        <v>3106</v>
      </c>
      <c r="Q524" t="s">
        <v>2316</v>
      </c>
      <c r="R524" t="s">
        <v>31</v>
      </c>
      <c r="S524" t="s">
        <v>1248</v>
      </c>
    </row>
    <row r="525" spans="1:19" x14ac:dyDescent="0.45">
      <c r="A525" t="str">
        <f t="shared" ref="A525:A531" si="29">"17801"</f>
        <v>17801</v>
      </c>
      <c r="B525" t="s">
        <v>19</v>
      </c>
      <c r="C525" t="str">
        <f>"17403"</f>
        <v>17403</v>
      </c>
      <c r="D525" t="s">
        <v>344</v>
      </c>
      <c r="E525" t="str">
        <f>"5484"</f>
        <v>5484</v>
      </c>
      <c r="F525" t="s">
        <v>3107</v>
      </c>
      <c r="G525">
        <v>6</v>
      </c>
      <c r="H525">
        <v>8</v>
      </c>
      <c r="I525" t="s">
        <v>3108</v>
      </c>
      <c r="K525" t="s">
        <v>425</v>
      </c>
      <c r="L525" t="s">
        <v>25</v>
      </c>
      <c r="M525">
        <v>98056</v>
      </c>
      <c r="N525" t="s">
        <v>3109</v>
      </c>
      <c r="O525" t="s">
        <v>3110</v>
      </c>
      <c r="P525" t="s">
        <v>3111</v>
      </c>
      <c r="Q525" t="s">
        <v>30</v>
      </c>
      <c r="R525" t="s">
        <v>31</v>
      </c>
      <c r="S525" t="s">
        <v>104</v>
      </c>
    </row>
    <row r="526" spans="1:19" x14ac:dyDescent="0.45">
      <c r="A526" t="str">
        <f t="shared" si="29"/>
        <v>17801</v>
      </c>
      <c r="B526" t="s">
        <v>19</v>
      </c>
      <c r="C526" t="str">
        <f>"17001"</f>
        <v>17001</v>
      </c>
      <c r="D526" t="s">
        <v>2209</v>
      </c>
      <c r="E526" t="str">
        <f>"5485"</f>
        <v>5485</v>
      </c>
      <c r="F526" t="s">
        <v>3112</v>
      </c>
      <c r="G526">
        <v>6</v>
      </c>
      <c r="H526">
        <v>8</v>
      </c>
      <c r="I526" t="s">
        <v>3113</v>
      </c>
      <c r="K526" t="s">
        <v>152</v>
      </c>
      <c r="L526" t="s">
        <v>25</v>
      </c>
      <c r="M526" t="s">
        <v>3114</v>
      </c>
      <c r="N526" t="s">
        <v>3115</v>
      </c>
      <c r="O526" t="s">
        <v>3116</v>
      </c>
      <c r="P526" t="s">
        <v>3117</v>
      </c>
      <c r="Q526" t="s">
        <v>30</v>
      </c>
      <c r="R526" t="s">
        <v>31</v>
      </c>
      <c r="S526" t="s">
        <v>104</v>
      </c>
    </row>
    <row r="527" spans="1:19" x14ac:dyDescent="0.45">
      <c r="A527" t="str">
        <f t="shared" si="29"/>
        <v>17801</v>
      </c>
      <c r="B527" t="s">
        <v>19</v>
      </c>
      <c r="C527" t="str">
        <f>"17001"</f>
        <v>17001</v>
      </c>
      <c r="D527" t="s">
        <v>2209</v>
      </c>
      <c r="E527" t="str">
        <f>"5486"</f>
        <v>5486</v>
      </c>
      <c r="F527" t="s">
        <v>3118</v>
      </c>
      <c r="G527">
        <v>6</v>
      </c>
      <c r="H527">
        <v>8</v>
      </c>
      <c r="I527" t="s">
        <v>3119</v>
      </c>
      <c r="K527" t="s">
        <v>152</v>
      </c>
      <c r="L527" t="s">
        <v>25</v>
      </c>
      <c r="M527" t="s">
        <v>3120</v>
      </c>
      <c r="N527" t="s">
        <v>3121</v>
      </c>
      <c r="O527" t="s">
        <v>3122</v>
      </c>
      <c r="P527" t="s">
        <v>3123</v>
      </c>
      <c r="Q527" t="s">
        <v>30</v>
      </c>
      <c r="R527" t="s">
        <v>31</v>
      </c>
      <c r="S527" t="s">
        <v>104</v>
      </c>
    </row>
    <row r="528" spans="1:19" x14ac:dyDescent="0.45">
      <c r="A528" t="str">
        <f t="shared" si="29"/>
        <v>17801</v>
      </c>
      <c r="B528" t="s">
        <v>19</v>
      </c>
      <c r="C528" t="str">
        <f>"17001"</f>
        <v>17001</v>
      </c>
      <c r="D528" t="s">
        <v>2209</v>
      </c>
      <c r="E528" t="str">
        <f>"5487"</f>
        <v>5487</v>
      </c>
      <c r="F528" t="s">
        <v>3124</v>
      </c>
      <c r="G528" t="s">
        <v>22</v>
      </c>
      <c r="H528">
        <v>5</v>
      </c>
      <c r="I528" t="s">
        <v>3125</v>
      </c>
      <c r="K528" t="s">
        <v>152</v>
      </c>
      <c r="L528" t="s">
        <v>25</v>
      </c>
      <c r="M528" t="s">
        <v>3126</v>
      </c>
      <c r="N528" t="s">
        <v>3127</v>
      </c>
      <c r="O528" t="s">
        <v>3128</v>
      </c>
      <c r="P528" t="s">
        <v>3129</v>
      </c>
      <c r="Q528" t="s">
        <v>30</v>
      </c>
      <c r="R528" t="s">
        <v>31</v>
      </c>
      <c r="S528" t="s">
        <v>32</v>
      </c>
    </row>
    <row r="529" spans="1:19" x14ac:dyDescent="0.45">
      <c r="A529" t="str">
        <f t="shared" si="29"/>
        <v>17801</v>
      </c>
      <c r="B529" t="s">
        <v>19</v>
      </c>
      <c r="C529" t="str">
        <f>"17001"</f>
        <v>17001</v>
      </c>
      <c r="D529" t="s">
        <v>2209</v>
      </c>
      <c r="E529" t="str">
        <f>"5488"</f>
        <v>5488</v>
      </c>
      <c r="F529" t="s">
        <v>3130</v>
      </c>
      <c r="G529" t="s">
        <v>70</v>
      </c>
      <c r="H529">
        <v>5</v>
      </c>
      <c r="I529" t="s">
        <v>3131</v>
      </c>
      <c r="K529" t="s">
        <v>152</v>
      </c>
      <c r="L529" t="s">
        <v>25</v>
      </c>
      <c r="M529">
        <v>98115</v>
      </c>
      <c r="N529" t="s">
        <v>3132</v>
      </c>
      <c r="O529" t="s">
        <v>3133</v>
      </c>
      <c r="P529" t="s">
        <v>3134</v>
      </c>
      <c r="Q529" t="s">
        <v>30</v>
      </c>
      <c r="R529" t="s">
        <v>31</v>
      </c>
      <c r="S529" t="s">
        <v>32</v>
      </c>
    </row>
    <row r="530" spans="1:19" x14ac:dyDescent="0.45">
      <c r="A530" t="str">
        <f t="shared" si="29"/>
        <v>17801</v>
      </c>
      <c r="B530" t="s">
        <v>19</v>
      </c>
      <c r="C530" t="str">
        <f>"17409"</f>
        <v>17409</v>
      </c>
      <c r="D530" t="s">
        <v>819</v>
      </c>
      <c r="E530" t="str">
        <f>"5489"</f>
        <v>5489</v>
      </c>
      <c r="F530" t="s">
        <v>3135</v>
      </c>
      <c r="G530" t="s">
        <v>22</v>
      </c>
      <c r="H530">
        <v>5</v>
      </c>
      <c r="I530" t="s">
        <v>3136</v>
      </c>
      <c r="K530" t="s">
        <v>822</v>
      </c>
      <c r="L530" t="s">
        <v>25</v>
      </c>
      <c r="M530">
        <v>98038</v>
      </c>
      <c r="N530" t="s">
        <v>3137</v>
      </c>
      <c r="O530" t="s">
        <v>3138</v>
      </c>
      <c r="P530" t="s">
        <v>3139</v>
      </c>
      <c r="Q530" t="s">
        <v>30</v>
      </c>
      <c r="R530" t="s">
        <v>31</v>
      </c>
      <c r="S530" t="s">
        <v>32</v>
      </c>
    </row>
    <row r="531" spans="1:19" x14ac:dyDescent="0.45">
      <c r="A531" t="str">
        <f t="shared" si="29"/>
        <v>17801</v>
      </c>
      <c r="B531" t="s">
        <v>19</v>
      </c>
      <c r="C531" t="str">
        <f>"17409"</f>
        <v>17409</v>
      </c>
      <c r="D531" t="s">
        <v>819</v>
      </c>
      <c r="E531" t="str">
        <f>"5490"</f>
        <v>5490</v>
      </c>
      <c r="F531" t="s">
        <v>3140</v>
      </c>
      <c r="G531" t="s">
        <v>22</v>
      </c>
      <c r="H531">
        <v>5</v>
      </c>
      <c r="I531" t="s">
        <v>3141</v>
      </c>
      <c r="K531" t="s">
        <v>822</v>
      </c>
      <c r="L531" t="s">
        <v>25</v>
      </c>
      <c r="M531">
        <v>98038</v>
      </c>
      <c r="N531" t="s">
        <v>3142</v>
      </c>
      <c r="O531" t="s">
        <v>3143</v>
      </c>
      <c r="P531" t="s">
        <v>3144</v>
      </c>
      <c r="Q531" t="s">
        <v>30</v>
      </c>
      <c r="R531" t="s">
        <v>31</v>
      </c>
      <c r="S531" t="s">
        <v>32</v>
      </c>
    </row>
    <row r="532" spans="1:19" x14ac:dyDescent="0.45">
      <c r="A532" t="str">
        <f>"11801"</f>
        <v>11801</v>
      </c>
      <c r="B532" t="s">
        <v>1122</v>
      </c>
      <c r="C532" t="str">
        <f>"03400"</f>
        <v>03400</v>
      </c>
      <c r="D532" t="s">
        <v>1462</v>
      </c>
      <c r="E532" t="str">
        <f>"5493"</f>
        <v>5493</v>
      </c>
      <c r="F532" t="s">
        <v>3145</v>
      </c>
      <c r="G532">
        <v>6</v>
      </c>
      <c r="H532">
        <v>8</v>
      </c>
      <c r="I532" t="s">
        <v>3146</v>
      </c>
      <c r="K532" t="s">
        <v>1524</v>
      </c>
      <c r="L532" t="s">
        <v>25</v>
      </c>
      <c r="M532">
        <v>99353</v>
      </c>
      <c r="N532" t="s">
        <v>3147</v>
      </c>
      <c r="O532" t="s">
        <v>3148</v>
      </c>
      <c r="P532" t="s">
        <v>3149</v>
      </c>
      <c r="Q532" t="s">
        <v>30</v>
      </c>
      <c r="R532" t="s">
        <v>31</v>
      </c>
      <c r="S532" t="s">
        <v>104</v>
      </c>
    </row>
    <row r="533" spans="1:19" x14ac:dyDescent="0.45">
      <c r="A533" t="str">
        <f>"06801"</f>
        <v>06801</v>
      </c>
      <c r="B533" t="s">
        <v>1870</v>
      </c>
      <c r="C533" t="str">
        <f>"06112"</f>
        <v>06112</v>
      </c>
      <c r="D533" t="s">
        <v>2134</v>
      </c>
      <c r="E533" t="str">
        <f>"5494"</f>
        <v>5494</v>
      </c>
      <c r="F533" t="s">
        <v>3150</v>
      </c>
      <c r="G533" t="s">
        <v>22</v>
      </c>
      <c r="H533">
        <v>5</v>
      </c>
      <c r="I533" t="s">
        <v>2161</v>
      </c>
      <c r="K533" t="s">
        <v>2137</v>
      </c>
      <c r="L533" t="s">
        <v>25</v>
      </c>
      <c r="M533" t="s">
        <v>2162</v>
      </c>
      <c r="N533" t="s">
        <v>3151</v>
      </c>
      <c r="O533" t="s">
        <v>3152</v>
      </c>
      <c r="P533" t="s">
        <v>3153</v>
      </c>
      <c r="Q533" t="s">
        <v>30</v>
      </c>
      <c r="R533" t="s">
        <v>31</v>
      </c>
      <c r="S533" t="s">
        <v>32</v>
      </c>
    </row>
    <row r="534" spans="1:19" x14ac:dyDescent="0.45">
      <c r="A534" t="str">
        <f>"29801"</f>
        <v>29801</v>
      </c>
      <c r="B534" t="s">
        <v>2370</v>
      </c>
      <c r="C534" t="str">
        <f>"31016"</f>
        <v>31016</v>
      </c>
      <c r="D534" t="s">
        <v>3154</v>
      </c>
      <c r="E534" t="str">
        <f>"5495"</f>
        <v>5495</v>
      </c>
      <c r="F534" t="s">
        <v>3155</v>
      </c>
      <c r="G534">
        <v>9</v>
      </c>
      <c r="H534">
        <v>12</v>
      </c>
      <c r="I534" t="s">
        <v>3156</v>
      </c>
      <c r="K534" t="s">
        <v>3157</v>
      </c>
      <c r="L534" t="s">
        <v>25</v>
      </c>
      <c r="M534">
        <v>98223</v>
      </c>
      <c r="N534" t="s">
        <v>3158</v>
      </c>
      <c r="O534" t="s">
        <v>3159</v>
      </c>
      <c r="P534" t="s">
        <v>3160</v>
      </c>
      <c r="Q534" t="s">
        <v>2264</v>
      </c>
      <c r="R534" t="s">
        <v>2265</v>
      </c>
      <c r="S534" t="s">
        <v>58</v>
      </c>
    </row>
    <row r="535" spans="1:19" x14ac:dyDescent="0.45">
      <c r="A535" t="str">
        <f>"OSPI"</f>
        <v>OSPI</v>
      </c>
      <c r="B535" t="s">
        <v>1763</v>
      </c>
      <c r="C535" t="str">
        <f>"34901"</f>
        <v>34901</v>
      </c>
      <c r="D535" t="s">
        <v>3161</v>
      </c>
      <c r="E535" t="str">
        <f>"5496"</f>
        <v>5496</v>
      </c>
      <c r="F535" t="s">
        <v>3162</v>
      </c>
      <c r="G535" t="s">
        <v>70</v>
      </c>
      <c r="H535">
        <v>8</v>
      </c>
      <c r="I535" t="s">
        <v>3163</v>
      </c>
      <c r="K535" t="s">
        <v>3164</v>
      </c>
      <c r="L535" t="s">
        <v>25</v>
      </c>
      <c r="M535">
        <v>98513</v>
      </c>
      <c r="N535" t="s">
        <v>3165</v>
      </c>
      <c r="O535" t="s">
        <v>3166</v>
      </c>
      <c r="P535" t="s">
        <v>3167</v>
      </c>
      <c r="Q535" t="s">
        <v>2836</v>
      </c>
      <c r="R535" t="s">
        <v>2337</v>
      </c>
      <c r="S535" t="s">
        <v>159</v>
      </c>
    </row>
    <row r="536" spans="1:19" x14ac:dyDescent="0.45">
      <c r="A536" t="str">
        <f>"04801"</f>
        <v>04801</v>
      </c>
      <c r="B536" t="s">
        <v>1549</v>
      </c>
      <c r="C536" t="str">
        <f>"13165"</f>
        <v>13165</v>
      </c>
      <c r="D536" t="s">
        <v>3168</v>
      </c>
      <c r="E536" t="str">
        <f>"5497"</f>
        <v>5497</v>
      </c>
      <c r="F536" t="s">
        <v>3169</v>
      </c>
      <c r="G536">
        <v>10</v>
      </c>
      <c r="H536">
        <v>13</v>
      </c>
      <c r="I536" t="s">
        <v>3170</v>
      </c>
      <c r="K536" t="s">
        <v>3171</v>
      </c>
      <c r="L536" t="s">
        <v>25</v>
      </c>
      <c r="M536">
        <v>98823</v>
      </c>
      <c r="N536" t="s">
        <v>3172</v>
      </c>
      <c r="O536" t="s">
        <v>3173</v>
      </c>
      <c r="P536" t="s">
        <v>3174</v>
      </c>
      <c r="Q536" t="s">
        <v>2264</v>
      </c>
      <c r="R536" t="s">
        <v>2265</v>
      </c>
      <c r="S536" t="s">
        <v>58</v>
      </c>
    </row>
    <row r="537" spans="1:19" x14ac:dyDescent="0.45">
      <c r="A537" t="str">
        <f>"29801"</f>
        <v>29801</v>
      </c>
      <c r="B537" t="s">
        <v>2370</v>
      </c>
      <c r="C537" t="str">
        <f>"31006"</f>
        <v>31006</v>
      </c>
      <c r="D537" t="s">
        <v>2940</v>
      </c>
      <c r="E537" t="str">
        <f>"5498"</f>
        <v>5498</v>
      </c>
      <c r="F537" t="s">
        <v>3175</v>
      </c>
      <c r="G537">
        <v>9</v>
      </c>
      <c r="H537">
        <v>12</v>
      </c>
      <c r="I537" t="s">
        <v>3176</v>
      </c>
      <c r="K537" t="s">
        <v>2381</v>
      </c>
      <c r="L537" t="s">
        <v>25</v>
      </c>
      <c r="M537">
        <v>98204</v>
      </c>
      <c r="N537" t="s">
        <v>3177</v>
      </c>
      <c r="O537" t="s">
        <v>3178</v>
      </c>
      <c r="P537" t="s">
        <v>3179</v>
      </c>
      <c r="Q537" t="s">
        <v>2264</v>
      </c>
      <c r="R537" t="s">
        <v>2265</v>
      </c>
      <c r="S537" t="s">
        <v>58</v>
      </c>
    </row>
    <row r="538" spans="1:19" x14ac:dyDescent="0.45">
      <c r="A538" t="str">
        <f>"11801"</f>
        <v>11801</v>
      </c>
      <c r="B538" t="s">
        <v>1122</v>
      </c>
      <c r="C538" t="str">
        <f>"11051"</f>
        <v>11051</v>
      </c>
      <c r="D538" t="s">
        <v>3180</v>
      </c>
      <c r="E538" t="str">
        <f>"5499"</f>
        <v>5499</v>
      </c>
      <c r="F538" t="s">
        <v>3181</v>
      </c>
      <c r="G538">
        <v>9</v>
      </c>
      <c r="H538">
        <v>12</v>
      </c>
      <c r="I538" t="s">
        <v>3182</v>
      </c>
      <c r="K538" t="s">
        <v>3183</v>
      </c>
      <c r="L538" t="s">
        <v>25</v>
      </c>
      <c r="M538">
        <v>99326</v>
      </c>
      <c r="N538" t="s">
        <v>79</v>
      </c>
      <c r="Q538" t="s">
        <v>2264</v>
      </c>
      <c r="R538" t="s">
        <v>2265</v>
      </c>
      <c r="S538" t="s">
        <v>58</v>
      </c>
    </row>
    <row r="539" spans="1:19" x14ac:dyDescent="0.45">
      <c r="A539" t="str">
        <f>"OSPI"</f>
        <v>OSPI</v>
      </c>
      <c r="B539" t="s">
        <v>1763</v>
      </c>
      <c r="C539" t="str">
        <f>"29801"</f>
        <v>29801</v>
      </c>
      <c r="D539" t="s">
        <v>2370</v>
      </c>
      <c r="E539" t="str">
        <f>"5501"</f>
        <v>5501</v>
      </c>
      <c r="F539" t="s">
        <v>3184</v>
      </c>
      <c r="G539">
        <v>9</v>
      </c>
      <c r="H539">
        <v>12</v>
      </c>
      <c r="I539" t="s">
        <v>3185</v>
      </c>
      <c r="K539" t="s">
        <v>3186</v>
      </c>
      <c r="L539" t="s">
        <v>25</v>
      </c>
      <c r="M539">
        <v>982212276</v>
      </c>
      <c r="N539" t="s">
        <v>3187</v>
      </c>
      <c r="O539" t="s">
        <v>2746</v>
      </c>
      <c r="P539" t="s">
        <v>3188</v>
      </c>
      <c r="Q539" t="s">
        <v>2264</v>
      </c>
      <c r="R539" t="s">
        <v>2265</v>
      </c>
      <c r="S539" t="s">
        <v>58</v>
      </c>
    </row>
    <row r="540" spans="1:19" x14ac:dyDescent="0.45">
      <c r="A540" t="str">
        <f>"06801"</f>
        <v>06801</v>
      </c>
      <c r="B540" t="s">
        <v>1870</v>
      </c>
      <c r="C540" t="str">
        <f>"06119"</f>
        <v>06119</v>
      </c>
      <c r="D540" t="s">
        <v>2543</v>
      </c>
      <c r="E540" t="str">
        <f>"5502"</f>
        <v>5502</v>
      </c>
      <c r="F540" t="s">
        <v>3189</v>
      </c>
      <c r="G540">
        <v>6</v>
      </c>
      <c r="H540">
        <v>12</v>
      </c>
      <c r="I540" t="s">
        <v>3190</v>
      </c>
      <c r="K540" t="s">
        <v>2299</v>
      </c>
      <c r="L540" t="s">
        <v>25</v>
      </c>
      <c r="M540">
        <v>98606</v>
      </c>
      <c r="N540" t="s">
        <v>3191</v>
      </c>
      <c r="O540" t="s">
        <v>3192</v>
      </c>
      <c r="P540" t="s">
        <v>3193</v>
      </c>
      <c r="Q540" t="s">
        <v>30</v>
      </c>
      <c r="R540" t="s">
        <v>31</v>
      </c>
      <c r="S540" t="s">
        <v>159</v>
      </c>
    </row>
    <row r="541" spans="1:19" x14ac:dyDescent="0.45">
      <c r="A541" t="str">
        <f>"17801"</f>
        <v>17801</v>
      </c>
      <c r="B541" t="s">
        <v>19</v>
      </c>
      <c r="C541" t="str">
        <f>"17216"</f>
        <v>17216</v>
      </c>
      <c r="D541" t="s">
        <v>59</v>
      </c>
      <c r="E541" t="str">
        <f>"5491"</f>
        <v>5491</v>
      </c>
      <c r="F541" t="s">
        <v>3194</v>
      </c>
      <c r="G541" t="s">
        <v>22</v>
      </c>
      <c r="H541" t="s">
        <v>22</v>
      </c>
      <c r="I541" t="s">
        <v>3195</v>
      </c>
      <c r="K541" t="s">
        <v>62</v>
      </c>
      <c r="L541" t="s">
        <v>25</v>
      </c>
      <c r="M541">
        <v>98022</v>
      </c>
      <c r="N541" t="s">
        <v>3196</v>
      </c>
      <c r="O541" t="s">
        <v>3197</v>
      </c>
      <c r="P541" t="s">
        <v>3198</v>
      </c>
      <c r="Q541" t="s">
        <v>2256</v>
      </c>
      <c r="R541" t="s">
        <v>31</v>
      </c>
      <c r="S541" t="s">
        <v>1248</v>
      </c>
    </row>
    <row r="542" spans="1:19" x14ac:dyDescent="0.45">
      <c r="A542" t="str">
        <f>"39801"</f>
        <v>39801</v>
      </c>
      <c r="B542" t="s">
        <v>2395</v>
      </c>
      <c r="C542" t="str">
        <f>"39208"</f>
        <v>39208</v>
      </c>
      <c r="D542" t="s">
        <v>3199</v>
      </c>
      <c r="E542" t="str">
        <f>"5504"</f>
        <v>5504</v>
      </c>
      <c r="F542" t="s">
        <v>3200</v>
      </c>
      <c r="G542" t="s">
        <v>70</v>
      </c>
      <c r="H542">
        <v>6</v>
      </c>
      <c r="I542" t="s">
        <v>3201</v>
      </c>
      <c r="K542" t="s">
        <v>3202</v>
      </c>
      <c r="L542" t="s">
        <v>25</v>
      </c>
      <c r="M542">
        <v>98908</v>
      </c>
      <c r="N542" t="s">
        <v>3203</v>
      </c>
      <c r="O542" t="s">
        <v>3204</v>
      </c>
      <c r="P542" t="s">
        <v>3205</v>
      </c>
      <c r="Q542" t="s">
        <v>30</v>
      </c>
      <c r="R542" t="s">
        <v>31</v>
      </c>
      <c r="S542" t="s">
        <v>32</v>
      </c>
    </row>
    <row r="543" spans="1:19" x14ac:dyDescent="0.45">
      <c r="A543" t="str">
        <f>"39801"</f>
        <v>39801</v>
      </c>
      <c r="B543" t="s">
        <v>2395</v>
      </c>
      <c r="C543" t="str">
        <f>"39208"</f>
        <v>39208</v>
      </c>
      <c r="D543" t="s">
        <v>3199</v>
      </c>
      <c r="E543" t="str">
        <f>"5505"</f>
        <v>5505</v>
      </c>
      <c r="F543" t="s">
        <v>3206</v>
      </c>
      <c r="G543">
        <v>7</v>
      </c>
      <c r="H543">
        <v>8</v>
      </c>
      <c r="I543" t="s">
        <v>3201</v>
      </c>
      <c r="K543" t="s">
        <v>2512</v>
      </c>
      <c r="L543" t="s">
        <v>25</v>
      </c>
      <c r="M543">
        <v>98908</v>
      </c>
      <c r="N543" t="s">
        <v>3203</v>
      </c>
      <c r="O543" t="s">
        <v>3204</v>
      </c>
      <c r="P543" t="s">
        <v>3207</v>
      </c>
      <c r="Q543" t="s">
        <v>30</v>
      </c>
      <c r="R543" t="s">
        <v>31</v>
      </c>
      <c r="S543" t="s">
        <v>104</v>
      </c>
    </row>
    <row r="544" spans="1:19" x14ac:dyDescent="0.45">
      <c r="A544" t="str">
        <f>"39801"</f>
        <v>39801</v>
      </c>
      <c r="B544" t="s">
        <v>2395</v>
      </c>
      <c r="C544" t="str">
        <f>"39208"</f>
        <v>39208</v>
      </c>
      <c r="D544" t="s">
        <v>3199</v>
      </c>
      <c r="E544" t="str">
        <f>"5506"</f>
        <v>5506</v>
      </c>
      <c r="F544" t="s">
        <v>3208</v>
      </c>
      <c r="G544">
        <v>9</v>
      </c>
      <c r="H544">
        <v>12</v>
      </c>
      <c r="I544" t="s">
        <v>3201</v>
      </c>
      <c r="K544" t="s">
        <v>2512</v>
      </c>
      <c r="L544" t="s">
        <v>25</v>
      </c>
      <c r="M544">
        <v>98908</v>
      </c>
      <c r="N544" t="s">
        <v>3203</v>
      </c>
      <c r="O544" t="s">
        <v>3204</v>
      </c>
      <c r="P544" t="s">
        <v>3207</v>
      </c>
      <c r="Q544" t="s">
        <v>30</v>
      </c>
      <c r="R544" t="s">
        <v>31</v>
      </c>
      <c r="S544" t="s">
        <v>58</v>
      </c>
    </row>
    <row r="545" spans="1:19" x14ac:dyDescent="0.45">
      <c r="A545" t="str">
        <f>"32801"</f>
        <v>32801</v>
      </c>
      <c r="B545" t="s">
        <v>1108</v>
      </c>
      <c r="C545" t="str">
        <f>"32356"</f>
        <v>32356</v>
      </c>
      <c r="D545" t="s">
        <v>2362</v>
      </c>
      <c r="E545" t="str">
        <f>"5507"</f>
        <v>5507</v>
      </c>
      <c r="F545" t="s">
        <v>3209</v>
      </c>
      <c r="G545" t="s">
        <v>70</v>
      </c>
      <c r="H545">
        <v>3</v>
      </c>
      <c r="I545" t="s">
        <v>3210</v>
      </c>
      <c r="K545" t="s">
        <v>3211</v>
      </c>
      <c r="L545" t="s">
        <v>25</v>
      </c>
      <c r="M545">
        <v>99019</v>
      </c>
      <c r="N545" t="s">
        <v>3212</v>
      </c>
      <c r="O545" t="s">
        <v>3213</v>
      </c>
      <c r="P545" t="s">
        <v>3214</v>
      </c>
      <c r="Q545" t="s">
        <v>30</v>
      </c>
      <c r="R545" t="s">
        <v>31</v>
      </c>
      <c r="S545" t="s">
        <v>32</v>
      </c>
    </row>
    <row r="546" spans="1:19" x14ac:dyDescent="0.45">
      <c r="A546" t="str">
        <f>"17801"</f>
        <v>17801</v>
      </c>
      <c r="B546" t="s">
        <v>19</v>
      </c>
      <c r="C546" t="str">
        <f>"17405"</f>
        <v>17405</v>
      </c>
      <c r="D546" t="s">
        <v>487</v>
      </c>
      <c r="E546" t="str">
        <f>"5508"</f>
        <v>5508</v>
      </c>
      <c r="F546" t="s">
        <v>3215</v>
      </c>
      <c r="G546" t="s">
        <v>70</v>
      </c>
      <c r="H546">
        <v>5</v>
      </c>
      <c r="I546" t="s">
        <v>3216</v>
      </c>
      <c r="K546" t="s">
        <v>490</v>
      </c>
      <c r="L546" t="s">
        <v>25</v>
      </c>
      <c r="M546">
        <v>98005</v>
      </c>
      <c r="N546" t="s">
        <v>3217</v>
      </c>
      <c r="O546" t="s">
        <v>3218</v>
      </c>
      <c r="P546" t="s">
        <v>3219</v>
      </c>
      <c r="Q546" t="s">
        <v>30</v>
      </c>
      <c r="R546" t="s">
        <v>31</v>
      </c>
      <c r="S546" t="s">
        <v>32</v>
      </c>
    </row>
    <row r="547" spans="1:19" x14ac:dyDescent="0.45">
      <c r="A547" t="str">
        <f>"34801"</f>
        <v>34801</v>
      </c>
      <c r="B547" t="s">
        <v>2257</v>
      </c>
      <c r="C547" t="str">
        <f>"21302"</f>
        <v>21302</v>
      </c>
      <c r="D547" t="s">
        <v>2323</v>
      </c>
      <c r="E547" t="str">
        <f>"5509"</f>
        <v>5509</v>
      </c>
      <c r="F547" t="s">
        <v>3220</v>
      </c>
      <c r="G547" t="s">
        <v>22</v>
      </c>
      <c r="H547">
        <v>2</v>
      </c>
      <c r="I547" t="s">
        <v>3221</v>
      </c>
      <c r="K547" t="s">
        <v>2326</v>
      </c>
      <c r="L547" t="s">
        <v>25</v>
      </c>
      <c r="M547">
        <v>98532</v>
      </c>
      <c r="N547" t="s">
        <v>3222</v>
      </c>
      <c r="O547" t="s">
        <v>3223</v>
      </c>
      <c r="P547" t="s">
        <v>3224</v>
      </c>
      <c r="Q547" t="s">
        <v>30</v>
      </c>
      <c r="R547" t="s">
        <v>31</v>
      </c>
      <c r="S547" t="s">
        <v>32</v>
      </c>
    </row>
    <row r="548" spans="1:19" x14ac:dyDescent="0.45">
      <c r="A548" t="str">
        <f t="shared" ref="A548:A579" si="30">"06801"</f>
        <v>06801</v>
      </c>
      <c r="B548" t="s">
        <v>1870</v>
      </c>
      <c r="C548" t="str">
        <f t="shared" ref="C548:C572" si="31">"06114"</f>
        <v>06114</v>
      </c>
      <c r="D548" t="s">
        <v>2170</v>
      </c>
      <c r="E548" t="str">
        <f>"3149"</f>
        <v>3149</v>
      </c>
      <c r="F548" t="s">
        <v>3225</v>
      </c>
      <c r="G548" t="s">
        <v>22</v>
      </c>
      <c r="H548">
        <v>5</v>
      </c>
      <c r="I548" t="s">
        <v>3226</v>
      </c>
      <c r="K548" t="s">
        <v>2029</v>
      </c>
      <c r="L548" t="s">
        <v>25</v>
      </c>
      <c r="M548" t="s">
        <v>3227</v>
      </c>
      <c r="N548" t="s">
        <v>3228</v>
      </c>
      <c r="O548" t="s">
        <v>3229</v>
      </c>
      <c r="P548" t="s">
        <v>3230</v>
      </c>
      <c r="Q548" t="s">
        <v>30</v>
      </c>
      <c r="R548" t="s">
        <v>31</v>
      </c>
      <c r="S548" t="s">
        <v>32</v>
      </c>
    </row>
    <row r="549" spans="1:19" x14ac:dyDescent="0.45">
      <c r="A549" t="str">
        <f t="shared" si="30"/>
        <v>06801</v>
      </c>
      <c r="B549" t="s">
        <v>1870</v>
      </c>
      <c r="C549" t="str">
        <f t="shared" si="31"/>
        <v>06114</v>
      </c>
      <c r="D549" t="s">
        <v>2170</v>
      </c>
      <c r="E549" t="str">
        <f>"3320"</f>
        <v>3320</v>
      </c>
      <c r="F549" t="s">
        <v>3231</v>
      </c>
      <c r="G549">
        <v>6</v>
      </c>
      <c r="H549">
        <v>8</v>
      </c>
      <c r="I549" t="s">
        <v>3232</v>
      </c>
      <c r="K549" t="s">
        <v>2029</v>
      </c>
      <c r="L549" t="s">
        <v>25</v>
      </c>
      <c r="M549" t="s">
        <v>3233</v>
      </c>
      <c r="N549" t="s">
        <v>3234</v>
      </c>
      <c r="O549" t="s">
        <v>3235</v>
      </c>
      <c r="P549" t="s">
        <v>3236</v>
      </c>
      <c r="Q549" t="s">
        <v>30</v>
      </c>
      <c r="R549" t="s">
        <v>31</v>
      </c>
      <c r="S549" t="s">
        <v>104</v>
      </c>
    </row>
    <row r="550" spans="1:19" x14ac:dyDescent="0.45">
      <c r="A550" t="str">
        <f t="shared" si="30"/>
        <v>06801</v>
      </c>
      <c r="B550" t="s">
        <v>1870</v>
      </c>
      <c r="C550" t="str">
        <f t="shared" si="31"/>
        <v>06114</v>
      </c>
      <c r="D550" t="s">
        <v>2170</v>
      </c>
      <c r="E550" t="str">
        <f>"3618"</f>
        <v>3618</v>
      </c>
      <c r="F550" t="s">
        <v>3237</v>
      </c>
      <c r="G550" t="s">
        <v>22</v>
      </c>
      <c r="H550">
        <v>5</v>
      </c>
      <c r="I550" t="s">
        <v>3238</v>
      </c>
      <c r="K550" t="s">
        <v>2029</v>
      </c>
      <c r="L550" t="s">
        <v>25</v>
      </c>
      <c r="M550" t="s">
        <v>3239</v>
      </c>
      <c r="N550" t="s">
        <v>3240</v>
      </c>
      <c r="O550" t="s">
        <v>3241</v>
      </c>
      <c r="P550" t="s">
        <v>3242</v>
      </c>
      <c r="Q550" t="s">
        <v>30</v>
      </c>
      <c r="R550" t="s">
        <v>31</v>
      </c>
      <c r="S550" t="s">
        <v>32</v>
      </c>
    </row>
    <row r="551" spans="1:19" x14ac:dyDescent="0.45">
      <c r="A551" t="str">
        <f t="shared" si="30"/>
        <v>06801</v>
      </c>
      <c r="B551" t="s">
        <v>1870</v>
      </c>
      <c r="C551" t="str">
        <f t="shared" si="31"/>
        <v>06114</v>
      </c>
      <c r="D551" t="s">
        <v>2170</v>
      </c>
      <c r="E551" t="str">
        <f>"3736"</f>
        <v>3736</v>
      </c>
      <c r="F551" t="s">
        <v>3243</v>
      </c>
      <c r="G551" t="s">
        <v>22</v>
      </c>
      <c r="H551">
        <v>5</v>
      </c>
      <c r="I551" t="s">
        <v>3244</v>
      </c>
      <c r="K551" t="s">
        <v>2029</v>
      </c>
      <c r="L551" t="s">
        <v>25</v>
      </c>
      <c r="M551" t="s">
        <v>3245</v>
      </c>
      <c r="N551" t="s">
        <v>3246</v>
      </c>
      <c r="O551" t="s">
        <v>3247</v>
      </c>
      <c r="P551" t="s">
        <v>3248</v>
      </c>
      <c r="Q551" t="s">
        <v>30</v>
      </c>
      <c r="R551" t="s">
        <v>31</v>
      </c>
      <c r="S551" t="s">
        <v>32</v>
      </c>
    </row>
    <row r="552" spans="1:19" x14ac:dyDescent="0.45">
      <c r="A552" t="str">
        <f t="shared" si="30"/>
        <v>06801</v>
      </c>
      <c r="B552" t="s">
        <v>1870</v>
      </c>
      <c r="C552" t="str">
        <f t="shared" si="31"/>
        <v>06114</v>
      </c>
      <c r="D552" t="s">
        <v>2170</v>
      </c>
      <c r="E552" t="str">
        <f>"3785"</f>
        <v>3785</v>
      </c>
      <c r="F552" t="s">
        <v>274</v>
      </c>
      <c r="G552">
        <v>6</v>
      </c>
      <c r="H552">
        <v>8</v>
      </c>
      <c r="I552" t="s">
        <v>3249</v>
      </c>
      <c r="K552" t="s">
        <v>2029</v>
      </c>
      <c r="L552" t="s">
        <v>25</v>
      </c>
      <c r="M552" t="s">
        <v>3250</v>
      </c>
      <c r="N552" t="s">
        <v>3251</v>
      </c>
      <c r="O552" t="s">
        <v>3252</v>
      </c>
      <c r="P552" t="s">
        <v>3253</v>
      </c>
      <c r="Q552" t="s">
        <v>30</v>
      </c>
      <c r="R552" t="s">
        <v>31</v>
      </c>
      <c r="S552" t="s">
        <v>104</v>
      </c>
    </row>
    <row r="553" spans="1:19" x14ac:dyDescent="0.45">
      <c r="A553" t="str">
        <f t="shared" si="30"/>
        <v>06801</v>
      </c>
      <c r="B553" t="s">
        <v>1870</v>
      </c>
      <c r="C553" t="str">
        <f t="shared" si="31"/>
        <v>06114</v>
      </c>
      <c r="D553" t="s">
        <v>2170</v>
      </c>
      <c r="E553" t="str">
        <f>"3822"</f>
        <v>3822</v>
      </c>
      <c r="F553" t="s">
        <v>3254</v>
      </c>
      <c r="G553" t="s">
        <v>22</v>
      </c>
      <c r="H553">
        <v>5</v>
      </c>
      <c r="I553" t="s">
        <v>3255</v>
      </c>
      <c r="K553" t="s">
        <v>2029</v>
      </c>
      <c r="L553" t="s">
        <v>25</v>
      </c>
      <c r="M553">
        <v>98683</v>
      </c>
      <c r="N553" t="s">
        <v>3256</v>
      </c>
      <c r="O553" t="s">
        <v>3257</v>
      </c>
      <c r="P553" t="s">
        <v>3258</v>
      </c>
      <c r="Q553" t="s">
        <v>30</v>
      </c>
      <c r="R553" t="s">
        <v>31</v>
      </c>
      <c r="S553" t="s">
        <v>32</v>
      </c>
    </row>
    <row r="554" spans="1:19" x14ac:dyDescent="0.45">
      <c r="A554" t="str">
        <f t="shared" si="30"/>
        <v>06801</v>
      </c>
      <c r="B554" t="s">
        <v>1870</v>
      </c>
      <c r="C554" t="str">
        <f t="shared" si="31"/>
        <v>06114</v>
      </c>
      <c r="D554" t="s">
        <v>2170</v>
      </c>
      <c r="E554" t="str">
        <f>"3823"</f>
        <v>3823</v>
      </c>
      <c r="F554" t="s">
        <v>3259</v>
      </c>
      <c r="G554" t="s">
        <v>22</v>
      </c>
      <c r="H554">
        <v>5</v>
      </c>
      <c r="I554" t="s">
        <v>3260</v>
      </c>
      <c r="K554" t="s">
        <v>2029</v>
      </c>
      <c r="L554" t="s">
        <v>25</v>
      </c>
      <c r="M554" t="s">
        <v>3261</v>
      </c>
      <c r="N554" t="s">
        <v>3262</v>
      </c>
      <c r="O554" t="s">
        <v>3263</v>
      </c>
      <c r="P554" t="s">
        <v>3264</v>
      </c>
      <c r="Q554" t="s">
        <v>30</v>
      </c>
      <c r="R554" t="s">
        <v>31</v>
      </c>
      <c r="S554" t="s">
        <v>32</v>
      </c>
    </row>
    <row r="555" spans="1:19" x14ac:dyDescent="0.45">
      <c r="A555" t="str">
        <f t="shared" si="30"/>
        <v>06801</v>
      </c>
      <c r="B555" t="s">
        <v>1870</v>
      </c>
      <c r="C555" t="str">
        <f t="shared" si="31"/>
        <v>06114</v>
      </c>
      <c r="D555" t="s">
        <v>2170</v>
      </c>
      <c r="E555" t="str">
        <f>"3970"</f>
        <v>3970</v>
      </c>
      <c r="F555" t="s">
        <v>3265</v>
      </c>
      <c r="G555" t="s">
        <v>22</v>
      </c>
      <c r="H555">
        <v>5</v>
      </c>
      <c r="I555" t="s">
        <v>3266</v>
      </c>
      <c r="K555" t="s">
        <v>2029</v>
      </c>
      <c r="L555" t="s">
        <v>25</v>
      </c>
      <c r="M555" t="s">
        <v>3267</v>
      </c>
      <c r="N555" t="s">
        <v>3268</v>
      </c>
      <c r="O555" t="s">
        <v>3269</v>
      </c>
      <c r="P555" t="s">
        <v>3270</v>
      </c>
      <c r="Q555" t="s">
        <v>30</v>
      </c>
      <c r="R555" t="s">
        <v>31</v>
      </c>
      <c r="S555" t="s">
        <v>32</v>
      </c>
    </row>
    <row r="556" spans="1:19" x14ac:dyDescent="0.45">
      <c r="A556" t="str">
        <f t="shared" si="30"/>
        <v>06801</v>
      </c>
      <c r="B556" t="s">
        <v>1870</v>
      </c>
      <c r="C556" t="str">
        <f t="shared" si="31"/>
        <v>06114</v>
      </c>
      <c r="D556" t="s">
        <v>2170</v>
      </c>
      <c r="E556" t="str">
        <f>"3971"</f>
        <v>3971</v>
      </c>
      <c r="F556" t="s">
        <v>3271</v>
      </c>
      <c r="G556" t="s">
        <v>22</v>
      </c>
      <c r="H556">
        <v>5</v>
      </c>
      <c r="I556" t="s">
        <v>3272</v>
      </c>
      <c r="K556" t="s">
        <v>2029</v>
      </c>
      <c r="L556" t="s">
        <v>25</v>
      </c>
      <c r="M556" t="s">
        <v>3273</v>
      </c>
      <c r="N556" t="s">
        <v>3274</v>
      </c>
      <c r="O556" t="s">
        <v>3275</v>
      </c>
      <c r="P556" t="s">
        <v>3276</v>
      </c>
      <c r="Q556" t="s">
        <v>30</v>
      </c>
      <c r="R556" t="s">
        <v>31</v>
      </c>
      <c r="S556" t="s">
        <v>32</v>
      </c>
    </row>
    <row r="557" spans="1:19" x14ac:dyDescent="0.45">
      <c r="A557" t="str">
        <f t="shared" si="30"/>
        <v>06801</v>
      </c>
      <c r="B557" t="s">
        <v>1870</v>
      </c>
      <c r="C557" t="str">
        <f t="shared" si="31"/>
        <v>06114</v>
      </c>
      <c r="D557" t="s">
        <v>2170</v>
      </c>
      <c r="E557" t="str">
        <f>"3994"</f>
        <v>3994</v>
      </c>
      <c r="F557" t="s">
        <v>3277</v>
      </c>
      <c r="G557" t="s">
        <v>22</v>
      </c>
      <c r="H557">
        <v>5</v>
      </c>
      <c r="I557" t="s">
        <v>3278</v>
      </c>
      <c r="K557" t="s">
        <v>2029</v>
      </c>
      <c r="L557" t="s">
        <v>25</v>
      </c>
      <c r="M557" t="s">
        <v>3279</v>
      </c>
      <c r="N557" t="s">
        <v>3280</v>
      </c>
      <c r="O557" t="s">
        <v>3281</v>
      </c>
      <c r="P557" t="s">
        <v>3282</v>
      </c>
      <c r="Q557" t="s">
        <v>30</v>
      </c>
      <c r="R557" t="s">
        <v>31</v>
      </c>
      <c r="S557" t="s">
        <v>32</v>
      </c>
    </row>
    <row r="558" spans="1:19" x14ac:dyDescent="0.45">
      <c r="A558" t="str">
        <f t="shared" si="30"/>
        <v>06801</v>
      </c>
      <c r="B558" t="s">
        <v>1870</v>
      </c>
      <c r="C558" t="str">
        <f t="shared" si="31"/>
        <v>06114</v>
      </c>
      <c r="D558" t="s">
        <v>2170</v>
      </c>
      <c r="E558" t="str">
        <f>"3995"</f>
        <v>3995</v>
      </c>
      <c r="F558" t="s">
        <v>3283</v>
      </c>
      <c r="G558" t="s">
        <v>22</v>
      </c>
      <c r="H558">
        <v>5</v>
      </c>
      <c r="I558" t="s">
        <v>3284</v>
      </c>
      <c r="K558" t="s">
        <v>2029</v>
      </c>
      <c r="L558" t="s">
        <v>25</v>
      </c>
      <c r="M558" t="s">
        <v>3285</v>
      </c>
      <c r="N558" t="s">
        <v>3286</v>
      </c>
      <c r="O558" t="s">
        <v>3287</v>
      </c>
      <c r="P558" t="s">
        <v>3288</v>
      </c>
      <c r="Q558" t="s">
        <v>30</v>
      </c>
      <c r="R558" t="s">
        <v>31</v>
      </c>
      <c r="S558" t="s">
        <v>32</v>
      </c>
    </row>
    <row r="559" spans="1:19" x14ac:dyDescent="0.45">
      <c r="A559" t="str">
        <f t="shared" si="30"/>
        <v>06801</v>
      </c>
      <c r="B559" t="s">
        <v>1870</v>
      </c>
      <c r="C559" t="str">
        <f t="shared" si="31"/>
        <v>06114</v>
      </c>
      <c r="D559" t="s">
        <v>2170</v>
      </c>
      <c r="E559" t="str">
        <f>"4042"</f>
        <v>4042</v>
      </c>
      <c r="F559" t="s">
        <v>1236</v>
      </c>
      <c r="G559">
        <v>6</v>
      </c>
      <c r="H559">
        <v>12</v>
      </c>
      <c r="I559" t="s">
        <v>3289</v>
      </c>
      <c r="K559" t="s">
        <v>2029</v>
      </c>
      <c r="L559" t="s">
        <v>25</v>
      </c>
      <c r="M559" t="s">
        <v>3290</v>
      </c>
      <c r="N559" t="s">
        <v>3291</v>
      </c>
      <c r="O559" t="s">
        <v>3292</v>
      </c>
      <c r="P559" t="s">
        <v>3293</v>
      </c>
      <c r="Q559" t="s">
        <v>157</v>
      </c>
      <c r="R559" t="s">
        <v>158</v>
      </c>
      <c r="S559" t="s">
        <v>159</v>
      </c>
    </row>
    <row r="560" spans="1:19" x14ac:dyDescent="0.45">
      <c r="A560" t="str">
        <f t="shared" si="30"/>
        <v>06801</v>
      </c>
      <c r="B560" t="s">
        <v>1870</v>
      </c>
      <c r="C560" t="str">
        <f t="shared" si="31"/>
        <v>06114</v>
      </c>
      <c r="D560" t="s">
        <v>2170</v>
      </c>
      <c r="E560" t="str">
        <f>"4051"</f>
        <v>4051</v>
      </c>
      <c r="F560" t="s">
        <v>3294</v>
      </c>
      <c r="G560">
        <v>6</v>
      </c>
      <c r="H560">
        <v>8</v>
      </c>
      <c r="I560" t="s">
        <v>3295</v>
      </c>
      <c r="K560" t="s">
        <v>2029</v>
      </c>
      <c r="L560" t="s">
        <v>25</v>
      </c>
      <c r="M560" t="s">
        <v>3296</v>
      </c>
      <c r="N560" t="s">
        <v>3297</v>
      </c>
      <c r="O560" t="s">
        <v>3298</v>
      </c>
      <c r="P560" t="s">
        <v>3299</v>
      </c>
      <c r="Q560" t="s">
        <v>30</v>
      </c>
      <c r="R560" t="s">
        <v>31</v>
      </c>
      <c r="S560" t="s">
        <v>104</v>
      </c>
    </row>
    <row r="561" spans="1:19" x14ac:dyDescent="0.45">
      <c r="A561" t="str">
        <f t="shared" si="30"/>
        <v>06801</v>
      </c>
      <c r="B561" t="s">
        <v>1870</v>
      </c>
      <c r="C561" t="str">
        <f t="shared" si="31"/>
        <v>06114</v>
      </c>
      <c r="D561" t="s">
        <v>2170</v>
      </c>
      <c r="E561" t="str">
        <f>"4162"</f>
        <v>4162</v>
      </c>
      <c r="F561" t="s">
        <v>3300</v>
      </c>
      <c r="G561">
        <v>9</v>
      </c>
      <c r="H561">
        <v>12</v>
      </c>
      <c r="I561" t="s">
        <v>3301</v>
      </c>
      <c r="K561" t="s">
        <v>2029</v>
      </c>
      <c r="L561" t="s">
        <v>25</v>
      </c>
      <c r="M561" t="s">
        <v>3302</v>
      </c>
      <c r="N561" t="s">
        <v>3303</v>
      </c>
      <c r="O561" t="s">
        <v>3304</v>
      </c>
      <c r="P561" t="s">
        <v>3305</v>
      </c>
      <c r="Q561" t="s">
        <v>30</v>
      </c>
      <c r="R561" t="s">
        <v>31</v>
      </c>
      <c r="S561" t="s">
        <v>58</v>
      </c>
    </row>
    <row r="562" spans="1:19" x14ac:dyDescent="0.45">
      <c r="A562" t="str">
        <f t="shared" si="30"/>
        <v>06801</v>
      </c>
      <c r="B562" t="s">
        <v>1870</v>
      </c>
      <c r="C562" t="str">
        <f t="shared" si="31"/>
        <v>06114</v>
      </c>
      <c r="D562" t="s">
        <v>2170</v>
      </c>
      <c r="E562" t="str">
        <f>"4163"</f>
        <v>4163</v>
      </c>
      <c r="F562" t="s">
        <v>3306</v>
      </c>
      <c r="G562" t="s">
        <v>22</v>
      </c>
      <c r="H562">
        <v>5</v>
      </c>
      <c r="I562" t="s">
        <v>3307</v>
      </c>
      <c r="K562" t="s">
        <v>2029</v>
      </c>
      <c r="L562" t="s">
        <v>25</v>
      </c>
      <c r="M562" t="s">
        <v>3308</v>
      </c>
      <c r="N562" t="s">
        <v>3309</v>
      </c>
      <c r="O562" t="s">
        <v>3310</v>
      </c>
      <c r="P562" t="s">
        <v>3311</v>
      </c>
      <c r="Q562" t="s">
        <v>30</v>
      </c>
      <c r="R562" t="s">
        <v>31</v>
      </c>
      <c r="S562" t="s">
        <v>32</v>
      </c>
    </row>
    <row r="563" spans="1:19" x14ac:dyDescent="0.45">
      <c r="A563" t="str">
        <f t="shared" si="30"/>
        <v>06801</v>
      </c>
      <c r="B563" t="s">
        <v>1870</v>
      </c>
      <c r="C563" t="str">
        <f t="shared" si="31"/>
        <v>06114</v>
      </c>
      <c r="D563" t="s">
        <v>2170</v>
      </c>
      <c r="E563" t="str">
        <f>"4203"</f>
        <v>4203</v>
      </c>
      <c r="F563" t="s">
        <v>3312</v>
      </c>
      <c r="G563">
        <v>9</v>
      </c>
      <c r="H563">
        <v>12</v>
      </c>
      <c r="I563" t="s">
        <v>3313</v>
      </c>
      <c r="K563" t="s">
        <v>2029</v>
      </c>
      <c r="L563" t="s">
        <v>25</v>
      </c>
      <c r="M563" t="s">
        <v>3314</v>
      </c>
      <c r="N563" t="s">
        <v>3315</v>
      </c>
      <c r="O563" t="s">
        <v>3316</v>
      </c>
      <c r="P563" t="s">
        <v>3317</v>
      </c>
      <c r="Q563" t="s">
        <v>172</v>
      </c>
      <c r="R563" t="s">
        <v>173</v>
      </c>
      <c r="S563" t="s">
        <v>58</v>
      </c>
    </row>
    <row r="564" spans="1:19" x14ac:dyDescent="0.45">
      <c r="A564" t="str">
        <f t="shared" si="30"/>
        <v>06801</v>
      </c>
      <c r="B564" t="s">
        <v>1870</v>
      </c>
      <c r="C564" t="str">
        <f t="shared" si="31"/>
        <v>06114</v>
      </c>
      <c r="D564" t="s">
        <v>2170</v>
      </c>
      <c r="E564" t="str">
        <f>"4209"</f>
        <v>4209</v>
      </c>
      <c r="F564" t="s">
        <v>297</v>
      </c>
      <c r="G564">
        <v>6</v>
      </c>
      <c r="H564">
        <v>8</v>
      </c>
      <c r="I564" t="s">
        <v>3318</v>
      </c>
      <c r="K564" t="s">
        <v>2029</v>
      </c>
      <c r="L564" t="s">
        <v>25</v>
      </c>
      <c r="M564" t="s">
        <v>3319</v>
      </c>
      <c r="N564" t="s">
        <v>3320</v>
      </c>
      <c r="O564" t="s">
        <v>3321</v>
      </c>
      <c r="P564" t="s">
        <v>3322</v>
      </c>
      <c r="Q564" t="s">
        <v>30</v>
      </c>
      <c r="R564" t="s">
        <v>31</v>
      </c>
      <c r="S564" t="s">
        <v>104</v>
      </c>
    </row>
    <row r="565" spans="1:19" x14ac:dyDescent="0.45">
      <c r="A565" t="str">
        <f t="shared" si="30"/>
        <v>06801</v>
      </c>
      <c r="B565" t="s">
        <v>1870</v>
      </c>
      <c r="C565" t="str">
        <f t="shared" si="31"/>
        <v>06114</v>
      </c>
      <c r="D565" t="s">
        <v>2170</v>
      </c>
      <c r="E565" t="str">
        <f>"4299"</f>
        <v>4299</v>
      </c>
      <c r="F565" t="s">
        <v>3323</v>
      </c>
      <c r="G565" t="s">
        <v>22</v>
      </c>
      <c r="H565">
        <v>5</v>
      </c>
      <c r="I565" t="s">
        <v>3324</v>
      </c>
      <c r="K565" t="s">
        <v>2029</v>
      </c>
      <c r="L565" t="s">
        <v>25</v>
      </c>
      <c r="M565" t="s">
        <v>2178</v>
      </c>
      <c r="N565" t="s">
        <v>3325</v>
      </c>
      <c r="O565" t="s">
        <v>3326</v>
      </c>
      <c r="P565" t="s">
        <v>3327</v>
      </c>
      <c r="Q565" t="s">
        <v>30</v>
      </c>
      <c r="R565" t="s">
        <v>31</v>
      </c>
      <c r="S565" t="s">
        <v>32</v>
      </c>
    </row>
    <row r="566" spans="1:19" x14ac:dyDescent="0.45">
      <c r="A566" t="str">
        <f t="shared" si="30"/>
        <v>06801</v>
      </c>
      <c r="B566" t="s">
        <v>1870</v>
      </c>
      <c r="C566" t="str">
        <f t="shared" si="31"/>
        <v>06114</v>
      </c>
      <c r="D566" t="s">
        <v>2170</v>
      </c>
      <c r="E566" t="str">
        <f>"4380"</f>
        <v>4380</v>
      </c>
      <c r="F566" t="s">
        <v>3328</v>
      </c>
      <c r="G566" t="s">
        <v>22</v>
      </c>
      <c r="H566">
        <v>5</v>
      </c>
      <c r="I566" t="s">
        <v>3329</v>
      </c>
      <c r="K566" t="s">
        <v>2029</v>
      </c>
      <c r="L566" t="s">
        <v>25</v>
      </c>
      <c r="M566" t="s">
        <v>3330</v>
      </c>
      <c r="N566" t="s">
        <v>3331</v>
      </c>
      <c r="O566" t="s">
        <v>3332</v>
      </c>
      <c r="P566" t="s">
        <v>3333</v>
      </c>
      <c r="Q566" t="s">
        <v>30</v>
      </c>
      <c r="R566" t="s">
        <v>31</v>
      </c>
      <c r="S566" t="s">
        <v>32</v>
      </c>
    </row>
    <row r="567" spans="1:19" x14ac:dyDescent="0.45">
      <c r="A567" t="str">
        <f t="shared" si="30"/>
        <v>06801</v>
      </c>
      <c r="B567" t="s">
        <v>1870</v>
      </c>
      <c r="C567" t="str">
        <f t="shared" si="31"/>
        <v>06114</v>
      </c>
      <c r="D567" t="s">
        <v>2170</v>
      </c>
      <c r="E567" t="str">
        <f>"4445"</f>
        <v>4445</v>
      </c>
      <c r="F567" t="s">
        <v>747</v>
      </c>
      <c r="G567" t="s">
        <v>22</v>
      </c>
      <c r="H567">
        <v>5</v>
      </c>
      <c r="I567" t="s">
        <v>3334</v>
      </c>
      <c r="K567" t="s">
        <v>2029</v>
      </c>
      <c r="L567" t="s">
        <v>25</v>
      </c>
      <c r="M567" t="s">
        <v>3335</v>
      </c>
      <c r="N567" t="s">
        <v>3336</v>
      </c>
      <c r="O567" t="s">
        <v>3337</v>
      </c>
      <c r="P567" t="s">
        <v>3338</v>
      </c>
      <c r="Q567" t="s">
        <v>30</v>
      </c>
      <c r="R567" t="s">
        <v>31</v>
      </c>
      <c r="S567" t="s">
        <v>32</v>
      </c>
    </row>
    <row r="568" spans="1:19" x14ac:dyDescent="0.45">
      <c r="A568" t="str">
        <f t="shared" si="30"/>
        <v>06801</v>
      </c>
      <c r="B568" t="s">
        <v>1870</v>
      </c>
      <c r="C568" t="str">
        <f t="shared" si="31"/>
        <v>06114</v>
      </c>
      <c r="D568" t="s">
        <v>2170</v>
      </c>
      <c r="E568" t="str">
        <f>"4498"</f>
        <v>4498</v>
      </c>
      <c r="F568" t="s">
        <v>3339</v>
      </c>
      <c r="G568">
        <v>6</v>
      </c>
      <c r="H568">
        <v>8</v>
      </c>
      <c r="I568" t="s">
        <v>3340</v>
      </c>
      <c r="K568" t="s">
        <v>2029</v>
      </c>
      <c r="L568" t="s">
        <v>25</v>
      </c>
      <c r="M568" t="s">
        <v>3341</v>
      </c>
      <c r="N568" t="s">
        <v>3342</v>
      </c>
      <c r="O568" t="s">
        <v>3343</v>
      </c>
      <c r="P568" t="s">
        <v>3344</v>
      </c>
      <c r="Q568" t="s">
        <v>30</v>
      </c>
      <c r="R568" t="s">
        <v>31</v>
      </c>
      <c r="S568" t="s">
        <v>104</v>
      </c>
    </row>
    <row r="569" spans="1:19" x14ac:dyDescent="0.45">
      <c r="A569" t="str">
        <f t="shared" si="30"/>
        <v>06801</v>
      </c>
      <c r="B569" t="s">
        <v>1870</v>
      </c>
      <c r="C569" t="str">
        <f t="shared" si="31"/>
        <v>06114</v>
      </c>
      <c r="D569" t="s">
        <v>2170</v>
      </c>
      <c r="E569" t="str">
        <f>"4499"</f>
        <v>4499</v>
      </c>
      <c r="F569" t="s">
        <v>3345</v>
      </c>
      <c r="G569" t="s">
        <v>22</v>
      </c>
      <c r="H569">
        <v>5</v>
      </c>
      <c r="I569" t="s">
        <v>3346</v>
      </c>
      <c r="K569" t="s">
        <v>2029</v>
      </c>
      <c r="L569" t="s">
        <v>25</v>
      </c>
      <c r="M569" t="s">
        <v>3347</v>
      </c>
      <c r="N569" t="s">
        <v>3348</v>
      </c>
      <c r="O569" t="s">
        <v>3349</v>
      </c>
      <c r="P569" t="s">
        <v>3350</v>
      </c>
      <c r="Q569" t="s">
        <v>30</v>
      </c>
      <c r="R569" t="s">
        <v>31</v>
      </c>
      <c r="S569" t="s">
        <v>32</v>
      </c>
    </row>
    <row r="570" spans="1:19" x14ac:dyDescent="0.45">
      <c r="A570" t="str">
        <f t="shared" si="30"/>
        <v>06801</v>
      </c>
      <c r="B570" t="s">
        <v>1870</v>
      </c>
      <c r="C570" t="str">
        <f t="shared" si="31"/>
        <v>06114</v>
      </c>
      <c r="D570" t="s">
        <v>2170</v>
      </c>
      <c r="E570" t="str">
        <f>"4523"</f>
        <v>4523</v>
      </c>
      <c r="F570" t="s">
        <v>3351</v>
      </c>
      <c r="G570">
        <v>9</v>
      </c>
      <c r="H570">
        <v>12</v>
      </c>
      <c r="I570" t="s">
        <v>3352</v>
      </c>
      <c r="K570" t="s">
        <v>2029</v>
      </c>
      <c r="L570" t="s">
        <v>25</v>
      </c>
      <c r="M570" t="s">
        <v>3353</v>
      </c>
      <c r="N570" t="s">
        <v>3354</v>
      </c>
      <c r="O570" t="s">
        <v>3355</v>
      </c>
      <c r="P570" t="s">
        <v>3356</v>
      </c>
      <c r="Q570" t="s">
        <v>30</v>
      </c>
      <c r="R570" t="s">
        <v>31</v>
      </c>
      <c r="S570" t="s">
        <v>58</v>
      </c>
    </row>
    <row r="571" spans="1:19" x14ac:dyDescent="0.45">
      <c r="A571" t="str">
        <f t="shared" si="30"/>
        <v>06801</v>
      </c>
      <c r="B571" t="s">
        <v>1870</v>
      </c>
      <c r="C571" t="str">
        <f t="shared" si="31"/>
        <v>06114</v>
      </c>
      <c r="D571" t="s">
        <v>2170</v>
      </c>
      <c r="E571" t="str">
        <f>"4560"</f>
        <v>4560</v>
      </c>
      <c r="F571" t="s">
        <v>3357</v>
      </c>
      <c r="G571" t="s">
        <v>22</v>
      </c>
      <c r="H571">
        <v>5</v>
      </c>
      <c r="I571" t="s">
        <v>3358</v>
      </c>
      <c r="K571" t="s">
        <v>2288</v>
      </c>
      <c r="L571" t="s">
        <v>25</v>
      </c>
      <c r="M571" t="s">
        <v>3359</v>
      </c>
      <c r="N571" t="s">
        <v>3360</v>
      </c>
      <c r="O571" t="s">
        <v>3361</v>
      </c>
      <c r="P571" t="s">
        <v>3362</v>
      </c>
      <c r="Q571" t="s">
        <v>30</v>
      </c>
      <c r="R571" t="s">
        <v>31</v>
      </c>
      <c r="S571" t="s">
        <v>32</v>
      </c>
    </row>
    <row r="572" spans="1:19" x14ac:dyDescent="0.45">
      <c r="A572" t="str">
        <f t="shared" si="30"/>
        <v>06801</v>
      </c>
      <c r="B572" t="s">
        <v>1870</v>
      </c>
      <c r="C572" t="str">
        <f t="shared" si="31"/>
        <v>06114</v>
      </c>
      <c r="D572" t="s">
        <v>2170</v>
      </c>
      <c r="E572" t="str">
        <f>"4561"</f>
        <v>4561</v>
      </c>
      <c r="F572" t="s">
        <v>3363</v>
      </c>
      <c r="G572">
        <v>6</v>
      </c>
      <c r="H572">
        <v>8</v>
      </c>
      <c r="I572" t="s">
        <v>3364</v>
      </c>
      <c r="K572" t="s">
        <v>2029</v>
      </c>
      <c r="L572" t="s">
        <v>25</v>
      </c>
      <c r="M572" t="s">
        <v>3365</v>
      </c>
      <c r="N572" t="s">
        <v>3366</v>
      </c>
      <c r="O572" t="s">
        <v>3367</v>
      </c>
      <c r="P572" t="s">
        <v>3368</v>
      </c>
      <c r="Q572" t="s">
        <v>30</v>
      </c>
      <c r="R572" t="s">
        <v>31</v>
      </c>
      <c r="S572" t="s">
        <v>104</v>
      </c>
    </row>
    <row r="573" spans="1:19" x14ac:dyDescent="0.45">
      <c r="A573" t="str">
        <f t="shared" si="30"/>
        <v>06801</v>
      </c>
      <c r="B573" t="s">
        <v>1870</v>
      </c>
      <c r="C573" t="str">
        <f t="shared" ref="C573:C578" si="32">"06117"</f>
        <v>06117</v>
      </c>
      <c r="D573" t="s">
        <v>2285</v>
      </c>
      <c r="E573" t="str">
        <f>"2725"</f>
        <v>2725</v>
      </c>
      <c r="F573" t="s">
        <v>3369</v>
      </c>
      <c r="G573" t="s">
        <v>70</v>
      </c>
      <c r="H573">
        <v>5</v>
      </c>
      <c r="I573" t="s">
        <v>3370</v>
      </c>
      <c r="K573" t="s">
        <v>2288</v>
      </c>
      <c r="L573" t="s">
        <v>25</v>
      </c>
      <c r="M573" t="s">
        <v>3371</v>
      </c>
      <c r="N573" t="s">
        <v>3372</v>
      </c>
      <c r="O573" t="s">
        <v>3373</v>
      </c>
      <c r="P573" t="s">
        <v>3374</v>
      </c>
      <c r="Q573" t="s">
        <v>30</v>
      </c>
      <c r="R573" t="s">
        <v>31</v>
      </c>
      <c r="S573" t="s">
        <v>32</v>
      </c>
    </row>
    <row r="574" spans="1:19" x14ac:dyDescent="0.45">
      <c r="A574" t="str">
        <f t="shared" si="30"/>
        <v>06801</v>
      </c>
      <c r="B574" t="s">
        <v>1870</v>
      </c>
      <c r="C574" t="str">
        <f t="shared" si="32"/>
        <v>06117</v>
      </c>
      <c r="D574" t="s">
        <v>2285</v>
      </c>
      <c r="E574" t="str">
        <f>"3474"</f>
        <v>3474</v>
      </c>
      <c r="F574" t="s">
        <v>3375</v>
      </c>
      <c r="G574" t="s">
        <v>70</v>
      </c>
      <c r="H574">
        <v>5</v>
      </c>
      <c r="I574" t="s">
        <v>3376</v>
      </c>
      <c r="K574" t="s">
        <v>2288</v>
      </c>
      <c r="L574" t="s">
        <v>25</v>
      </c>
      <c r="M574">
        <v>98607</v>
      </c>
      <c r="N574" t="s">
        <v>3377</v>
      </c>
      <c r="O574" t="s">
        <v>3378</v>
      </c>
      <c r="P574" t="s">
        <v>3379</v>
      </c>
      <c r="Q574" t="s">
        <v>30</v>
      </c>
      <c r="R574" t="s">
        <v>31</v>
      </c>
      <c r="S574" t="s">
        <v>32</v>
      </c>
    </row>
    <row r="575" spans="1:19" x14ac:dyDescent="0.45">
      <c r="A575" t="str">
        <f t="shared" si="30"/>
        <v>06801</v>
      </c>
      <c r="B575" t="s">
        <v>1870</v>
      </c>
      <c r="C575" t="str">
        <f t="shared" si="32"/>
        <v>06117</v>
      </c>
      <c r="D575" t="s">
        <v>2285</v>
      </c>
      <c r="E575" t="str">
        <f>"4182"</f>
        <v>4182</v>
      </c>
      <c r="F575" t="s">
        <v>3380</v>
      </c>
      <c r="G575" t="s">
        <v>70</v>
      </c>
      <c r="H575">
        <v>5</v>
      </c>
      <c r="I575" t="s">
        <v>3381</v>
      </c>
      <c r="K575" t="s">
        <v>2288</v>
      </c>
      <c r="L575" t="s">
        <v>25</v>
      </c>
      <c r="M575" t="s">
        <v>3382</v>
      </c>
      <c r="N575" t="s">
        <v>3383</v>
      </c>
      <c r="O575" t="s">
        <v>3384</v>
      </c>
      <c r="P575" t="s">
        <v>3385</v>
      </c>
      <c r="Q575" t="s">
        <v>30</v>
      </c>
      <c r="R575" t="s">
        <v>31</v>
      </c>
      <c r="S575" t="s">
        <v>32</v>
      </c>
    </row>
    <row r="576" spans="1:19" x14ac:dyDescent="0.45">
      <c r="A576" t="str">
        <f t="shared" si="30"/>
        <v>06801</v>
      </c>
      <c r="B576" t="s">
        <v>1870</v>
      </c>
      <c r="C576" t="str">
        <f t="shared" si="32"/>
        <v>06117</v>
      </c>
      <c r="D576" t="s">
        <v>2285</v>
      </c>
      <c r="E576" t="str">
        <f>"4508"</f>
        <v>4508</v>
      </c>
      <c r="F576" t="s">
        <v>3386</v>
      </c>
      <c r="G576">
        <v>6</v>
      </c>
      <c r="H576">
        <v>8</v>
      </c>
      <c r="I576" t="s">
        <v>3387</v>
      </c>
      <c r="K576" t="s">
        <v>2288</v>
      </c>
      <c r="L576" t="s">
        <v>25</v>
      </c>
      <c r="M576" t="s">
        <v>3388</v>
      </c>
      <c r="N576" t="s">
        <v>3389</v>
      </c>
      <c r="O576" t="s">
        <v>3390</v>
      </c>
      <c r="P576" t="s">
        <v>3391</v>
      </c>
      <c r="Q576" t="s">
        <v>30</v>
      </c>
      <c r="R576" t="s">
        <v>31</v>
      </c>
      <c r="S576" t="s">
        <v>104</v>
      </c>
    </row>
    <row r="577" spans="1:19" x14ac:dyDescent="0.45">
      <c r="A577" t="str">
        <f t="shared" si="30"/>
        <v>06801</v>
      </c>
      <c r="B577" t="s">
        <v>1870</v>
      </c>
      <c r="C577" t="str">
        <f t="shared" si="32"/>
        <v>06117</v>
      </c>
      <c r="D577" t="s">
        <v>2285</v>
      </c>
      <c r="E577" t="str">
        <f>"4563"</f>
        <v>4563</v>
      </c>
      <c r="F577" t="s">
        <v>3392</v>
      </c>
      <c r="G577" t="s">
        <v>70</v>
      </c>
      <c r="H577">
        <v>5</v>
      </c>
      <c r="I577" t="s">
        <v>3393</v>
      </c>
      <c r="K577" t="s">
        <v>2288</v>
      </c>
      <c r="L577" t="s">
        <v>25</v>
      </c>
      <c r="M577" t="s">
        <v>3394</v>
      </c>
      <c r="N577" t="s">
        <v>3395</v>
      </c>
      <c r="O577" t="s">
        <v>3396</v>
      </c>
      <c r="P577" t="s">
        <v>3397</v>
      </c>
      <c r="Q577" t="s">
        <v>30</v>
      </c>
      <c r="R577" t="s">
        <v>31</v>
      </c>
      <c r="S577" t="s">
        <v>32</v>
      </c>
    </row>
    <row r="578" spans="1:19" x14ac:dyDescent="0.45">
      <c r="A578" t="str">
        <f t="shared" si="30"/>
        <v>06801</v>
      </c>
      <c r="B578" t="s">
        <v>1870</v>
      </c>
      <c r="C578" t="str">
        <f t="shared" si="32"/>
        <v>06117</v>
      </c>
      <c r="D578" t="s">
        <v>2285</v>
      </c>
      <c r="E578" t="str">
        <f>"4567"</f>
        <v>4567</v>
      </c>
      <c r="F578" t="s">
        <v>3398</v>
      </c>
      <c r="G578">
        <v>9</v>
      </c>
      <c r="H578">
        <v>12</v>
      </c>
      <c r="I578" t="s">
        <v>3399</v>
      </c>
      <c r="K578" t="s">
        <v>2288</v>
      </c>
      <c r="L578" t="s">
        <v>25</v>
      </c>
      <c r="M578" t="s">
        <v>3400</v>
      </c>
      <c r="N578" t="s">
        <v>3401</v>
      </c>
      <c r="O578" t="s">
        <v>3402</v>
      </c>
      <c r="P578" t="s">
        <v>3403</v>
      </c>
      <c r="Q578" t="s">
        <v>30</v>
      </c>
      <c r="R578" t="s">
        <v>31</v>
      </c>
      <c r="S578" t="s">
        <v>58</v>
      </c>
    </row>
    <row r="579" spans="1:19" x14ac:dyDescent="0.45">
      <c r="A579" t="str">
        <f t="shared" si="30"/>
        <v>06801</v>
      </c>
      <c r="B579" t="s">
        <v>1870</v>
      </c>
      <c r="C579" t="str">
        <f t="shared" ref="C579:C592" si="33">"06119"</f>
        <v>06119</v>
      </c>
      <c r="D579" t="s">
        <v>2543</v>
      </c>
      <c r="E579" t="str">
        <f>"1836"</f>
        <v>1836</v>
      </c>
      <c r="F579" t="s">
        <v>3404</v>
      </c>
      <c r="G579">
        <v>3</v>
      </c>
      <c r="H579">
        <v>12</v>
      </c>
      <c r="I579" t="s">
        <v>2545</v>
      </c>
      <c r="K579" t="s">
        <v>3405</v>
      </c>
      <c r="L579" t="s">
        <v>25</v>
      </c>
      <c r="M579" t="s">
        <v>3406</v>
      </c>
      <c r="N579" t="s">
        <v>3407</v>
      </c>
      <c r="O579" t="s">
        <v>3408</v>
      </c>
      <c r="P579" t="s">
        <v>3409</v>
      </c>
      <c r="Q579" t="s">
        <v>157</v>
      </c>
      <c r="R579" t="s">
        <v>158</v>
      </c>
      <c r="S579" t="s">
        <v>159</v>
      </c>
    </row>
    <row r="580" spans="1:19" x14ac:dyDescent="0.45">
      <c r="A580" t="str">
        <f t="shared" ref="A580:A596" si="34">"06801"</f>
        <v>06801</v>
      </c>
      <c r="B580" t="s">
        <v>1870</v>
      </c>
      <c r="C580" t="str">
        <f t="shared" si="33"/>
        <v>06119</v>
      </c>
      <c r="D580" t="s">
        <v>2543</v>
      </c>
      <c r="E580" t="str">
        <f>"1875"</f>
        <v>1875</v>
      </c>
      <c r="F580" t="s">
        <v>3410</v>
      </c>
      <c r="G580" t="s">
        <v>70</v>
      </c>
      <c r="H580">
        <v>12</v>
      </c>
      <c r="I580" t="s">
        <v>2545</v>
      </c>
      <c r="K580" t="s">
        <v>2546</v>
      </c>
      <c r="L580" t="s">
        <v>25</v>
      </c>
      <c r="M580" t="s">
        <v>3406</v>
      </c>
      <c r="N580" t="s">
        <v>3411</v>
      </c>
      <c r="O580" t="s">
        <v>3412</v>
      </c>
      <c r="P580" t="s">
        <v>3413</v>
      </c>
      <c r="Q580" t="s">
        <v>157</v>
      </c>
      <c r="R580" t="s">
        <v>158</v>
      </c>
      <c r="S580" t="s">
        <v>330</v>
      </c>
    </row>
    <row r="581" spans="1:19" x14ac:dyDescent="0.45">
      <c r="A581" t="str">
        <f t="shared" si="34"/>
        <v>06801</v>
      </c>
      <c r="B581" t="s">
        <v>1870</v>
      </c>
      <c r="C581" t="str">
        <f t="shared" si="33"/>
        <v>06119</v>
      </c>
      <c r="D581" t="s">
        <v>2543</v>
      </c>
      <c r="E581" t="str">
        <f>"2415"</f>
        <v>2415</v>
      </c>
      <c r="F581" t="s">
        <v>3414</v>
      </c>
      <c r="G581">
        <v>9</v>
      </c>
      <c r="H581">
        <v>12</v>
      </c>
      <c r="I581" t="s">
        <v>2545</v>
      </c>
      <c r="K581" t="s">
        <v>3405</v>
      </c>
      <c r="L581" t="s">
        <v>25</v>
      </c>
      <c r="M581" t="s">
        <v>3406</v>
      </c>
      <c r="N581" t="s">
        <v>3415</v>
      </c>
      <c r="O581" t="s">
        <v>3416</v>
      </c>
      <c r="P581" t="s">
        <v>3417</v>
      </c>
      <c r="Q581" t="s">
        <v>30</v>
      </c>
      <c r="R581" t="s">
        <v>31</v>
      </c>
      <c r="S581" t="s">
        <v>58</v>
      </c>
    </row>
    <row r="582" spans="1:19" x14ac:dyDescent="0.45">
      <c r="A582" t="str">
        <f t="shared" si="34"/>
        <v>06801</v>
      </c>
      <c r="B582" t="s">
        <v>1870</v>
      </c>
      <c r="C582" t="str">
        <f t="shared" si="33"/>
        <v>06119</v>
      </c>
      <c r="D582" t="s">
        <v>2543</v>
      </c>
      <c r="E582" t="str">
        <f>"2671"</f>
        <v>2671</v>
      </c>
      <c r="F582" t="s">
        <v>3418</v>
      </c>
      <c r="G582">
        <v>5</v>
      </c>
      <c r="H582">
        <v>8</v>
      </c>
      <c r="I582" t="s">
        <v>2545</v>
      </c>
      <c r="K582" t="s">
        <v>2546</v>
      </c>
      <c r="L582" t="s">
        <v>25</v>
      </c>
      <c r="M582" t="s">
        <v>3406</v>
      </c>
      <c r="N582" t="s">
        <v>3419</v>
      </c>
      <c r="O582" t="s">
        <v>3420</v>
      </c>
      <c r="P582" t="s">
        <v>3421</v>
      </c>
      <c r="Q582" t="s">
        <v>30</v>
      </c>
      <c r="R582" t="s">
        <v>31</v>
      </c>
      <c r="S582" t="s">
        <v>104</v>
      </c>
    </row>
    <row r="583" spans="1:19" x14ac:dyDescent="0.45">
      <c r="A583" t="str">
        <f t="shared" si="34"/>
        <v>06801</v>
      </c>
      <c r="B583" t="s">
        <v>1870</v>
      </c>
      <c r="C583" t="str">
        <f t="shared" si="33"/>
        <v>06119</v>
      </c>
      <c r="D583" t="s">
        <v>2543</v>
      </c>
      <c r="E583" t="str">
        <f>"2910"</f>
        <v>2910</v>
      </c>
      <c r="F583" t="s">
        <v>3422</v>
      </c>
      <c r="G583" t="s">
        <v>22</v>
      </c>
      <c r="H583">
        <v>4</v>
      </c>
      <c r="I583" t="s">
        <v>3423</v>
      </c>
      <c r="K583" t="s">
        <v>3424</v>
      </c>
      <c r="L583" t="s">
        <v>25</v>
      </c>
      <c r="M583" t="s">
        <v>3425</v>
      </c>
      <c r="N583" t="s">
        <v>3426</v>
      </c>
      <c r="O583" t="s">
        <v>3427</v>
      </c>
      <c r="P583" t="s">
        <v>3428</v>
      </c>
      <c r="Q583" t="s">
        <v>30</v>
      </c>
      <c r="R583" t="s">
        <v>31</v>
      </c>
      <c r="S583" t="s">
        <v>32</v>
      </c>
    </row>
    <row r="584" spans="1:19" x14ac:dyDescent="0.45">
      <c r="A584" t="str">
        <f t="shared" si="34"/>
        <v>06801</v>
      </c>
      <c r="B584" t="s">
        <v>1870</v>
      </c>
      <c r="C584" t="str">
        <f t="shared" si="33"/>
        <v>06119</v>
      </c>
      <c r="D584" t="s">
        <v>2543</v>
      </c>
      <c r="E584" t="str">
        <f>"3018"</f>
        <v>3018</v>
      </c>
      <c r="F584" t="s">
        <v>3429</v>
      </c>
      <c r="G584" t="s">
        <v>22</v>
      </c>
      <c r="H584">
        <v>4</v>
      </c>
      <c r="I584" t="s">
        <v>3430</v>
      </c>
      <c r="K584" t="s">
        <v>2029</v>
      </c>
      <c r="L584" t="s">
        <v>25</v>
      </c>
      <c r="M584" t="s">
        <v>3431</v>
      </c>
      <c r="N584" t="s">
        <v>3432</v>
      </c>
      <c r="O584" t="s">
        <v>3433</v>
      </c>
      <c r="P584" t="s">
        <v>3434</v>
      </c>
      <c r="Q584" t="s">
        <v>30</v>
      </c>
      <c r="R584" t="s">
        <v>31</v>
      </c>
      <c r="S584" t="s">
        <v>32</v>
      </c>
    </row>
    <row r="585" spans="1:19" x14ac:dyDescent="0.45">
      <c r="A585" t="str">
        <f t="shared" si="34"/>
        <v>06801</v>
      </c>
      <c r="B585" t="s">
        <v>1870</v>
      </c>
      <c r="C585" t="str">
        <f t="shared" si="33"/>
        <v>06119</v>
      </c>
      <c r="D585" t="s">
        <v>2543</v>
      </c>
      <c r="E585" t="str">
        <f>"3545"</f>
        <v>3545</v>
      </c>
      <c r="F585" t="s">
        <v>3435</v>
      </c>
      <c r="G585">
        <v>5</v>
      </c>
      <c r="H585">
        <v>8</v>
      </c>
      <c r="I585" t="s">
        <v>2545</v>
      </c>
      <c r="K585" t="s">
        <v>2546</v>
      </c>
      <c r="L585" t="s">
        <v>25</v>
      </c>
      <c r="M585">
        <v>98604</v>
      </c>
      <c r="N585" t="s">
        <v>3436</v>
      </c>
      <c r="O585" t="s">
        <v>3437</v>
      </c>
      <c r="P585" t="s">
        <v>3438</v>
      </c>
      <c r="Q585" t="s">
        <v>30</v>
      </c>
      <c r="R585" t="s">
        <v>31</v>
      </c>
      <c r="S585" t="s">
        <v>104</v>
      </c>
    </row>
    <row r="586" spans="1:19" x14ac:dyDescent="0.45">
      <c r="A586" t="str">
        <f t="shared" si="34"/>
        <v>06801</v>
      </c>
      <c r="B586" t="s">
        <v>1870</v>
      </c>
      <c r="C586" t="str">
        <f t="shared" si="33"/>
        <v>06119</v>
      </c>
      <c r="D586" t="s">
        <v>2543</v>
      </c>
      <c r="E586" t="str">
        <f>"3996"</f>
        <v>3996</v>
      </c>
      <c r="F586" t="s">
        <v>3439</v>
      </c>
      <c r="G586" t="s">
        <v>22</v>
      </c>
      <c r="H586">
        <v>4</v>
      </c>
      <c r="I586" t="s">
        <v>2545</v>
      </c>
      <c r="K586" t="s">
        <v>2546</v>
      </c>
      <c r="L586" t="s">
        <v>25</v>
      </c>
      <c r="M586" t="s">
        <v>3406</v>
      </c>
      <c r="N586" t="s">
        <v>3440</v>
      </c>
      <c r="O586" t="s">
        <v>3441</v>
      </c>
      <c r="P586" t="s">
        <v>3442</v>
      </c>
      <c r="Q586" t="s">
        <v>30</v>
      </c>
      <c r="R586" t="s">
        <v>31</v>
      </c>
      <c r="S586" t="s">
        <v>32</v>
      </c>
    </row>
    <row r="587" spans="1:19" x14ac:dyDescent="0.45">
      <c r="A587" t="str">
        <f t="shared" si="34"/>
        <v>06801</v>
      </c>
      <c r="B587" t="s">
        <v>1870</v>
      </c>
      <c r="C587" t="str">
        <f t="shared" si="33"/>
        <v>06119</v>
      </c>
      <c r="D587" t="s">
        <v>2543</v>
      </c>
      <c r="E587" t="str">
        <f>"3997"</f>
        <v>3997</v>
      </c>
      <c r="F587" t="s">
        <v>3443</v>
      </c>
      <c r="G587">
        <v>5</v>
      </c>
      <c r="H587">
        <v>8</v>
      </c>
      <c r="I587" t="s">
        <v>3444</v>
      </c>
      <c r="K587" t="s">
        <v>1874</v>
      </c>
      <c r="L587" t="s">
        <v>25</v>
      </c>
      <c r="M587" t="s">
        <v>3445</v>
      </c>
      <c r="N587" t="s">
        <v>3446</v>
      </c>
      <c r="O587" t="s">
        <v>3447</v>
      </c>
      <c r="P587" t="s">
        <v>3448</v>
      </c>
      <c r="Q587" t="s">
        <v>30</v>
      </c>
      <c r="R587" t="s">
        <v>31</v>
      </c>
      <c r="S587" t="s">
        <v>104</v>
      </c>
    </row>
    <row r="588" spans="1:19" x14ac:dyDescent="0.45">
      <c r="A588" t="str">
        <f t="shared" si="34"/>
        <v>06801</v>
      </c>
      <c r="B588" t="s">
        <v>1870</v>
      </c>
      <c r="C588" t="str">
        <f t="shared" si="33"/>
        <v>06119</v>
      </c>
      <c r="D588" t="s">
        <v>2543</v>
      </c>
      <c r="E588" t="str">
        <f>"4104"</f>
        <v>4104</v>
      </c>
      <c r="F588" t="s">
        <v>3449</v>
      </c>
      <c r="G588">
        <v>9</v>
      </c>
      <c r="H588">
        <v>12</v>
      </c>
      <c r="I588" t="s">
        <v>2545</v>
      </c>
      <c r="K588" t="s">
        <v>2546</v>
      </c>
      <c r="L588" t="s">
        <v>25</v>
      </c>
      <c r="M588" t="s">
        <v>3406</v>
      </c>
      <c r="N588" t="s">
        <v>3450</v>
      </c>
      <c r="O588" t="s">
        <v>3451</v>
      </c>
      <c r="P588" t="s">
        <v>3452</v>
      </c>
      <c r="Q588" t="s">
        <v>30</v>
      </c>
      <c r="R588" t="s">
        <v>31</v>
      </c>
      <c r="S588" t="s">
        <v>58</v>
      </c>
    </row>
    <row r="589" spans="1:19" x14ac:dyDescent="0.45">
      <c r="A589" t="str">
        <f t="shared" si="34"/>
        <v>06801</v>
      </c>
      <c r="B589" t="s">
        <v>1870</v>
      </c>
      <c r="C589" t="str">
        <f t="shared" si="33"/>
        <v>06119</v>
      </c>
      <c r="D589" t="s">
        <v>2543</v>
      </c>
      <c r="E589" t="str">
        <f>"4108"</f>
        <v>4108</v>
      </c>
      <c r="F589" t="s">
        <v>3453</v>
      </c>
      <c r="G589" t="s">
        <v>22</v>
      </c>
      <c r="H589">
        <v>12</v>
      </c>
      <c r="I589" t="s">
        <v>2545</v>
      </c>
      <c r="K589" t="s">
        <v>2546</v>
      </c>
      <c r="L589" t="s">
        <v>25</v>
      </c>
      <c r="M589" t="s">
        <v>3406</v>
      </c>
      <c r="N589" t="s">
        <v>3454</v>
      </c>
      <c r="O589" t="s">
        <v>3455</v>
      </c>
      <c r="P589" t="s">
        <v>3456</v>
      </c>
      <c r="Q589" t="s">
        <v>66</v>
      </c>
      <c r="R589" t="s">
        <v>67</v>
      </c>
      <c r="S589" t="s">
        <v>1248</v>
      </c>
    </row>
    <row r="590" spans="1:19" x14ac:dyDescent="0.45">
      <c r="A590" t="str">
        <f t="shared" si="34"/>
        <v>06801</v>
      </c>
      <c r="B590" t="s">
        <v>1870</v>
      </c>
      <c r="C590" t="str">
        <f t="shared" si="33"/>
        <v>06119</v>
      </c>
      <c r="D590" t="s">
        <v>2543</v>
      </c>
      <c r="E590" t="str">
        <f>"4144"</f>
        <v>4144</v>
      </c>
      <c r="F590" t="s">
        <v>3457</v>
      </c>
      <c r="G590" t="s">
        <v>70</v>
      </c>
      <c r="H590">
        <v>4</v>
      </c>
      <c r="I590" t="s">
        <v>2545</v>
      </c>
      <c r="K590" t="s">
        <v>3405</v>
      </c>
      <c r="L590" t="s">
        <v>25</v>
      </c>
      <c r="M590" t="s">
        <v>3406</v>
      </c>
      <c r="N590" t="s">
        <v>3458</v>
      </c>
      <c r="O590" t="s">
        <v>3459</v>
      </c>
      <c r="P590" t="s">
        <v>3460</v>
      </c>
      <c r="Q590" t="s">
        <v>30</v>
      </c>
      <c r="R590" t="s">
        <v>31</v>
      </c>
      <c r="S590" t="s">
        <v>32</v>
      </c>
    </row>
    <row r="591" spans="1:19" x14ac:dyDescent="0.45">
      <c r="A591" t="str">
        <f t="shared" si="34"/>
        <v>06801</v>
      </c>
      <c r="B591" t="s">
        <v>1870</v>
      </c>
      <c r="C591" t="str">
        <f t="shared" si="33"/>
        <v>06119</v>
      </c>
      <c r="D591" t="s">
        <v>2543</v>
      </c>
      <c r="E591" t="str">
        <f>"4352"</f>
        <v>4352</v>
      </c>
      <c r="F591" t="s">
        <v>3461</v>
      </c>
      <c r="G591" t="s">
        <v>22</v>
      </c>
      <c r="H591">
        <v>4</v>
      </c>
      <c r="I591" t="s">
        <v>2545</v>
      </c>
      <c r="K591" t="s">
        <v>3405</v>
      </c>
      <c r="L591" t="s">
        <v>25</v>
      </c>
      <c r="M591" t="s">
        <v>3406</v>
      </c>
      <c r="N591" t="s">
        <v>3462</v>
      </c>
      <c r="O591" t="s">
        <v>3463</v>
      </c>
      <c r="P591" t="s">
        <v>3464</v>
      </c>
      <c r="Q591" t="s">
        <v>30</v>
      </c>
      <c r="R591" t="s">
        <v>31</v>
      </c>
      <c r="S591" t="s">
        <v>32</v>
      </c>
    </row>
    <row r="592" spans="1:19" x14ac:dyDescent="0.45">
      <c r="A592" t="str">
        <f t="shared" si="34"/>
        <v>06801</v>
      </c>
      <c r="B592" t="s">
        <v>1870</v>
      </c>
      <c r="C592" t="str">
        <f t="shared" si="33"/>
        <v>06119</v>
      </c>
      <c r="D592" t="s">
        <v>2543</v>
      </c>
      <c r="E592" t="str">
        <f>"4450"</f>
        <v>4450</v>
      </c>
      <c r="F592" t="s">
        <v>3465</v>
      </c>
      <c r="G592">
        <v>7</v>
      </c>
      <c r="H592">
        <v>12</v>
      </c>
      <c r="I592" t="s">
        <v>2545</v>
      </c>
      <c r="K592" t="s">
        <v>2546</v>
      </c>
      <c r="L592" t="s">
        <v>25</v>
      </c>
      <c r="M592" t="s">
        <v>3406</v>
      </c>
      <c r="N592" t="s">
        <v>2547</v>
      </c>
      <c r="O592" t="s">
        <v>2548</v>
      </c>
      <c r="P592" t="s">
        <v>3466</v>
      </c>
      <c r="Q592" t="s">
        <v>157</v>
      </c>
      <c r="R592" t="s">
        <v>158</v>
      </c>
      <c r="S592" t="s">
        <v>58</v>
      </c>
    </row>
    <row r="593" spans="1:19" x14ac:dyDescent="0.45">
      <c r="A593" t="str">
        <f t="shared" si="34"/>
        <v>06801</v>
      </c>
      <c r="B593" t="s">
        <v>1870</v>
      </c>
      <c r="C593" t="str">
        <f>"06122"</f>
        <v>06122</v>
      </c>
      <c r="D593" t="s">
        <v>3467</v>
      </c>
      <c r="E593" t="str">
        <f>"2390"</f>
        <v>2390</v>
      </c>
      <c r="F593" t="s">
        <v>3468</v>
      </c>
      <c r="G593">
        <v>9</v>
      </c>
      <c r="H593">
        <v>12</v>
      </c>
      <c r="I593" t="s">
        <v>3469</v>
      </c>
      <c r="K593" t="s">
        <v>3470</v>
      </c>
      <c r="L593" t="s">
        <v>25</v>
      </c>
      <c r="M593" t="s">
        <v>3471</v>
      </c>
      <c r="N593" t="s">
        <v>3472</v>
      </c>
      <c r="O593" t="s">
        <v>3473</v>
      </c>
      <c r="P593" t="s">
        <v>3474</v>
      </c>
      <c r="Q593" t="s">
        <v>30</v>
      </c>
      <c r="R593" t="s">
        <v>31</v>
      </c>
      <c r="S593" t="s">
        <v>58</v>
      </c>
    </row>
    <row r="594" spans="1:19" x14ac:dyDescent="0.45">
      <c r="A594" t="str">
        <f t="shared" si="34"/>
        <v>06801</v>
      </c>
      <c r="B594" t="s">
        <v>1870</v>
      </c>
      <c r="C594" t="str">
        <f>"06122"</f>
        <v>06122</v>
      </c>
      <c r="D594" t="s">
        <v>3467</v>
      </c>
      <c r="E594" t="str">
        <f>"3321"</f>
        <v>3321</v>
      </c>
      <c r="F594" t="s">
        <v>3475</v>
      </c>
      <c r="G594" t="s">
        <v>70</v>
      </c>
      <c r="H594">
        <v>4</v>
      </c>
      <c r="I594" t="s">
        <v>3476</v>
      </c>
      <c r="K594" t="s">
        <v>3470</v>
      </c>
      <c r="L594" t="s">
        <v>25</v>
      </c>
      <c r="M594" t="s">
        <v>3477</v>
      </c>
      <c r="N594" t="s">
        <v>3478</v>
      </c>
      <c r="O594" t="s">
        <v>3479</v>
      </c>
      <c r="P594" t="s">
        <v>3480</v>
      </c>
      <c r="Q594" t="s">
        <v>30</v>
      </c>
      <c r="R594" t="s">
        <v>31</v>
      </c>
      <c r="S594" t="s">
        <v>32</v>
      </c>
    </row>
    <row r="595" spans="1:19" x14ac:dyDescent="0.45">
      <c r="A595" t="str">
        <f t="shared" si="34"/>
        <v>06801</v>
      </c>
      <c r="B595" t="s">
        <v>1870</v>
      </c>
      <c r="C595" t="str">
        <f>"06122"</f>
        <v>06122</v>
      </c>
      <c r="D595" t="s">
        <v>3467</v>
      </c>
      <c r="E595" t="str">
        <f>"3786"</f>
        <v>3786</v>
      </c>
      <c r="F595" t="s">
        <v>3481</v>
      </c>
      <c r="G595" t="s">
        <v>70</v>
      </c>
      <c r="H595">
        <v>4</v>
      </c>
      <c r="I595" t="s">
        <v>3482</v>
      </c>
      <c r="K595" t="s">
        <v>3470</v>
      </c>
      <c r="L595" t="s">
        <v>25</v>
      </c>
      <c r="M595" t="s">
        <v>3483</v>
      </c>
      <c r="N595" t="s">
        <v>3484</v>
      </c>
      <c r="O595" t="s">
        <v>3485</v>
      </c>
      <c r="P595" t="s">
        <v>3486</v>
      </c>
      <c r="Q595" t="s">
        <v>30</v>
      </c>
      <c r="R595" t="s">
        <v>31</v>
      </c>
      <c r="S595" t="s">
        <v>32</v>
      </c>
    </row>
    <row r="596" spans="1:19" x14ac:dyDescent="0.45">
      <c r="A596" t="str">
        <f t="shared" si="34"/>
        <v>06801</v>
      </c>
      <c r="B596" t="s">
        <v>1870</v>
      </c>
      <c r="C596" t="str">
        <f>"06122"</f>
        <v>06122</v>
      </c>
      <c r="D596" t="s">
        <v>3467</v>
      </c>
      <c r="E596" t="str">
        <f>"3891"</f>
        <v>3891</v>
      </c>
      <c r="F596" t="s">
        <v>3487</v>
      </c>
      <c r="G596">
        <v>7</v>
      </c>
      <c r="H596">
        <v>8</v>
      </c>
      <c r="I596" t="s">
        <v>3488</v>
      </c>
      <c r="K596" t="s">
        <v>3470</v>
      </c>
      <c r="L596" t="s">
        <v>25</v>
      </c>
      <c r="M596" t="s">
        <v>3489</v>
      </c>
      <c r="N596" t="s">
        <v>3490</v>
      </c>
      <c r="O596" t="s">
        <v>3491</v>
      </c>
      <c r="P596" t="s">
        <v>3492</v>
      </c>
      <c r="Q596" t="s">
        <v>30</v>
      </c>
      <c r="R596" t="s">
        <v>31</v>
      </c>
      <c r="S596" t="s">
        <v>104</v>
      </c>
    </row>
    <row r="597" spans="1:19" x14ac:dyDescent="0.45">
      <c r="A597" t="str">
        <f>"11801"</f>
        <v>11801</v>
      </c>
      <c r="B597" t="s">
        <v>1122</v>
      </c>
      <c r="C597" t="str">
        <f>"07002"</f>
        <v>07002</v>
      </c>
      <c r="D597" t="s">
        <v>3493</v>
      </c>
      <c r="E597" t="str">
        <f>"2302"</f>
        <v>2302</v>
      </c>
      <c r="F597" t="s">
        <v>3494</v>
      </c>
      <c r="G597">
        <v>9</v>
      </c>
      <c r="H597">
        <v>12</v>
      </c>
      <c r="I597" t="s">
        <v>3495</v>
      </c>
      <c r="K597" t="s">
        <v>3496</v>
      </c>
      <c r="L597" t="s">
        <v>25</v>
      </c>
      <c r="M597" t="s">
        <v>3497</v>
      </c>
      <c r="N597" t="s">
        <v>3498</v>
      </c>
      <c r="O597" t="s">
        <v>3499</v>
      </c>
      <c r="P597" t="s">
        <v>3500</v>
      </c>
      <c r="Q597" t="s">
        <v>30</v>
      </c>
      <c r="R597" t="s">
        <v>31</v>
      </c>
      <c r="S597" t="s">
        <v>58</v>
      </c>
    </row>
    <row r="598" spans="1:19" x14ac:dyDescent="0.45">
      <c r="A598" t="str">
        <f>"11801"</f>
        <v>11801</v>
      </c>
      <c r="B598" t="s">
        <v>1122</v>
      </c>
      <c r="C598" t="str">
        <f>"07002"</f>
        <v>07002</v>
      </c>
      <c r="D598" t="s">
        <v>3493</v>
      </c>
      <c r="E598" t="str">
        <f>"2830"</f>
        <v>2830</v>
      </c>
      <c r="F598" t="s">
        <v>3501</v>
      </c>
      <c r="G598" t="s">
        <v>22</v>
      </c>
      <c r="H598">
        <v>5</v>
      </c>
      <c r="I598" t="s">
        <v>3502</v>
      </c>
      <c r="K598" t="s">
        <v>3496</v>
      </c>
      <c r="L598" t="s">
        <v>25</v>
      </c>
      <c r="M598" t="s">
        <v>3503</v>
      </c>
      <c r="N598" t="s">
        <v>3504</v>
      </c>
      <c r="O598" t="s">
        <v>3505</v>
      </c>
      <c r="P598" t="s">
        <v>3506</v>
      </c>
      <c r="Q598" t="s">
        <v>30</v>
      </c>
      <c r="R598" t="s">
        <v>31</v>
      </c>
      <c r="S598" t="s">
        <v>32</v>
      </c>
    </row>
    <row r="599" spans="1:19" x14ac:dyDescent="0.45">
      <c r="A599" t="str">
        <f>"11801"</f>
        <v>11801</v>
      </c>
      <c r="B599" t="s">
        <v>1122</v>
      </c>
      <c r="C599" t="str">
        <f>"07002"</f>
        <v>07002</v>
      </c>
      <c r="D599" t="s">
        <v>3493</v>
      </c>
      <c r="E599" t="str">
        <f>"4011"</f>
        <v>4011</v>
      </c>
      <c r="F599" t="s">
        <v>3507</v>
      </c>
      <c r="G599">
        <v>6</v>
      </c>
      <c r="H599">
        <v>8</v>
      </c>
      <c r="I599" t="s">
        <v>3508</v>
      </c>
      <c r="K599" t="s">
        <v>3496</v>
      </c>
      <c r="L599" t="s">
        <v>25</v>
      </c>
      <c r="M599" t="s">
        <v>3509</v>
      </c>
      <c r="N599" t="s">
        <v>3498</v>
      </c>
      <c r="O599" t="s">
        <v>3499</v>
      </c>
      <c r="P599" t="s">
        <v>3500</v>
      </c>
      <c r="Q599" t="s">
        <v>30</v>
      </c>
      <c r="R599" t="s">
        <v>31</v>
      </c>
      <c r="S599" t="s">
        <v>104</v>
      </c>
    </row>
    <row r="600" spans="1:19" x14ac:dyDescent="0.45">
      <c r="A600" t="str">
        <f>"11801"</f>
        <v>11801</v>
      </c>
      <c r="B600" t="s">
        <v>1122</v>
      </c>
      <c r="C600" t="str">
        <f>"07035"</f>
        <v>07035</v>
      </c>
      <c r="D600" t="s">
        <v>3510</v>
      </c>
      <c r="E600" t="str">
        <f>"2135"</f>
        <v>2135</v>
      </c>
      <c r="F600" t="s">
        <v>3511</v>
      </c>
      <c r="G600" t="s">
        <v>70</v>
      </c>
      <c r="H600">
        <v>8</v>
      </c>
      <c r="I600" t="s">
        <v>3512</v>
      </c>
      <c r="K600" t="s">
        <v>3513</v>
      </c>
      <c r="L600" t="s">
        <v>25</v>
      </c>
      <c r="M600" t="s">
        <v>3514</v>
      </c>
      <c r="N600" t="s">
        <v>3515</v>
      </c>
      <c r="O600" t="s">
        <v>3516</v>
      </c>
      <c r="P600" t="s">
        <v>3517</v>
      </c>
      <c r="Q600" t="s">
        <v>30</v>
      </c>
      <c r="R600" t="s">
        <v>31</v>
      </c>
      <c r="S600" t="s">
        <v>159</v>
      </c>
    </row>
    <row r="601" spans="1:19" x14ac:dyDescent="0.45">
      <c r="A601" t="str">
        <f t="shared" ref="A601:A631" si="35">"06801"</f>
        <v>06801</v>
      </c>
      <c r="B601" t="s">
        <v>1870</v>
      </c>
      <c r="C601" t="str">
        <f t="shared" ref="C601:C614" si="36">"08122"</f>
        <v>08122</v>
      </c>
      <c r="D601" t="s">
        <v>2303</v>
      </c>
      <c r="E601" t="str">
        <f>"2319"</f>
        <v>2319</v>
      </c>
      <c r="F601" t="s">
        <v>3518</v>
      </c>
      <c r="G601" t="s">
        <v>70</v>
      </c>
      <c r="H601">
        <v>5</v>
      </c>
      <c r="I601" t="s">
        <v>3519</v>
      </c>
      <c r="K601" t="s">
        <v>2306</v>
      </c>
      <c r="L601" t="s">
        <v>25</v>
      </c>
      <c r="M601" t="s">
        <v>3520</v>
      </c>
      <c r="N601" t="s">
        <v>3521</v>
      </c>
      <c r="O601" t="s">
        <v>3522</v>
      </c>
      <c r="P601" t="s">
        <v>3523</v>
      </c>
      <c r="Q601" t="s">
        <v>30</v>
      </c>
      <c r="R601" t="s">
        <v>31</v>
      </c>
      <c r="S601" t="s">
        <v>32</v>
      </c>
    </row>
    <row r="602" spans="1:19" x14ac:dyDescent="0.45">
      <c r="A602" t="str">
        <f t="shared" si="35"/>
        <v>06801</v>
      </c>
      <c r="B602" t="s">
        <v>1870</v>
      </c>
      <c r="C602" t="str">
        <f t="shared" si="36"/>
        <v>08122</v>
      </c>
      <c r="D602" t="s">
        <v>2303</v>
      </c>
      <c r="E602" t="str">
        <f>"2369"</f>
        <v>2369</v>
      </c>
      <c r="F602" t="s">
        <v>3524</v>
      </c>
      <c r="G602" t="s">
        <v>70</v>
      </c>
      <c r="H602">
        <v>5</v>
      </c>
      <c r="I602" t="s">
        <v>3525</v>
      </c>
      <c r="K602" t="s">
        <v>2306</v>
      </c>
      <c r="L602" t="s">
        <v>25</v>
      </c>
      <c r="M602" t="s">
        <v>3526</v>
      </c>
      <c r="N602" t="s">
        <v>3527</v>
      </c>
      <c r="O602" t="s">
        <v>3528</v>
      </c>
      <c r="P602" t="s">
        <v>3529</v>
      </c>
      <c r="Q602" t="s">
        <v>30</v>
      </c>
      <c r="R602" t="s">
        <v>31</v>
      </c>
      <c r="S602" t="s">
        <v>32</v>
      </c>
    </row>
    <row r="603" spans="1:19" x14ac:dyDescent="0.45">
      <c r="A603" t="str">
        <f t="shared" si="35"/>
        <v>06801</v>
      </c>
      <c r="B603" t="s">
        <v>1870</v>
      </c>
      <c r="C603" t="str">
        <f t="shared" si="36"/>
        <v>08122</v>
      </c>
      <c r="D603" t="s">
        <v>2303</v>
      </c>
      <c r="E603" t="str">
        <f>"2370"</f>
        <v>2370</v>
      </c>
      <c r="F603" t="s">
        <v>3530</v>
      </c>
      <c r="G603" t="s">
        <v>70</v>
      </c>
      <c r="H603">
        <v>5</v>
      </c>
      <c r="I603" t="s">
        <v>3531</v>
      </c>
      <c r="K603" t="s">
        <v>2306</v>
      </c>
      <c r="L603" t="s">
        <v>25</v>
      </c>
      <c r="M603" t="s">
        <v>3532</v>
      </c>
      <c r="N603" t="s">
        <v>3533</v>
      </c>
      <c r="O603" t="s">
        <v>3534</v>
      </c>
      <c r="P603" t="s">
        <v>3535</v>
      </c>
      <c r="Q603" t="s">
        <v>30</v>
      </c>
      <c r="R603" t="s">
        <v>31</v>
      </c>
      <c r="S603" t="s">
        <v>32</v>
      </c>
    </row>
    <row r="604" spans="1:19" x14ac:dyDescent="0.45">
      <c r="A604" t="str">
        <f t="shared" si="35"/>
        <v>06801</v>
      </c>
      <c r="B604" t="s">
        <v>1870</v>
      </c>
      <c r="C604" t="str">
        <f t="shared" si="36"/>
        <v>08122</v>
      </c>
      <c r="D604" t="s">
        <v>2303</v>
      </c>
      <c r="E604" t="str">
        <f>"2416"</f>
        <v>2416</v>
      </c>
      <c r="F604" t="s">
        <v>3536</v>
      </c>
      <c r="G604">
        <v>9</v>
      </c>
      <c r="H604">
        <v>12</v>
      </c>
      <c r="I604" t="s">
        <v>3537</v>
      </c>
      <c r="K604" t="s">
        <v>2306</v>
      </c>
      <c r="L604" t="s">
        <v>25</v>
      </c>
      <c r="M604" t="s">
        <v>3538</v>
      </c>
      <c r="N604" t="s">
        <v>3539</v>
      </c>
      <c r="O604" t="s">
        <v>3540</v>
      </c>
      <c r="P604" t="s">
        <v>3541</v>
      </c>
      <c r="Q604" t="s">
        <v>30</v>
      </c>
      <c r="R604" t="s">
        <v>31</v>
      </c>
      <c r="S604" t="s">
        <v>58</v>
      </c>
    </row>
    <row r="605" spans="1:19" x14ac:dyDescent="0.45">
      <c r="A605" t="str">
        <f t="shared" si="35"/>
        <v>06801</v>
      </c>
      <c r="B605" t="s">
        <v>1870</v>
      </c>
      <c r="C605" t="str">
        <f t="shared" si="36"/>
        <v>08122</v>
      </c>
      <c r="D605" t="s">
        <v>2303</v>
      </c>
      <c r="E605" t="str">
        <f>"2665"</f>
        <v>2665</v>
      </c>
      <c r="F605" t="s">
        <v>3542</v>
      </c>
      <c r="G605" t="s">
        <v>22</v>
      </c>
      <c r="H605" t="s">
        <v>22</v>
      </c>
      <c r="I605" t="s">
        <v>3543</v>
      </c>
      <c r="K605" t="s">
        <v>2306</v>
      </c>
      <c r="L605" t="s">
        <v>25</v>
      </c>
      <c r="M605" t="s">
        <v>3544</v>
      </c>
      <c r="N605" t="s">
        <v>3545</v>
      </c>
      <c r="O605" t="s">
        <v>3546</v>
      </c>
      <c r="P605" t="s">
        <v>3547</v>
      </c>
      <c r="Q605" t="s">
        <v>66</v>
      </c>
      <c r="R605" t="s">
        <v>67</v>
      </c>
      <c r="S605" t="s">
        <v>1248</v>
      </c>
    </row>
    <row r="606" spans="1:19" x14ac:dyDescent="0.45">
      <c r="A606" t="str">
        <f t="shared" si="35"/>
        <v>06801</v>
      </c>
      <c r="B606" t="s">
        <v>1870</v>
      </c>
      <c r="C606" t="str">
        <f t="shared" si="36"/>
        <v>08122</v>
      </c>
      <c r="D606" t="s">
        <v>2303</v>
      </c>
      <c r="E606" t="str">
        <f>"2726"</f>
        <v>2726</v>
      </c>
      <c r="F606" t="s">
        <v>3548</v>
      </c>
      <c r="G606" t="s">
        <v>70</v>
      </c>
      <c r="H606">
        <v>5</v>
      </c>
      <c r="I606" t="s">
        <v>3549</v>
      </c>
      <c r="K606" t="s">
        <v>2306</v>
      </c>
      <c r="L606" t="s">
        <v>25</v>
      </c>
      <c r="M606" t="s">
        <v>3550</v>
      </c>
      <c r="N606" t="s">
        <v>3551</v>
      </c>
      <c r="O606" t="s">
        <v>3552</v>
      </c>
      <c r="P606" t="s">
        <v>3553</v>
      </c>
      <c r="Q606" t="s">
        <v>30</v>
      </c>
      <c r="R606" t="s">
        <v>31</v>
      </c>
      <c r="S606" t="s">
        <v>32</v>
      </c>
    </row>
    <row r="607" spans="1:19" x14ac:dyDescent="0.45">
      <c r="A607" t="str">
        <f t="shared" si="35"/>
        <v>06801</v>
      </c>
      <c r="B607" t="s">
        <v>1870</v>
      </c>
      <c r="C607" t="str">
        <f t="shared" si="36"/>
        <v>08122</v>
      </c>
      <c r="D607" t="s">
        <v>2303</v>
      </c>
      <c r="E607" t="str">
        <f>"2831"</f>
        <v>2831</v>
      </c>
      <c r="F607" t="s">
        <v>3554</v>
      </c>
      <c r="G607">
        <v>6</v>
      </c>
      <c r="H607">
        <v>8</v>
      </c>
      <c r="I607" t="s">
        <v>3555</v>
      </c>
      <c r="K607" t="s">
        <v>2306</v>
      </c>
      <c r="L607" t="s">
        <v>25</v>
      </c>
      <c r="M607" t="s">
        <v>3556</v>
      </c>
      <c r="N607" t="s">
        <v>3557</v>
      </c>
      <c r="O607" t="s">
        <v>3558</v>
      </c>
      <c r="P607" t="s">
        <v>3559</v>
      </c>
      <c r="Q607" t="s">
        <v>30</v>
      </c>
      <c r="R607" t="s">
        <v>31</v>
      </c>
      <c r="S607" t="s">
        <v>104</v>
      </c>
    </row>
    <row r="608" spans="1:19" x14ac:dyDescent="0.45">
      <c r="A608" t="str">
        <f t="shared" si="35"/>
        <v>06801</v>
      </c>
      <c r="B608" t="s">
        <v>1870</v>
      </c>
      <c r="C608" t="str">
        <f t="shared" si="36"/>
        <v>08122</v>
      </c>
      <c r="D608" t="s">
        <v>2303</v>
      </c>
      <c r="E608" t="str">
        <f>"2914"</f>
        <v>2914</v>
      </c>
      <c r="F608" t="s">
        <v>3560</v>
      </c>
      <c r="G608" t="s">
        <v>70</v>
      </c>
      <c r="H608">
        <v>5</v>
      </c>
      <c r="I608" t="s">
        <v>3561</v>
      </c>
      <c r="K608" t="s">
        <v>2306</v>
      </c>
      <c r="L608" t="s">
        <v>25</v>
      </c>
      <c r="M608" t="s">
        <v>3562</v>
      </c>
      <c r="N608" t="s">
        <v>3563</v>
      </c>
      <c r="O608" t="s">
        <v>3564</v>
      </c>
      <c r="P608" t="s">
        <v>3565</v>
      </c>
      <c r="Q608" t="s">
        <v>30</v>
      </c>
      <c r="R608" t="s">
        <v>31</v>
      </c>
      <c r="S608" t="s">
        <v>32</v>
      </c>
    </row>
    <row r="609" spans="1:19" x14ac:dyDescent="0.45">
      <c r="A609" t="str">
        <f t="shared" si="35"/>
        <v>06801</v>
      </c>
      <c r="B609" t="s">
        <v>1870</v>
      </c>
      <c r="C609" t="str">
        <f t="shared" si="36"/>
        <v>08122</v>
      </c>
      <c r="D609" t="s">
        <v>2303</v>
      </c>
      <c r="E609" t="str">
        <f>"3019"</f>
        <v>3019</v>
      </c>
      <c r="F609" t="s">
        <v>3566</v>
      </c>
      <c r="G609" t="s">
        <v>70</v>
      </c>
      <c r="H609">
        <v>5</v>
      </c>
      <c r="I609" t="s">
        <v>3567</v>
      </c>
      <c r="K609" t="s">
        <v>2306</v>
      </c>
      <c r="L609" t="s">
        <v>25</v>
      </c>
      <c r="M609" t="s">
        <v>3568</v>
      </c>
      <c r="N609" t="s">
        <v>3569</v>
      </c>
      <c r="O609" t="s">
        <v>3570</v>
      </c>
      <c r="P609" t="s">
        <v>3571</v>
      </c>
      <c r="Q609" t="s">
        <v>30</v>
      </c>
      <c r="R609" t="s">
        <v>31</v>
      </c>
      <c r="S609" t="s">
        <v>32</v>
      </c>
    </row>
    <row r="610" spans="1:19" x14ac:dyDescent="0.45">
      <c r="A610" t="str">
        <f t="shared" si="35"/>
        <v>06801</v>
      </c>
      <c r="B610" t="s">
        <v>1870</v>
      </c>
      <c r="C610" t="str">
        <f t="shared" si="36"/>
        <v>08122</v>
      </c>
      <c r="D610" t="s">
        <v>2303</v>
      </c>
      <c r="E610" t="str">
        <f>"3151"</f>
        <v>3151</v>
      </c>
      <c r="F610" t="s">
        <v>3572</v>
      </c>
      <c r="G610">
        <v>9</v>
      </c>
      <c r="H610">
        <v>12</v>
      </c>
      <c r="I610" t="s">
        <v>3573</v>
      </c>
      <c r="K610" t="s">
        <v>2306</v>
      </c>
      <c r="L610" t="s">
        <v>25</v>
      </c>
      <c r="M610" t="s">
        <v>3574</v>
      </c>
      <c r="N610" t="s">
        <v>3575</v>
      </c>
      <c r="O610" t="s">
        <v>3576</v>
      </c>
      <c r="P610" t="s">
        <v>3577</v>
      </c>
      <c r="Q610" t="s">
        <v>30</v>
      </c>
      <c r="R610" t="s">
        <v>31</v>
      </c>
      <c r="S610" t="s">
        <v>58</v>
      </c>
    </row>
    <row r="611" spans="1:19" x14ac:dyDescent="0.45">
      <c r="A611" t="str">
        <f t="shared" si="35"/>
        <v>06801</v>
      </c>
      <c r="B611" t="s">
        <v>1870</v>
      </c>
      <c r="C611" t="str">
        <f t="shared" si="36"/>
        <v>08122</v>
      </c>
      <c r="D611" t="s">
        <v>2303</v>
      </c>
      <c r="E611" t="str">
        <f>"3211"</f>
        <v>3211</v>
      </c>
      <c r="F611" t="s">
        <v>3578</v>
      </c>
      <c r="G611" t="s">
        <v>70</v>
      </c>
      <c r="H611">
        <v>5</v>
      </c>
      <c r="I611" t="s">
        <v>3579</v>
      </c>
      <c r="K611" t="s">
        <v>2306</v>
      </c>
      <c r="L611" t="s">
        <v>25</v>
      </c>
      <c r="M611" t="s">
        <v>3580</v>
      </c>
      <c r="N611" t="s">
        <v>3581</v>
      </c>
      <c r="O611" t="s">
        <v>3582</v>
      </c>
      <c r="P611" t="s">
        <v>3583</v>
      </c>
      <c r="Q611" t="s">
        <v>30</v>
      </c>
      <c r="R611" t="s">
        <v>31</v>
      </c>
      <c r="S611" t="s">
        <v>32</v>
      </c>
    </row>
    <row r="612" spans="1:19" x14ac:dyDescent="0.45">
      <c r="A612" t="str">
        <f t="shared" si="35"/>
        <v>06801</v>
      </c>
      <c r="B612" t="s">
        <v>1870</v>
      </c>
      <c r="C612" t="str">
        <f t="shared" si="36"/>
        <v>08122</v>
      </c>
      <c r="D612" t="s">
        <v>2303</v>
      </c>
      <c r="E612" t="str">
        <f>"3475"</f>
        <v>3475</v>
      </c>
      <c r="F612" t="s">
        <v>274</v>
      </c>
      <c r="G612">
        <v>6</v>
      </c>
      <c r="H612">
        <v>8</v>
      </c>
      <c r="I612" t="s">
        <v>3584</v>
      </c>
      <c r="K612" t="s">
        <v>2306</v>
      </c>
      <c r="L612" t="s">
        <v>25</v>
      </c>
      <c r="M612" t="s">
        <v>3585</v>
      </c>
      <c r="N612" t="s">
        <v>3586</v>
      </c>
      <c r="O612" t="s">
        <v>3587</v>
      </c>
      <c r="P612" t="s">
        <v>3588</v>
      </c>
      <c r="Q612" t="s">
        <v>30</v>
      </c>
      <c r="R612" t="s">
        <v>31</v>
      </c>
      <c r="S612" t="s">
        <v>104</v>
      </c>
    </row>
    <row r="613" spans="1:19" x14ac:dyDescent="0.45">
      <c r="A613" t="str">
        <f t="shared" si="35"/>
        <v>06801</v>
      </c>
      <c r="B613" t="s">
        <v>1870</v>
      </c>
      <c r="C613" t="str">
        <f t="shared" si="36"/>
        <v>08122</v>
      </c>
      <c r="D613" t="s">
        <v>2303</v>
      </c>
      <c r="E613" t="str">
        <f>"3658"</f>
        <v>3658</v>
      </c>
      <c r="F613" t="s">
        <v>3589</v>
      </c>
      <c r="G613" t="s">
        <v>70</v>
      </c>
      <c r="H613">
        <v>5</v>
      </c>
      <c r="I613" t="s">
        <v>3590</v>
      </c>
      <c r="K613" t="s">
        <v>2306</v>
      </c>
      <c r="L613" t="s">
        <v>25</v>
      </c>
      <c r="M613" t="s">
        <v>3591</v>
      </c>
      <c r="N613" t="s">
        <v>3592</v>
      </c>
      <c r="O613" t="s">
        <v>3593</v>
      </c>
      <c r="P613" t="s">
        <v>3594</v>
      </c>
      <c r="Q613" t="s">
        <v>30</v>
      </c>
      <c r="R613" t="s">
        <v>31</v>
      </c>
      <c r="S613" t="s">
        <v>32</v>
      </c>
    </row>
    <row r="614" spans="1:19" x14ac:dyDescent="0.45">
      <c r="A614" t="str">
        <f t="shared" si="35"/>
        <v>06801</v>
      </c>
      <c r="B614" t="s">
        <v>1870</v>
      </c>
      <c r="C614" t="str">
        <f t="shared" si="36"/>
        <v>08122</v>
      </c>
      <c r="D614" t="s">
        <v>2303</v>
      </c>
      <c r="E614" t="str">
        <f>"3913"</f>
        <v>3913</v>
      </c>
      <c r="F614" t="s">
        <v>3595</v>
      </c>
      <c r="G614" t="s">
        <v>22</v>
      </c>
      <c r="H614" t="s">
        <v>22</v>
      </c>
      <c r="I614" t="s">
        <v>3596</v>
      </c>
      <c r="K614" t="s">
        <v>2306</v>
      </c>
      <c r="L614" t="s">
        <v>25</v>
      </c>
      <c r="M614" t="s">
        <v>3597</v>
      </c>
      <c r="N614" t="s">
        <v>3598</v>
      </c>
      <c r="O614" t="s">
        <v>3599</v>
      </c>
      <c r="P614" t="s">
        <v>3600</v>
      </c>
      <c r="Q614" t="s">
        <v>66</v>
      </c>
      <c r="R614" t="s">
        <v>67</v>
      </c>
      <c r="S614" t="s">
        <v>1248</v>
      </c>
    </row>
    <row r="615" spans="1:19" x14ac:dyDescent="0.45">
      <c r="A615" t="str">
        <f t="shared" si="35"/>
        <v>06801</v>
      </c>
      <c r="B615" t="s">
        <v>1870</v>
      </c>
      <c r="C615" t="str">
        <f>"08130"</f>
        <v>08130</v>
      </c>
      <c r="D615" t="s">
        <v>3601</v>
      </c>
      <c r="E615" t="str">
        <f>"2560"</f>
        <v>2560</v>
      </c>
      <c r="F615" t="s">
        <v>3602</v>
      </c>
      <c r="G615">
        <v>7</v>
      </c>
      <c r="H615">
        <v>12</v>
      </c>
      <c r="I615" t="s">
        <v>3603</v>
      </c>
      <c r="K615" t="s">
        <v>3604</v>
      </c>
      <c r="L615" t="s">
        <v>25</v>
      </c>
      <c r="M615" t="s">
        <v>3605</v>
      </c>
      <c r="N615" t="s">
        <v>3606</v>
      </c>
      <c r="O615" t="s">
        <v>3607</v>
      </c>
      <c r="P615" t="s">
        <v>3608</v>
      </c>
      <c r="Q615" t="s">
        <v>30</v>
      </c>
      <c r="R615" t="s">
        <v>31</v>
      </c>
      <c r="S615" t="s">
        <v>159</v>
      </c>
    </row>
    <row r="616" spans="1:19" x14ac:dyDescent="0.45">
      <c r="A616" t="str">
        <f t="shared" si="35"/>
        <v>06801</v>
      </c>
      <c r="B616" t="s">
        <v>1870</v>
      </c>
      <c r="C616" t="str">
        <f>"08130"</f>
        <v>08130</v>
      </c>
      <c r="D616" t="s">
        <v>3601</v>
      </c>
      <c r="E616" t="str">
        <f>"4264"</f>
        <v>4264</v>
      </c>
      <c r="F616" t="s">
        <v>3609</v>
      </c>
      <c r="G616" t="s">
        <v>70</v>
      </c>
      <c r="H616">
        <v>6</v>
      </c>
      <c r="I616" t="s">
        <v>3603</v>
      </c>
      <c r="K616" t="s">
        <v>3604</v>
      </c>
      <c r="L616" t="s">
        <v>25</v>
      </c>
      <c r="M616" t="s">
        <v>3605</v>
      </c>
      <c r="N616" t="s">
        <v>3610</v>
      </c>
      <c r="O616" t="s">
        <v>3611</v>
      </c>
      <c r="P616" t="s">
        <v>3612</v>
      </c>
      <c r="Q616" t="s">
        <v>30</v>
      </c>
      <c r="R616" t="s">
        <v>31</v>
      </c>
      <c r="S616" t="s">
        <v>32</v>
      </c>
    </row>
    <row r="617" spans="1:19" x14ac:dyDescent="0.45">
      <c r="A617" t="str">
        <f t="shared" si="35"/>
        <v>06801</v>
      </c>
      <c r="B617" t="s">
        <v>1870</v>
      </c>
      <c r="C617" t="str">
        <f>"08401"</f>
        <v>08401</v>
      </c>
      <c r="D617" t="s">
        <v>3613</v>
      </c>
      <c r="E617" t="str">
        <f>"2281"</f>
        <v>2281</v>
      </c>
      <c r="F617" t="s">
        <v>3614</v>
      </c>
      <c r="G617">
        <v>9</v>
      </c>
      <c r="H617">
        <v>12</v>
      </c>
      <c r="I617" t="s">
        <v>3615</v>
      </c>
      <c r="K617" t="s">
        <v>3616</v>
      </c>
      <c r="L617" t="s">
        <v>25</v>
      </c>
      <c r="M617" t="s">
        <v>3617</v>
      </c>
      <c r="N617" t="s">
        <v>3618</v>
      </c>
      <c r="O617" t="s">
        <v>3619</v>
      </c>
      <c r="P617" t="s">
        <v>3620</v>
      </c>
      <c r="Q617" t="s">
        <v>30</v>
      </c>
      <c r="R617" t="s">
        <v>31</v>
      </c>
      <c r="S617" t="s">
        <v>58</v>
      </c>
    </row>
    <row r="618" spans="1:19" x14ac:dyDescent="0.45">
      <c r="A618" t="str">
        <f t="shared" si="35"/>
        <v>06801</v>
      </c>
      <c r="B618" t="s">
        <v>1870</v>
      </c>
      <c r="C618" t="str">
        <f>"08401"</f>
        <v>08401</v>
      </c>
      <c r="D618" t="s">
        <v>3613</v>
      </c>
      <c r="E618" t="str">
        <f>"2762"</f>
        <v>2762</v>
      </c>
      <c r="F618" t="s">
        <v>3621</v>
      </c>
      <c r="G618" t="s">
        <v>22</v>
      </c>
      <c r="H618">
        <v>5</v>
      </c>
      <c r="I618" t="s">
        <v>3622</v>
      </c>
      <c r="K618" t="s">
        <v>3616</v>
      </c>
      <c r="L618" t="s">
        <v>25</v>
      </c>
      <c r="M618" t="s">
        <v>3617</v>
      </c>
      <c r="N618" t="s">
        <v>3623</v>
      </c>
      <c r="O618" t="s">
        <v>3624</v>
      </c>
      <c r="P618" t="s">
        <v>3625</v>
      </c>
      <c r="Q618" t="s">
        <v>30</v>
      </c>
      <c r="R618" t="s">
        <v>31</v>
      </c>
      <c r="S618" t="s">
        <v>32</v>
      </c>
    </row>
    <row r="619" spans="1:19" x14ac:dyDescent="0.45">
      <c r="A619" t="str">
        <f t="shared" si="35"/>
        <v>06801</v>
      </c>
      <c r="B619" t="s">
        <v>1870</v>
      </c>
      <c r="C619" t="str">
        <f>"08401"</f>
        <v>08401</v>
      </c>
      <c r="D619" t="s">
        <v>3613</v>
      </c>
      <c r="E619" t="str">
        <f>"3969"</f>
        <v>3969</v>
      </c>
      <c r="F619" t="s">
        <v>3626</v>
      </c>
      <c r="G619">
        <v>6</v>
      </c>
      <c r="H619">
        <v>8</v>
      </c>
      <c r="I619" t="s">
        <v>3627</v>
      </c>
      <c r="K619" t="s">
        <v>3616</v>
      </c>
      <c r="L619" t="s">
        <v>25</v>
      </c>
      <c r="M619" t="s">
        <v>3617</v>
      </c>
      <c r="N619" t="s">
        <v>3628</v>
      </c>
      <c r="O619" t="s">
        <v>3629</v>
      </c>
      <c r="P619" t="s">
        <v>3630</v>
      </c>
      <c r="Q619" t="s">
        <v>30</v>
      </c>
      <c r="R619" t="s">
        <v>31</v>
      </c>
      <c r="S619" t="s">
        <v>104</v>
      </c>
    </row>
    <row r="620" spans="1:19" x14ac:dyDescent="0.45">
      <c r="A620" t="str">
        <f t="shared" si="35"/>
        <v>06801</v>
      </c>
      <c r="B620" t="s">
        <v>1870</v>
      </c>
      <c r="C620" t="str">
        <f>"08402"</f>
        <v>08402</v>
      </c>
      <c r="D620" t="s">
        <v>3631</v>
      </c>
      <c r="E620" t="str">
        <f>"2561"</f>
        <v>2561</v>
      </c>
      <c r="F620" t="s">
        <v>3632</v>
      </c>
      <c r="G620">
        <v>6</v>
      </c>
      <c r="H620">
        <v>8</v>
      </c>
      <c r="I620" t="s">
        <v>3633</v>
      </c>
      <c r="K620" t="s">
        <v>3634</v>
      </c>
      <c r="L620" t="s">
        <v>25</v>
      </c>
      <c r="M620" t="s">
        <v>3635</v>
      </c>
      <c r="N620" t="s">
        <v>3636</v>
      </c>
      <c r="O620" t="s">
        <v>3637</v>
      </c>
      <c r="P620" t="s">
        <v>3638</v>
      </c>
      <c r="Q620" t="s">
        <v>30</v>
      </c>
      <c r="R620" t="s">
        <v>31</v>
      </c>
      <c r="S620" t="s">
        <v>104</v>
      </c>
    </row>
    <row r="621" spans="1:19" x14ac:dyDescent="0.45">
      <c r="A621" t="str">
        <f t="shared" si="35"/>
        <v>06801</v>
      </c>
      <c r="B621" t="s">
        <v>1870</v>
      </c>
      <c r="C621" t="str">
        <f>"08402"</f>
        <v>08402</v>
      </c>
      <c r="D621" t="s">
        <v>3631</v>
      </c>
      <c r="E621" t="str">
        <f>"2915"</f>
        <v>2915</v>
      </c>
      <c r="F621" t="s">
        <v>3639</v>
      </c>
      <c r="G621" t="s">
        <v>70</v>
      </c>
      <c r="H621">
        <v>5</v>
      </c>
      <c r="I621" t="s">
        <v>3633</v>
      </c>
      <c r="K621" t="s">
        <v>3634</v>
      </c>
      <c r="L621" t="s">
        <v>25</v>
      </c>
      <c r="M621" t="s">
        <v>3635</v>
      </c>
      <c r="N621" t="s">
        <v>3640</v>
      </c>
      <c r="O621" t="s">
        <v>3641</v>
      </c>
      <c r="P621" t="s">
        <v>3642</v>
      </c>
      <c r="Q621" t="s">
        <v>30</v>
      </c>
      <c r="R621" t="s">
        <v>31</v>
      </c>
      <c r="S621" t="s">
        <v>32</v>
      </c>
    </row>
    <row r="622" spans="1:19" x14ac:dyDescent="0.45">
      <c r="A622" t="str">
        <f t="shared" si="35"/>
        <v>06801</v>
      </c>
      <c r="B622" t="s">
        <v>1870</v>
      </c>
      <c r="C622" t="str">
        <f>"08404"</f>
        <v>08404</v>
      </c>
      <c r="D622" t="s">
        <v>2761</v>
      </c>
      <c r="E622" t="str">
        <f>"1795"</f>
        <v>1795</v>
      </c>
      <c r="F622" t="s">
        <v>3643</v>
      </c>
      <c r="G622">
        <v>9</v>
      </c>
      <c r="H622">
        <v>12</v>
      </c>
      <c r="I622" t="s">
        <v>3644</v>
      </c>
      <c r="K622" t="s">
        <v>2764</v>
      </c>
      <c r="L622" t="s">
        <v>25</v>
      </c>
      <c r="M622">
        <v>98674</v>
      </c>
      <c r="N622" t="s">
        <v>79</v>
      </c>
      <c r="Q622" t="s">
        <v>157</v>
      </c>
      <c r="R622" t="s">
        <v>158</v>
      </c>
      <c r="S622" t="s">
        <v>58</v>
      </c>
    </row>
    <row r="623" spans="1:19" x14ac:dyDescent="0.45">
      <c r="A623" t="str">
        <f t="shared" si="35"/>
        <v>06801</v>
      </c>
      <c r="B623" t="s">
        <v>1870</v>
      </c>
      <c r="C623" t="str">
        <f>"08404"</f>
        <v>08404</v>
      </c>
      <c r="D623" t="s">
        <v>2761</v>
      </c>
      <c r="E623" t="str">
        <f>"3513"</f>
        <v>3513</v>
      </c>
      <c r="F623" t="s">
        <v>3645</v>
      </c>
      <c r="G623" t="s">
        <v>70</v>
      </c>
      <c r="H623">
        <v>4</v>
      </c>
      <c r="I623" t="s">
        <v>3646</v>
      </c>
      <c r="K623" t="s">
        <v>3647</v>
      </c>
      <c r="L623" t="s">
        <v>25</v>
      </c>
      <c r="M623" t="s">
        <v>3648</v>
      </c>
      <c r="N623" t="s">
        <v>3649</v>
      </c>
      <c r="O623" t="s">
        <v>3650</v>
      </c>
      <c r="P623" t="s">
        <v>3651</v>
      </c>
      <c r="Q623" t="s">
        <v>30</v>
      </c>
      <c r="R623" t="s">
        <v>31</v>
      </c>
      <c r="S623" t="s">
        <v>32</v>
      </c>
    </row>
    <row r="624" spans="1:19" x14ac:dyDescent="0.45">
      <c r="A624" t="str">
        <f t="shared" si="35"/>
        <v>06801</v>
      </c>
      <c r="B624" t="s">
        <v>1870</v>
      </c>
      <c r="C624" t="str">
        <f>"08404"</f>
        <v>08404</v>
      </c>
      <c r="D624" t="s">
        <v>2761</v>
      </c>
      <c r="E624" t="str">
        <f>"3546"</f>
        <v>3546</v>
      </c>
      <c r="F624" t="s">
        <v>3652</v>
      </c>
      <c r="G624">
        <v>9</v>
      </c>
      <c r="H624">
        <v>12</v>
      </c>
      <c r="I624" t="s">
        <v>3653</v>
      </c>
      <c r="K624" t="s">
        <v>2764</v>
      </c>
      <c r="L624" t="s">
        <v>25</v>
      </c>
      <c r="M624">
        <v>98674</v>
      </c>
      <c r="N624" t="s">
        <v>3654</v>
      </c>
      <c r="O624" t="s">
        <v>3655</v>
      </c>
      <c r="P624" t="s">
        <v>3656</v>
      </c>
      <c r="Q624" t="s">
        <v>30</v>
      </c>
      <c r="R624" t="s">
        <v>31</v>
      </c>
      <c r="S624" t="s">
        <v>58</v>
      </c>
    </row>
    <row r="625" spans="1:19" x14ac:dyDescent="0.45">
      <c r="A625" t="str">
        <f t="shared" si="35"/>
        <v>06801</v>
      </c>
      <c r="B625" t="s">
        <v>1870</v>
      </c>
      <c r="C625" t="str">
        <f t="shared" ref="C625:C631" si="37">"08458"</f>
        <v>08458</v>
      </c>
      <c r="D625" t="s">
        <v>3657</v>
      </c>
      <c r="E625" t="str">
        <f>"2266"</f>
        <v>2266</v>
      </c>
      <c r="F625" t="s">
        <v>3658</v>
      </c>
      <c r="G625">
        <v>9</v>
      </c>
      <c r="H625">
        <v>12</v>
      </c>
      <c r="I625" t="s">
        <v>3659</v>
      </c>
      <c r="K625" t="s">
        <v>3660</v>
      </c>
      <c r="L625" t="s">
        <v>25</v>
      </c>
      <c r="M625" t="s">
        <v>3661</v>
      </c>
      <c r="N625" t="s">
        <v>3662</v>
      </c>
      <c r="O625" t="s">
        <v>3663</v>
      </c>
      <c r="P625" t="s">
        <v>3664</v>
      </c>
      <c r="Q625" t="s">
        <v>30</v>
      </c>
      <c r="R625" t="s">
        <v>31</v>
      </c>
      <c r="S625" t="s">
        <v>58</v>
      </c>
    </row>
    <row r="626" spans="1:19" x14ac:dyDescent="0.45">
      <c r="A626" t="str">
        <f t="shared" si="35"/>
        <v>06801</v>
      </c>
      <c r="B626" t="s">
        <v>1870</v>
      </c>
      <c r="C626" t="str">
        <f t="shared" si="37"/>
        <v>08458</v>
      </c>
      <c r="D626" t="s">
        <v>3657</v>
      </c>
      <c r="E626" t="str">
        <f>"2596"</f>
        <v>2596</v>
      </c>
      <c r="F626" t="s">
        <v>3665</v>
      </c>
      <c r="G626" t="s">
        <v>70</v>
      </c>
      <c r="H626">
        <v>5</v>
      </c>
      <c r="I626" t="s">
        <v>3666</v>
      </c>
      <c r="K626" t="s">
        <v>3660</v>
      </c>
      <c r="L626" t="s">
        <v>25</v>
      </c>
      <c r="M626" t="s">
        <v>3661</v>
      </c>
      <c r="N626" t="s">
        <v>3667</v>
      </c>
      <c r="O626" t="s">
        <v>3668</v>
      </c>
      <c r="P626" t="s">
        <v>3669</v>
      </c>
      <c r="Q626" t="s">
        <v>30</v>
      </c>
      <c r="R626" t="s">
        <v>31</v>
      </c>
      <c r="S626" t="s">
        <v>32</v>
      </c>
    </row>
    <row r="627" spans="1:19" x14ac:dyDescent="0.45">
      <c r="A627" t="str">
        <f t="shared" si="35"/>
        <v>06801</v>
      </c>
      <c r="B627" t="s">
        <v>1870</v>
      </c>
      <c r="C627" t="str">
        <f t="shared" si="37"/>
        <v>08458</v>
      </c>
      <c r="D627" t="s">
        <v>3657</v>
      </c>
      <c r="E627" t="str">
        <f>"2624"</f>
        <v>2624</v>
      </c>
      <c r="F627" t="s">
        <v>3670</v>
      </c>
      <c r="G627" t="s">
        <v>70</v>
      </c>
      <c r="H627">
        <v>5</v>
      </c>
      <c r="I627" t="s">
        <v>3671</v>
      </c>
      <c r="K627" t="s">
        <v>3660</v>
      </c>
      <c r="L627" t="s">
        <v>25</v>
      </c>
      <c r="M627" t="s">
        <v>3661</v>
      </c>
      <c r="N627" t="s">
        <v>3672</v>
      </c>
      <c r="O627" t="s">
        <v>3673</v>
      </c>
      <c r="P627" t="s">
        <v>3674</v>
      </c>
      <c r="Q627" t="s">
        <v>30</v>
      </c>
      <c r="R627" t="s">
        <v>31</v>
      </c>
      <c r="S627" t="s">
        <v>32</v>
      </c>
    </row>
    <row r="628" spans="1:19" x14ac:dyDescent="0.45">
      <c r="A628" t="str">
        <f t="shared" si="35"/>
        <v>06801</v>
      </c>
      <c r="B628" t="s">
        <v>1870</v>
      </c>
      <c r="C628" t="str">
        <f t="shared" si="37"/>
        <v>08458</v>
      </c>
      <c r="D628" t="s">
        <v>3657</v>
      </c>
      <c r="E628" t="str">
        <f>"2691"</f>
        <v>2691</v>
      </c>
      <c r="F628" t="s">
        <v>3675</v>
      </c>
      <c r="G628" t="s">
        <v>70</v>
      </c>
      <c r="H628">
        <v>5</v>
      </c>
      <c r="I628" t="s">
        <v>3676</v>
      </c>
      <c r="K628" t="s">
        <v>3660</v>
      </c>
      <c r="L628" t="s">
        <v>25</v>
      </c>
      <c r="M628">
        <v>98626</v>
      </c>
      <c r="N628" t="s">
        <v>3677</v>
      </c>
      <c r="O628" t="s">
        <v>3678</v>
      </c>
      <c r="P628" t="s">
        <v>3679</v>
      </c>
      <c r="Q628" t="s">
        <v>30</v>
      </c>
      <c r="R628" t="s">
        <v>31</v>
      </c>
      <c r="S628" t="s">
        <v>32</v>
      </c>
    </row>
    <row r="629" spans="1:19" x14ac:dyDescent="0.45">
      <c r="A629" t="str">
        <f t="shared" si="35"/>
        <v>06801</v>
      </c>
      <c r="B629" t="s">
        <v>1870</v>
      </c>
      <c r="C629" t="str">
        <f t="shared" si="37"/>
        <v>08458</v>
      </c>
      <c r="D629" t="s">
        <v>3657</v>
      </c>
      <c r="E629" t="str">
        <f>"2913"</f>
        <v>2913</v>
      </c>
      <c r="F629" t="s">
        <v>3680</v>
      </c>
      <c r="G629" t="s">
        <v>70</v>
      </c>
      <c r="H629">
        <v>5</v>
      </c>
      <c r="I629" t="s">
        <v>3681</v>
      </c>
      <c r="K629" t="s">
        <v>3682</v>
      </c>
      <c r="L629" t="s">
        <v>25</v>
      </c>
      <c r="M629" t="s">
        <v>3683</v>
      </c>
      <c r="N629" t="s">
        <v>3684</v>
      </c>
      <c r="O629" t="s">
        <v>3685</v>
      </c>
      <c r="P629" t="s">
        <v>3686</v>
      </c>
      <c r="Q629" t="s">
        <v>30</v>
      </c>
      <c r="R629" t="s">
        <v>31</v>
      </c>
      <c r="S629" t="s">
        <v>32</v>
      </c>
    </row>
    <row r="630" spans="1:19" x14ac:dyDescent="0.45">
      <c r="A630" t="str">
        <f t="shared" si="35"/>
        <v>06801</v>
      </c>
      <c r="B630" t="s">
        <v>1870</v>
      </c>
      <c r="C630" t="str">
        <f t="shared" si="37"/>
        <v>08458</v>
      </c>
      <c r="D630" t="s">
        <v>3657</v>
      </c>
      <c r="E630" t="str">
        <f>"2916"</f>
        <v>2916</v>
      </c>
      <c r="F630" t="s">
        <v>3687</v>
      </c>
      <c r="G630">
        <v>6</v>
      </c>
      <c r="H630">
        <v>8</v>
      </c>
      <c r="I630" t="s">
        <v>3688</v>
      </c>
      <c r="K630" t="s">
        <v>3660</v>
      </c>
      <c r="L630" t="s">
        <v>25</v>
      </c>
      <c r="M630" t="s">
        <v>3661</v>
      </c>
      <c r="N630" t="s">
        <v>3689</v>
      </c>
      <c r="O630" t="s">
        <v>3690</v>
      </c>
      <c r="P630" t="s">
        <v>3691</v>
      </c>
      <c r="Q630" t="s">
        <v>30</v>
      </c>
      <c r="R630" t="s">
        <v>31</v>
      </c>
      <c r="S630" t="s">
        <v>104</v>
      </c>
    </row>
    <row r="631" spans="1:19" x14ac:dyDescent="0.45">
      <c r="A631" t="str">
        <f t="shared" si="35"/>
        <v>06801</v>
      </c>
      <c r="B631" t="s">
        <v>1870</v>
      </c>
      <c r="C631" t="str">
        <f t="shared" si="37"/>
        <v>08458</v>
      </c>
      <c r="D631" t="s">
        <v>3657</v>
      </c>
      <c r="E631" t="str">
        <f>"3082"</f>
        <v>3082</v>
      </c>
      <c r="F631" t="s">
        <v>3692</v>
      </c>
      <c r="G631" t="s">
        <v>70</v>
      </c>
      <c r="H631">
        <v>5</v>
      </c>
      <c r="I631" t="s">
        <v>3693</v>
      </c>
      <c r="K631" t="s">
        <v>3660</v>
      </c>
      <c r="L631" t="s">
        <v>25</v>
      </c>
      <c r="M631" t="s">
        <v>3661</v>
      </c>
      <c r="N631" t="s">
        <v>3694</v>
      </c>
      <c r="O631" t="s">
        <v>3695</v>
      </c>
      <c r="P631" t="s">
        <v>3696</v>
      </c>
      <c r="Q631" t="s">
        <v>30</v>
      </c>
      <c r="R631" t="s">
        <v>31</v>
      </c>
      <c r="S631" t="s">
        <v>32</v>
      </c>
    </row>
    <row r="632" spans="1:19" x14ac:dyDescent="0.45">
      <c r="A632" t="str">
        <f>"OSPI"</f>
        <v>OSPI</v>
      </c>
      <c r="B632" t="s">
        <v>1763</v>
      </c>
      <c r="C632" t="str">
        <f>"06801"</f>
        <v>06801</v>
      </c>
      <c r="D632" t="s">
        <v>1870</v>
      </c>
      <c r="E632" t="str">
        <f>"3294"</f>
        <v>3294</v>
      </c>
      <c r="F632" t="s">
        <v>3697</v>
      </c>
      <c r="G632">
        <v>6</v>
      </c>
      <c r="H632">
        <v>12</v>
      </c>
      <c r="I632" t="s">
        <v>3698</v>
      </c>
      <c r="K632" t="s">
        <v>2306</v>
      </c>
      <c r="L632" t="s">
        <v>25</v>
      </c>
      <c r="M632" t="s">
        <v>3699</v>
      </c>
      <c r="N632" t="s">
        <v>3700</v>
      </c>
      <c r="O632" t="s">
        <v>3701</v>
      </c>
      <c r="P632" t="s">
        <v>3702</v>
      </c>
      <c r="Q632" t="s">
        <v>1312</v>
      </c>
      <c r="R632" t="s">
        <v>1313</v>
      </c>
      <c r="S632" t="s">
        <v>159</v>
      </c>
    </row>
    <row r="633" spans="1:19" x14ac:dyDescent="0.45">
      <c r="A633" t="str">
        <f>"06801"</f>
        <v>06801</v>
      </c>
      <c r="B633" t="s">
        <v>1870</v>
      </c>
      <c r="C633" t="str">
        <f>"08458"</f>
        <v>08458</v>
      </c>
      <c r="D633" t="s">
        <v>3657</v>
      </c>
      <c r="E633" t="str">
        <f>"3322"</f>
        <v>3322</v>
      </c>
      <c r="F633" t="s">
        <v>3703</v>
      </c>
      <c r="G633">
        <v>6</v>
      </c>
      <c r="H633">
        <v>8</v>
      </c>
      <c r="I633" t="s">
        <v>3704</v>
      </c>
      <c r="K633" t="s">
        <v>3660</v>
      </c>
      <c r="L633" t="s">
        <v>25</v>
      </c>
      <c r="M633" t="s">
        <v>3661</v>
      </c>
      <c r="N633" t="s">
        <v>3705</v>
      </c>
      <c r="O633" t="s">
        <v>3706</v>
      </c>
      <c r="P633" t="s">
        <v>3707</v>
      </c>
      <c r="Q633" t="s">
        <v>30</v>
      </c>
      <c r="R633" t="s">
        <v>31</v>
      </c>
      <c r="S633" t="s">
        <v>104</v>
      </c>
    </row>
    <row r="634" spans="1:19" x14ac:dyDescent="0.45">
      <c r="A634" t="str">
        <f>"06801"</f>
        <v>06801</v>
      </c>
      <c r="B634" t="s">
        <v>1870</v>
      </c>
      <c r="C634" t="str">
        <f>"08458"</f>
        <v>08458</v>
      </c>
      <c r="D634" t="s">
        <v>3657</v>
      </c>
      <c r="E634" t="str">
        <f>"3323"</f>
        <v>3323</v>
      </c>
      <c r="F634" t="s">
        <v>3708</v>
      </c>
      <c r="G634" t="s">
        <v>70</v>
      </c>
      <c r="H634">
        <v>5</v>
      </c>
      <c r="I634" t="s">
        <v>3709</v>
      </c>
      <c r="K634" t="s">
        <v>3660</v>
      </c>
      <c r="L634" t="s">
        <v>25</v>
      </c>
      <c r="M634" t="s">
        <v>3661</v>
      </c>
      <c r="N634" t="s">
        <v>3710</v>
      </c>
      <c r="O634" t="s">
        <v>3711</v>
      </c>
      <c r="P634" t="s">
        <v>3712</v>
      </c>
      <c r="Q634" t="s">
        <v>30</v>
      </c>
      <c r="R634" t="s">
        <v>31</v>
      </c>
      <c r="S634" t="s">
        <v>32</v>
      </c>
    </row>
    <row r="635" spans="1:19" x14ac:dyDescent="0.45">
      <c r="A635" t="str">
        <f>"06801"</f>
        <v>06801</v>
      </c>
      <c r="B635" t="s">
        <v>1870</v>
      </c>
      <c r="C635" t="str">
        <f>"08458"</f>
        <v>08458</v>
      </c>
      <c r="D635" t="s">
        <v>3657</v>
      </c>
      <c r="E635" t="str">
        <f>"3578"</f>
        <v>3578</v>
      </c>
      <c r="F635" t="s">
        <v>3713</v>
      </c>
      <c r="G635" t="s">
        <v>70</v>
      </c>
      <c r="H635">
        <v>5</v>
      </c>
      <c r="I635" t="s">
        <v>3714</v>
      </c>
      <c r="K635" t="s">
        <v>2306</v>
      </c>
      <c r="L635" t="s">
        <v>25</v>
      </c>
      <c r="M635" t="s">
        <v>3715</v>
      </c>
      <c r="N635" t="s">
        <v>3716</v>
      </c>
      <c r="O635" t="s">
        <v>3717</v>
      </c>
      <c r="P635" t="s">
        <v>3718</v>
      </c>
      <c r="Q635" t="s">
        <v>30</v>
      </c>
      <c r="R635" t="s">
        <v>31</v>
      </c>
      <c r="S635" t="s">
        <v>32</v>
      </c>
    </row>
    <row r="636" spans="1:19" x14ac:dyDescent="0.45">
      <c r="A636" t="str">
        <f t="shared" ref="A636:A653" si="38">"04801"</f>
        <v>04801</v>
      </c>
      <c r="B636" t="s">
        <v>1549</v>
      </c>
      <c r="C636" t="str">
        <f>"09013"</f>
        <v>09013</v>
      </c>
      <c r="D636" t="s">
        <v>3719</v>
      </c>
      <c r="E636" t="str">
        <f>"2666"</f>
        <v>2666</v>
      </c>
      <c r="F636" t="s">
        <v>3720</v>
      </c>
      <c r="G636" t="s">
        <v>22</v>
      </c>
      <c r="H636">
        <v>8</v>
      </c>
      <c r="I636" t="s">
        <v>3721</v>
      </c>
      <c r="J636" t="s">
        <v>311</v>
      </c>
      <c r="K636" t="s">
        <v>3722</v>
      </c>
      <c r="L636" t="s">
        <v>25</v>
      </c>
      <c r="M636" t="s">
        <v>3723</v>
      </c>
      <c r="N636" t="s">
        <v>3724</v>
      </c>
      <c r="O636" t="s">
        <v>3725</v>
      </c>
      <c r="P636" t="s">
        <v>3726</v>
      </c>
      <c r="Q636" t="s">
        <v>30</v>
      </c>
      <c r="R636" t="s">
        <v>31</v>
      </c>
      <c r="S636" t="s">
        <v>159</v>
      </c>
    </row>
    <row r="637" spans="1:19" x14ac:dyDescent="0.45">
      <c r="A637" t="str">
        <f t="shared" si="38"/>
        <v>04801</v>
      </c>
      <c r="B637" t="s">
        <v>1549</v>
      </c>
      <c r="C637" t="str">
        <f>"09075"</f>
        <v>09075</v>
      </c>
      <c r="D637" t="s">
        <v>3727</v>
      </c>
      <c r="E637" t="str">
        <f>"2562"</f>
        <v>2562</v>
      </c>
      <c r="F637" t="s">
        <v>3728</v>
      </c>
      <c r="G637" t="s">
        <v>22</v>
      </c>
      <c r="H637">
        <v>5</v>
      </c>
      <c r="I637" t="s">
        <v>3729</v>
      </c>
      <c r="K637" t="s">
        <v>3730</v>
      </c>
      <c r="L637" t="s">
        <v>25</v>
      </c>
      <c r="M637" t="s">
        <v>3731</v>
      </c>
      <c r="N637" t="s">
        <v>3732</v>
      </c>
      <c r="O637" t="s">
        <v>3733</v>
      </c>
      <c r="P637" t="s">
        <v>3734</v>
      </c>
      <c r="Q637" t="s">
        <v>30</v>
      </c>
      <c r="R637" t="s">
        <v>31</v>
      </c>
      <c r="S637" t="s">
        <v>32</v>
      </c>
    </row>
    <row r="638" spans="1:19" x14ac:dyDescent="0.45">
      <c r="A638" t="str">
        <f t="shared" si="38"/>
        <v>04801</v>
      </c>
      <c r="B638" t="s">
        <v>1549</v>
      </c>
      <c r="C638" t="str">
        <f>"09075"</f>
        <v>09075</v>
      </c>
      <c r="D638" t="s">
        <v>3727</v>
      </c>
      <c r="E638" t="str">
        <f>"2788"</f>
        <v>2788</v>
      </c>
      <c r="F638" t="s">
        <v>3735</v>
      </c>
      <c r="G638">
        <v>9</v>
      </c>
      <c r="H638">
        <v>12</v>
      </c>
      <c r="I638" t="s">
        <v>3736</v>
      </c>
      <c r="K638" t="s">
        <v>3737</v>
      </c>
      <c r="L638" t="s">
        <v>25</v>
      </c>
      <c r="M638" t="s">
        <v>3738</v>
      </c>
      <c r="N638" t="s">
        <v>3739</v>
      </c>
      <c r="O638" t="s">
        <v>3740</v>
      </c>
      <c r="P638" t="s">
        <v>3741</v>
      </c>
      <c r="Q638" t="s">
        <v>30</v>
      </c>
      <c r="R638" t="s">
        <v>31</v>
      </c>
      <c r="S638" t="s">
        <v>58</v>
      </c>
    </row>
    <row r="639" spans="1:19" x14ac:dyDescent="0.45">
      <c r="A639" t="str">
        <f t="shared" si="38"/>
        <v>04801</v>
      </c>
      <c r="B639" t="s">
        <v>1549</v>
      </c>
      <c r="C639" t="str">
        <f>"09075"</f>
        <v>09075</v>
      </c>
      <c r="D639" t="s">
        <v>3727</v>
      </c>
      <c r="E639" t="str">
        <f>"4213"</f>
        <v>4213</v>
      </c>
      <c r="F639" t="s">
        <v>3742</v>
      </c>
      <c r="G639">
        <v>6</v>
      </c>
      <c r="H639">
        <v>8</v>
      </c>
      <c r="I639" t="s">
        <v>3743</v>
      </c>
      <c r="K639" t="s">
        <v>3730</v>
      </c>
      <c r="L639" t="s">
        <v>25</v>
      </c>
      <c r="M639">
        <v>98813</v>
      </c>
      <c r="N639" t="s">
        <v>3744</v>
      </c>
      <c r="O639" t="s">
        <v>3745</v>
      </c>
      <c r="P639" t="s">
        <v>3746</v>
      </c>
      <c r="Q639" t="s">
        <v>30</v>
      </c>
      <c r="R639" t="s">
        <v>31</v>
      </c>
      <c r="S639" t="s">
        <v>104</v>
      </c>
    </row>
    <row r="640" spans="1:19" x14ac:dyDescent="0.45">
      <c r="A640" t="str">
        <f t="shared" si="38"/>
        <v>04801</v>
      </c>
      <c r="B640" t="s">
        <v>1549</v>
      </c>
      <c r="C640" t="str">
        <f>"09102"</f>
        <v>09102</v>
      </c>
      <c r="D640" t="s">
        <v>3747</v>
      </c>
      <c r="E640" t="str">
        <f>"2502"</f>
        <v>2502</v>
      </c>
      <c r="F640" t="s">
        <v>3748</v>
      </c>
      <c r="G640" t="s">
        <v>22</v>
      </c>
      <c r="H640">
        <v>6</v>
      </c>
      <c r="I640" t="s">
        <v>3749</v>
      </c>
      <c r="K640" t="s">
        <v>3750</v>
      </c>
      <c r="L640" t="s">
        <v>25</v>
      </c>
      <c r="M640" t="s">
        <v>3751</v>
      </c>
      <c r="N640" t="s">
        <v>3752</v>
      </c>
      <c r="O640" t="s">
        <v>3753</v>
      </c>
      <c r="P640" t="s">
        <v>3754</v>
      </c>
      <c r="Q640" t="s">
        <v>30</v>
      </c>
      <c r="R640" t="s">
        <v>31</v>
      </c>
      <c r="S640" t="s">
        <v>32</v>
      </c>
    </row>
    <row r="641" spans="1:19" x14ac:dyDescent="0.45">
      <c r="A641" t="str">
        <f t="shared" si="38"/>
        <v>04801</v>
      </c>
      <c r="B641" t="s">
        <v>1549</v>
      </c>
      <c r="C641" t="str">
        <f t="shared" ref="C641:C649" si="39">"09206"</f>
        <v>09206</v>
      </c>
      <c r="D641" t="s">
        <v>3755</v>
      </c>
      <c r="E641" t="str">
        <f>"2563"</f>
        <v>2563</v>
      </c>
      <c r="F641" t="s">
        <v>3756</v>
      </c>
      <c r="G641" t="s">
        <v>70</v>
      </c>
      <c r="H641">
        <v>4</v>
      </c>
      <c r="I641" t="s">
        <v>3757</v>
      </c>
      <c r="K641" t="s">
        <v>3758</v>
      </c>
      <c r="L641" t="s">
        <v>25</v>
      </c>
      <c r="M641" t="s">
        <v>3759</v>
      </c>
      <c r="N641" t="s">
        <v>3760</v>
      </c>
      <c r="O641" t="s">
        <v>3761</v>
      </c>
      <c r="P641" t="s">
        <v>3762</v>
      </c>
      <c r="Q641" t="s">
        <v>30</v>
      </c>
      <c r="R641" t="s">
        <v>31</v>
      </c>
      <c r="S641" t="s">
        <v>32</v>
      </c>
    </row>
    <row r="642" spans="1:19" x14ac:dyDescent="0.45">
      <c r="A642" t="str">
        <f t="shared" si="38"/>
        <v>04801</v>
      </c>
      <c r="B642" t="s">
        <v>1549</v>
      </c>
      <c r="C642" t="str">
        <f t="shared" si="39"/>
        <v>09206</v>
      </c>
      <c r="D642" t="s">
        <v>3755</v>
      </c>
      <c r="E642" t="str">
        <f>"2727"</f>
        <v>2727</v>
      </c>
      <c r="F642" t="s">
        <v>3763</v>
      </c>
      <c r="G642">
        <v>10</v>
      </c>
      <c r="H642">
        <v>12</v>
      </c>
      <c r="I642" t="s">
        <v>3764</v>
      </c>
      <c r="K642" t="s">
        <v>3765</v>
      </c>
      <c r="L642" t="s">
        <v>25</v>
      </c>
      <c r="M642" t="s">
        <v>3766</v>
      </c>
      <c r="N642" t="s">
        <v>3767</v>
      </c>
      <c r="O642" t="s">
        <v>3768</v>
      </c>
      <c r="P642" t="s">
        <v>3769</v>
      </c>
      <c r="Q642" t="s">
        <v>30</v>
      </c>
      <c r="R642" t="s">
        <v>31</v>
      </c>
      <c r="S642" t="s">
        <v>58</v>
      </c>
    </row>
    <row r="643" spans="1:19" x14ac:dyDescent="0.45">
      <c r="A643" t="str">
        <f t="shared" si="38"/>
        <v>04801</v>
      </c>
      <c r="B643" t="s">
        <v>1549</v>
      </c>
      <c r="C643" t="str">
        <f t="shared" si="39"/>
        <v>09206</v>
      </c>
      <c r="D643" t="s">
        <v>3755</v>
      </c>
      <c r="E643" t="str">
        <f>"2966"</f>
        <v>2966</v>
      </c>
      <c r="F643" t="s">
        <v>3770</v>
      </c>
      <c r="G643" t="s">
        <v>70</v>
      </c>
      <c r="H643">
        <v>4</v>
      </c>
      <c r="I643" t="s">
        <v>3771</v>
      </c>
      <c r="K643" t="s">
        <v>3765</v>
      </c>
      <c r="L643" t="s">
        <v>25</v>
      </c>
      <c r="M643" t="s">
        <v>3772</v>
      </c>
      <c r="N643" t="s">
        <v>3773</v>
      </c>
      <c r="O643" t="s">
        <v>3774</v>
      </c>
      <c r="P643" t="s">
        <v>3775</v>
      </c>
      <c r="Q643" t="s">
        <v>30</v>
      </c>
      <c r="R643" t="s">
        <v>31</v>
      </c>
      <c r="S643" t="s">
        <v>32</v>
      </c>
    </row>
    <row r="644" spans="1:19" x14ac:dyDescent="0.45">
      <c r="A644" t="str">
        <f t="shared" si="38"/>
        <v>04801</v>
      </c>
      <c r="B644" t="s">
        <v>1549</v>
      </c>
      <c r="C644" t="str">
        <f t="shared" si="39"/>
        <v>09206</v>
      </c>
      <c r="D644" t="s">
        <v>3755</v>
      </c>
      <c r="E644" t="str">
        <f>"2986"</f>
        <v>2986</v>
      </c>
      <c r="F644" t="s">
        <v>3776</v>
      </c>
      <c r="G644">
        <v>10</v>
      </c>
      <c r="H644">
        <v>11</v>
      </c>
      <c r="I644" t="s">
        <v>3777</v>
      </c>
      <c r="K644" t="s">
        <v>3765</v>
      </c>
      <c r="L644" t="s">
        <v>25</v>
      </c>
      <c r="M644" t="s">
        <v>3766</v>
      </c>
      <c r="N644" t="s">
        <v>3778</v>
      </c>
      <c r="O644" t="s">
        <v>3768</v>
      </c>
      <c r="P644" t="s">
        <v>3769</v>
      </c>
      <c r="Q644" t="s">
        <v>962</v>
      </c>
      <c r="R644" t="s">
        <v>963</v>
      </c>
      <c r="S644" t="s">
        <v>58</v>
      </c>
    </row>
    <row r="645" spans="1:19" x14ac:dyDescent="0.45">
      <c r="A645" t="str">
        <f t="shared" si="38"/>
        <v>04801</v>
      </c>
      <c r="B645" t="s">
        <v>1549</v>
      </c>
      <c r="C645" t="str">
        <f t="shared" si="39"/>
        <v>09206</v>
      </c>
      <c r="D645" t="s">
        <v>3755</v>
      </c>
      <c r="E645" t="str">
        <f>"3083"</f>
        <v>3083</v>
      </c>
      <c r="F645" t="s">
        <v>3779</v>
      </c>
      <c r="G645" t="s">
        <v>70</v>
      </c>
      <c r="H645">
        <v>4</v>
      </c>
      <c r="I645" t="s">
        <v>3780</v>
      </c>
      <c r="K645" t="s">
        <v>3765</v>
      </c>
      <c r="L645" t="s">
        <v>25</v>
      </c>
      <c r="M645" t="s">
        <v>3781</v>
      </c>
      <c r="N645" t="s">
        <v>3782</v>
      </c>
      <c r="O645" t="s">
        <v>3783</v>
      </c>
      <c r="P645" t="s">
        <v>3784</v>
      </c>
      <c r="Q645" t="s">
        <v>30</v>
      </c>
      <c r="R645" t="s">
        <v>31</v>
      </c>
      <c r="S645" t="s">
        <v>32</v>
      </c>
    </row>
    <row r="646" spans="1:19" x14ac:dyDescent="0.45">
      <c r="A646" t="str">
        <f t="shared" si="38"/>
        <v>04801</v>
      </c>
      <c r="B646" t="s">
        <v>1549</v>
      </c>
      <c r="C646" t="str">
        <f t="shared" si="39"/>
        <v>09206</v>
      </c>
      <c r="D646" t="s">
        <v>3755</v>
      </c>
      <c r="E646" t="str">
        <f>"3212"</f>
        <v>3212</v>
      </c>
      <c r="F646" t="s">
        <v>3785</v>
      </c>
      <c r="G646" t="s">
        <v>70</v>
      </c>
      <c r="H646">
        <v>4</v>
      </c>
      <c r="I646" t="s">
        <v>3786</v>
      </c>
      <c r="K646" t="s">
        <v>3765</v>
      </c>
      <c r="L646" t="s">
        <v>25</v>
      </c>
      <c r="M646" t="s">
        <v>3787</v>
      </c>
      <c r="N646" t="s">
        <v>3788</v>
      </c>
      <c r="O646" t="s">
        <v>3789</v>
      </c>
      <c r="P646" t="s">
        <v>3790</v>
      </c>
      <c r="Q646" t="s">
        <v>30</v>
      </c>
      <c r="R646" t="s">
        <v>31</v>
      </c>
      <c r="S646" t="s">
        <v>32</v>
      </c>
    </row>
    <row r="647" spans="1:19" x14ac:dyDescent="0.45">
      <c r="A647" t="str">
        <f t="shared" si="38"/>
        <v>04801</v>
      </c>
      <c r="B647" t="s">
        <v>1549</v>
      </c>
      <c r="C647" t="str">
        <f t="shared" si="39"/>
        <v>09206</v>
      </c>
      <c r="D647" t="s">
        <v>3755</v>
      </c>
      <c r="E647" t="str">
        <f>"3372"</f>
        <v>3372</v>
      </c>
      <c r="F647" t="s">
        <v>3791</v>
      </c>
      <c r="G647">
        <v>8</v>
      </c>
      <c r="H647">
        <v>9</v>
      </c>
      <c r="I647" t="s">
        <v>3792</v>
      </c>
      <c r="K647" t="s">
        <v>3765</v>
      </c>
      <c r="L647" t="s">
        <v>25</v>
      </c>
      <c r="M647" t="s">
        <v>3793</v>
      </c>
      <c r="N647" t="s">
        <v>3794</v>
      </c>
      <c r="O647" t="s">
        <v>3795</v>
      </c>
      <c r="P647" t="s">
        <v>3796</v>
      </c>
      <c r="Q647" t="s">
        <v>30</v>
      </c>
      <c r="R647" t="s">
        <v>31</v>
      </c>
      <c r="S647" t="s">
        <v>58</v>
      </c>
    </row>
    <row r="648" spans="1:19" x14ac:dyDescent="0.45">
      <c r="A648" t="str">
        <f t="shared" si="38"/>
        <v>04801</v>
      </c>
      <c r="B648" t="s">
        <v>1549</v>
      </c>
      <c r="C648" t="str">
        <f t="shared" si="39"/>
        <v>09206</v>
      </c>
      <c r="D648" t="s">
        <v>3755</v>
      </c>
      <c r="E648" t="str">
        <f>"3659"</f>
        <v>3659</v>
      </c>
      <c r="F648" t="s">
        <v>3797</v>
      </c>
      <c r="G648" t="s">
        <v>70</v>
      </c>
      <c r="H648">
        <v>4</v>
      </c>
      <c r="I648" t="s">
        <v>3798</v>
      </c>
      <c r="K648" t="s">
        <v>3765</v>
      </c>
      <c r="L648" t="s">
        <v>25</v>
      </c>
      <c r="M648" t="s">
        <v>3799</v>
      </c>
      <c r="N648" t="s">
        <v>3800</v>
      </c>
      <c r="O648" t="s">
        <v>3801</v>
      </c>
      <c r="P648" t="s">
        <v>3802</v>
      </c>
      <c r="Q648" t="s">
        <v>30</v>
      </c>
      <c r="R648" t="s">
        <v>31</v>
      </c>
      <c r="S648" t="s">
        <v>32</v>
      </c>
    </row>
    <row r="649" spans="1:19" x14ac:dyDescent="0.45">
      <c r="A649" t="str">
        <f t="shared" si="38"/>
        <v>04801</v>
      </c>
      <c r="B649" t="s">
        <v>1549</v>
      </c>
      <c r="C649" t="str">
        <f t="shared" si="39"/>
        <v>09206</v>
      </c>
      <c r="D649" t="s">
        <v>3755</v>
      </c>
      <c r="E649" t="str">
        <f>"4095"</f>
        <v>4095</v>
      </c>
      <c r="F649" t="s">
        <v>3803</v>
      </c>
      <c r="G649" t="s">
        <v>70</v>
      </c>
      <c r="H649">
        <v>7</v>
      </c>
      <c r="I649" t="s">
        <v>3804</v>
      </c>
      <c r="K649" t="s">
        <v>3765</v>
      </c>
      <c r="L649" t="s">
        <v>25</v>
      </c>
      <c r="M649" t="s">
        <v>3805</v>
      </c>
      <c r="N649" t="s">
        <v>3806</v>
      </c>
      <c r="O649" t="s">
        <v>3807</v>
      </c>
      <c r="P649" t="s">
        <v>3808</v>
      </c>
      <c r="Q649" t="s">
        <v>30</v>
      </c>
      <c r="R649" t="s">
        <v>31</v>
      </c>
      <c r="S649" t="s">
        <v>159</v>
      </c>
    </row>
    <row r="650" spans="1:19" x14ac:dyDescent="0.45">
      <c r="A650" t="str">
        <f t="shared" si="38"/>
        <v>04801</v>
      </c>
      <c r="B650" t="s">
        <v>1549</v>
      </c>
      <c r="C650" t="str">
        <f>"04246"</f>
        <v>04246</v>
      </c>
      <c r="D650" t="s">
        <v>1656</v>
      </c>
      <c r="E650" t="str">
        <f>"4105"</f>
        <v>4105</v>
      </c>
      <c r="F650" t="s">
        <v>3809</v>
      </c>
      <c r="G650">
        <v>9</v>
      </c>
      <c r="H650">
        <v>12</v>
      </c>
      <c r="I650" t="s">
        <v>3810</v>
      </c>
      <c r="K650" t="s">
        <v>1670</v>
      </c>
      <c r="L650" t="s">
        <v>25</v>
      </c>
      <c r="M650" t="s">
        <v>3811</v>
      </c>
      <c r="N650" t="s">
        <v>3812</v>
      </c>
      <c r="O650" t="s">
        <v>3813</v>
      </c>
      <c r="P650" t="s">
        <v>3814</v>
      </c>
      <c r="Q650" t="s">
        <v>172</v>
      </c>
      <c r="R650" t="s">
        <v>173</v>
      </c>
      <c r="S650" t="s">
        <v>58</v>
      </c>
    </row>
    <row r="651" spans="1:19" x14ac:dyDescent="0.45">
      <c r="A651" t="str">
        <f t="shared" si="38"/>
        <v>04801</v>
      </c>
      <c r="B651" t="s">
        <v>1549</v>
      </c>
      <c r="C651" t="str">
        <f>"09207"</f>
        <v>09207</v>
      </c>
      <c r="D651" t="s">
        <v>3815</v>
      </c>
      <c r="E651" t="str">
        <f>"2233"</f>
        <v>2233</v>
      </c>
      <c r="F651" t="s">
        <v>3816</v>
      </c>
      <c r="G651" t="s">
        <v>22</v>
      </c>
      <c r="H651">
        <v>12</v>
      </c>
      <c r="I651" t="s">
        <v>3817</v>
      </c>
      <c r="K651" t="s">
        <v>3818</v>
      </c>
      <c r="L651" t="s">
        <v>25</v>
      </c>
      <c r="M651" t="s">
        <v>3819</v>
      </c>
      <c r="N651" t="s">
        <v>3820</v>
      </c>
      <c r="O651" t="s">
        <v>3821</v>
      </c>
      <c r="P651" t="s">
        <v>3822</v>
      </c>
      <c r="Q651" t="s">
        <v>30</v>
      </c>
      <c r="R651" t="s">
        <v>31</v>
      </c>
      <c r="S651" t="s">
        <v>330</v>
      </c>
    </row>
    <row r="652" spans="1:19" x14ac:dyDescent="0.45">
      <c r="A652" t="str">
        <f t="shared" si="38"/>
        <v>04801</v>
      </c>
      <c r="B652" t="s">
        <v>1549</v>
      </c>
      <c r="C652" t="str">
        <f>"09209"</f>
        <v>09209</v>
      </c>
      <c r="D652" t="s">
        <v>3823</v>
      </c>
      <c r="E652" t="str">
        <f>"2161"</f>
        <v>2161</v>
      </c>
      <c r="F652" t="s">
        <v>3824</v>
      </c>
      <c r="G652" t="s">
        <v>70</v>
      </c>
      <c r="H652">
        <v>5</v>
      </c>
      <c r="I652" t="s">
        <v>3825</v>
      </c>
      <c r="K652" t="s">
        <v>3826</v>
      </c>
      <c r="L652" t="s">
        <v>25</v>
      </c>
      <c r="M652" t="s">
        <v>3827</v>
      </c>
      <c r="N652" t="s">
        <v>3828</v>
      </c>
      <c r="O652" t="s">
        <v>3829</v>
      </c>
      <c r="P652" t="s">
        <v>3830</v>
      </c>
      <c r="Q652" t="s">
        <v>30</v>
      </c>
      <c r="R652" t="s">
        <v>31</v>
      </c>
      <c r="S652" t="s">
        <v>32</v>
      </c>
    </row>
    <row r="653" spans="1:19" x14ac:dyDescent="0.45">
      <c r="A653" t="str">
        <f t="shared" si="38"/>
        <v>04801</v>
      </c>
      <c r="B653" t="s">
        <v>1549</v>
      </c>
      <c r="C653" t="str">
        <f>"09209"</f>
        <v>09209</v>
      </c>
      <c r="D653" t="s">
        <v>3823</v>
      </c>
      <c r="E653" t="str">
        <f>"2162"</f>
        <v>2162</v>
      </c>
      <c r="F653" t="s">
        <v>3831</v>
      </c>
      <c r="G653">
        <v>6</v>
      </c>
      <c r="H653">
        <v>12</v>
      </c>
      <c r="I653" t="s">
        <v>3825</v>
      </c>
      <c r="K653" t="s">
        <v>3826</v>
      </c>
      <c r="L653" t="s">
        <v>25</v>
      </c>
      <c r="M653" t="s">
        <v>3827</v>
      </c>
      <c r="N653" t="s">
        <v>3832</v>
      </c>
      <c r="O653" t="s">
        <v>3833</v>
      </c>
      <c r="P653" t="s">
        <v>3834</v>
      </c>
      <c r="Q653" t="s">
        <v>30</v>
      </c>
      <c r="R653" t="s">
        <v>31</v>
      </c>
      <c r="S653" t="s">
        <v>159</v>
      </c>
    </row>
    <row r="654" spans="1:19" x14ac:dyDescent="0.45">
      <c r="A654" t="str">
        <f t="shared" ref="A654:A661" si="40">"32801"</f>
        <v>32801</v>
      </c>
      <c r="B654" t="s">
        <v>1108</v>
      </c>
      <c r="C654" t="str">
        <f>"10003"</f>
        <v>10003</v>
      </c>
      <c r="D654" t="s">
        <v>3835</v>
      </c>
      <c r="E654" t="str">
        <f>"2602"</f>
        <v>2602</v>
      </c>
      <c r="F654" t="s">
        <v>3836</v>
      </c>
      <c r="G654" t="s">
        <v>70</v>
      </c>
      <c r="H654">
        <v>6</v>
      </c>
      <c r="I654" t="s">
        <v>3837</v>
      </c>
      <c r="K654" t="s">
        <v>3838</v>
      </c>
      <c r="L654" t="s">
        <v>25</v>
      </c>
      <c r="M654" t="s">
        <v>3839</v>
      </c>
      <c r="N654" t="s">
        <v>3840</v>
      </c>
      <c r="O654" t="s">
        <v>3841</v>
      </c>
      <c r="P654" t="s">
        <v>3842</v>
      </c>
      <c r="Q654" t="s">
        <v>30</v>
      </c>
      <c r="R654" t="s">
        <v>31</v>
      </c>
      <c r="S654" t="s">
        <v>32</v>
      </c>
    </row>
    <row r="655" spans="1:19" x14ac:dyDescent="0.45">
      <c r="A655" t="str">
        <f t="shared" si="40"/>
        <v>32801</v>
      </c>
      <c r="B655" t="s">
        <v>1108</v>
      </c>
      <c r="C655" t="str">
        <f>"10050"</f>
        <v>10050</v>
      </c>
      <c r="D655" t="s">
        <v>3843</v>
      </c>
      <c r="E655" t="str">
        <f>"2006"</f>
        <v>2006</v>
      </c>
      <c r="F655" t="s">
        <v>3844</v>
      </c>
      <c r="G655" t="s">
        <v>22</v>
      </c>
      <c r="H655">
        <v>12</v>
      </c>
      <c r="I655" t="s">
        <v>3845</v>
      </c>
      <c r="K655" t="s">
        <v>3846</v>
      </c>
      <c r="L655" t="s">
        <v>25</v>
      </c>
      <c r="M655" t="s">
        <v>3847</v>
      </c>
      <c r="N655" t="s">
        <v>3848</v>
      </c>
      <c r="O655" t="s">
        <v>3849</v>
      </c>
      <c r="P655" t="s">
        <v>3850</v>
      </c>
      <c r="Q655" t="s">
        <v>30</v>
      </c>
      <c r="R655" t="s">
        <v>31</v>
      </c>
      <c r="S655" t="s">
        <v>68</v>
      </c>
    </row>
    <row r="656" spans="1:19" x14ac:dyDescent="0.45">
      <c r="A656" t="str">
        <f t="shared" si="40"/>
        <v>32801</v>
      </c>
      <c r="B656" t="s">
        <v>1108</v>
      </c>
      <c r="C656" t="str">
        <f>"10065"</f>
        <v>10065</v>
      </c>
      <c r="D656" t="s">
        <v>3851</v>
      </c>
      <c r="E656" t="str">
        <f>"2136"</f>
        <v>2136</v>
      </c>
      <c r="F656" t="s">
        <v>3852</v>
      </c>
      <c r="G656" t="s">
        <v>70</v>
      </c>
      <c r="H656">
        <v>8</v>
      </c>
      <c r="I656" t="s">
        <v>3853</v>
      </c>
      <c r="K656" t="s">
        <v>3854</v>
      </c>
      <c r="L656" t="s">
        <v>25</v>
      </c>
      <c r="M656" t="s">
        <v>3855</v>
      </c>
      <c r="N656" t="s">
        <v>3856</v>
      </c>
      <c r="O656" t="s">
        <v>3857</v>
      </c>
      <c r="P656" t="s">
        <v>3858</v>
      </c>
      <c r="Q656" t="s">
        <v>30</v>
      </c>
      <c r="R656" t="s">
        <v>31</v>
      </c>
      <c r="S656" t="s">
        <v>159</v>
      </c>
    </row>
    <row r="657" spans="1:19" x14ac:dyDescent="0.45">
      <c r="A657" t="str">
        <f t="shared" si="40"/>
        <v>32801</v>
      </c>
      <c r="B657" t="s">
        <v>1108</v>
      </c>
      <c r="C657" t="str">
        <f>"10070"</f>
        <v>10070</v>
      </c>
      <c r="D657" t="s">
        <v>3859</v>
      </c>
      <c r="E657" t="str">
        <f>"2603"</f>
        <v>2603</v>
      </c>
      <c r="F657" t="s">
        <v>3860</v>
      </c>
      <c r="G657">
        <v>9</v>
      </c>
      <c r="H657">
        <v>12</v>
      </c>
      <c r="I657" t="s">
        <v>3861</v>
      </c>
      <c r="J657" t="s">
        <v>81</v>
      </c>
      <c r="K657" t="s">
        <v>3862</v>
      </c>
      <c r="L657" t="s">
        <v>25</v>
      </c>
      <c r="M657" t="s">
        <v>3863</v>
      </c>
      <c r="N657" t="s">
        <v>3864</v>
      </c>
      <c r="O657" t="s">
        <v>3865</v>
      </c>
      <c r="P657" t="s">
        <v>3866</v>
      </c>
      <c r="Q657" t="s">
        <v>30</v>
      </c>
      <c r="R657" t="s">
        <v>31</v>
      </c>
      <c r="S657" t="s">
        <v>58</v>
      </c>
    </row>
    <row r="658" spans="1:19" x14ac:dyDescent="0.45">
      <c r="A658" t="str">
        <f t="shared" si="40"/>
        <v>32801</v>
      </c>
      <c r="B658" t="s">
        <v>1108</v>
      </c>
      <c r="C658" t="str">
        <f>"10070"</f>
        <v>10070</v>
      </c>
      <c r="D658" t="s">
        <v>3859</v>
      </c>
      <c r="E658" t="str">
        <f>"4214"</f>
        <v>4214</v>
      </c>
      <c r="F658" t="s">
        <v>3867</v>
      </c>
      <c r="G658">
        <v>6</v>
      </c>
      <c r="H658">
        <v>8</v>
      </c>
      <c r="I658" t="s">
        <v>3861</v>
      </c>
      <c r="J658" t="s">
        <v>81</v>
      </c>
      <c r="K658" t="s">
        <v>3862</v>
      </c>
      <c r="L658" t="s">
        <v>25</v>
      </c>
      <c r="M658" t="s">
        <v>3863</v>
      </c>
      <c r="N658" t="s">
        <v>3868</v>
      </c>
      <c r="O658" t="s">
        <v>3865</v>
      </c>
      <c r="P658" t="s">
        <v>3866</v>
      </c>
      <c r="Q658" t="s">
        <v>30</v>
      </c>
      <c r="R658" t="s">
        <v>31</v>
      </c>
      <c r="S658" t="s">
        <v>104</v>
      </c>
    </row>
    <row r="659" spans="1:19" x14ac:dyDescent="0.45">
      <c r="A659" t="str">
        <f t="shared" si="40"/>
        <v>32801</v>
      </c>
      <c r="B659" t="s">
        <v>1108</v>
      </c>
      <c r="C659" t="str">
        <f>"10070"</f>
        <v>10070</v>
      </c>
      <c r="D659" t="s">
        <v>3859</v>
      </c>
      <c r="E659" t="str">
        <f>"4215"</f>
        <v>4215</v>
      </c>
      <c r="F659" t="s">
        <v>3869</v>
      </c>
      <c r="G659" t="s">
        <v>70</v>
      </c>
      <c r="H659">
        <v>5</v>
      </c>
      <c r="I659" t="s">
        <v>3870</v>
      </c>
      <c r="J659" t="s">
        <v>81</v>
      </c>
      <c r="K659" t="s">
        <v>3862</v>
      </c>
      <c r="L659" t="s">
        <v>25</v>
      </c>
      <c r="M659" t="s">
        <v>3863</v>
      </c>
      <c r="N659" t="s">
        <v>3868</v>
      </c>
      <c r="O659" t="s">
        <v>3865</v>
      </c>
      <c r="P659" t="s">
        <v>3866</v>
      </c>
      <c r="Q659" t="s">
        <v>30</v>
      </c>
      <c r="R659" t="s">
        <v>31</v>
      </c>
      <c r="S659" t="s">
        <v>32</v>
      </c>
    </row>
    <row r="660" spans="1:19" x14ac:dyDescent="0.45">
      <c r="A660" t="str">
        <f t="shared" si="40"/>
        <v>32801</v>
      </c>
      <c r="B660" t="s">
        <v>1108</v>
      </c>
      <c r="C660" t="str">
        <f>"10309"</f>
        <v>10309</v>
      </c>
      <c r="D660" t="s">
        <v>3871</v>
      </c>
      <c r="E660" t="str">
        <f>"2789"</f>
        <v>2789</v>
      </c>
      <c r="F660" t="s">
        <v>3872</v>
      </c>
      <c r="G660" t="s">
        <v>70</v>
      </c>
      <c r="H660">
        <v>6</v>
      </c>
      <c r="I660" t="s">
        <v>3873</v>
      </c>
      <c r="K660" t="s">
        <v>3874</v>
      </c>
      <c r="L660" t="s">
        <v>25</v>
      </c>
      <c r="M660">
        <v>99166</v>
      </c>
      <c r="N660" t="s">
        <v>3875</v>
      </c>
      <c r="O660" t="s">
        <v>3876</v>
      </c>
      <c r="P660" t="s">
        <v>3877</v>
      </c>
      <c r="Q660" t="s">
        <v>30</v>
      </c>
      <c r="R660" t="s">
        <v>31</v>
      </c>
      <c r="S660" t="s">
        <v>32</v>
      </c>
    </row>
    <row r="661" spans="1:19" x14ac:dyDescent="0.45">
      <c r="A661" t="str">
        <f t="shared" si="40"/>
        <v>32801</v>
      </c>
      <c r="B661" t="s">
        <v>1108</v>
      </c>
      <c r="C661" t="str">
        <f>"10309"</f>
        <v>10309</v>
      </c>
      <c r="D661" t="s">
        <v>3871</v>
      </c>
      <c r="E661" t="str">
        <f>"3579"</f>
        <v>3579</v>
      </c>
      <c r="F661" t="s">
        <v>3878</v>
      </c>
      <c r="G661">
        <v>9</v>
      </c>
      <c r="H661">
        <v>12</v>
      </c>
      <c r="I661" t="s">
        <v>3879</v>
      </c>
      <c r="K661" t="s">
        <v>3874</v>
      </c>
      <c r="L661" t="s">
        <v>25</v>
      </c>
      <c r="M661" t="s">
        <v>3880</v>
      </c>
      <c r="N661" t="s">
        <v>3881</v>
      </c>
      <c r="O661" t="s">
        <v>3882</v>
      </c>
      <c r="P661" t="s">
        <v>3883</v>
      </c>
      <c r="Q661" t="s">
        <v>30</v>
      </c>
      <c r="R661" t="s">
        <v>31</v>
      </c>
      <c r="S661" t="s">
        <v>58</v>
      </c>
    </row>
    <row r="662" spans="1:19" x14ac:dyDescent="0.45">
      <c r="A662" t="str">
        <f t="shared" ref="A662:A686" si="41">"11801"</f>
        <v>11801</v>
      </c>
      <c r="B662" t="s">
        <v>1122</v>
      </c>
      <c r="C662" t="str">
        <f t="shared" ref="C662:C675" si="42">"11001"</f>
        <v>11001</v>
      </c>
      <c r="D662" t="s">
        <v>2457</v>
      </c>
      <c r="E662" t="str">
        <f>"2267"</f>
        <v>2267</v>
      </c>
      <c r="F662" t="s">
        <v>1978</v>
      </c>
      <c r="G662">
        <v>7</v>
      </c>
      <c r="H662">
        <v>8</v>
      </c>
      <c r="I662" t="s">
        <v>3884</v>
      </c>
      <c r="K662" t="s">
        <v>3885</v>
      </c>
      <c r="L662" t="s">
        <v>25</v>
      </c>
      <c r="M662" t="s">
        <v>3886</v>
      </c>
      <c r="N662" t="s">
        <v>3887</v>
      </c>
      <c r="O662" t="s">
        <v>3888</v>
      </c>
      <c r="P662" t="s">
        <v>3889</v>
      </c>
      <c r="Q662" t="s">
        <v>30</v>
      </c>
      <c r="R662" t="s">
        <v>31</v>
      </c>
      <c r="S662" t="s">
        <v>104</v>
      </c>
    </row>
    <row r="663" spans="1:19" x14ac:dyDescent="0.45">
      <c r="A663" t="str">
        <f t="shared" si="41"/>
        <v>11801</v>
      </c>
      <c r="B663" t="s">
        <v>1122</v>
      </c>
      <c r="C663" t="str">
        <f t="shared" si="42"/>
        <v>11001</v>
      </c>
      <c r="D663" t="s">
        <v>2457</v>
      </c>
      <c r="E663" t="str">
        <f>"2790"</f>
        <v>2790</v>
      </c>
      <c r="F663" t="s">
        <v>3890</v>
      </c>
      <c r="G663" t="s">
        <v>22</v>
      </c>
      <c r="H663">
        <v>6</v>
      </c>
      <c r="I663" t="s">
        <v>3891</v>
      </c>
      <c r="K663" t="s">
        <v>3885</v>
      </c>
      <c r="L663" t="s">
        <v>25</v>
      </c>
      <c r="M663" t="s">
        <v>3892</v>
      </c>
      <c r="N663" t="s">
        <v>3893</v>
      </c>
      <c r="O663" t="s">
        <v>3894</v>
      </c>
      <c r="P663" t="s">
        <v>3895</v>
      </c>
      <c r="Q663" t="s">
        <v>30</v>
      </c>
      <c r="R663" t="s">
        <v>31</v>
      </c>
      <c r="S663" t="s">
        <v>32</v>
      </c>
    </row>
    <row r="664" spans="1:19" x14ac:dyDescent="0.45">
      <c r="A664" t="str">
        <f t="shared" si="41"/>
        <v>11801</v>
      </c>
      <c r="B664" t="s">
        <v>1122</v>
      </c>
      <c r="C664" t="str">
        <f t="shared" si="42"/>
        <v>11001</v>
      </c>
      <c r="D664" t="s">
        <v>2457</v>
      </c>
      <c r="E664" t="str">
        <f>"2917"</f>
        <v>2917</v>
      </c>
      <c r="F664" t="s">
        <v>3896</v>
      </c>
      <c r="G664">
        <v>9</v>
      </c>
      <c r="H664">
        <v>12</v>
      </c>
      <c r="I664" t="s">
        <v>3897</v>
      </c>
      <c r="K664" t="s">
        <v>3885</v>
      </c>
      <c r="L664" t="s">
        <v>25</v>
      </c>
      <c r="M664" t="s">
        <v>3892</v>
      </c>
      <c r="N664" t="s">
        <v>3898</v>
      </c>
      <c r="O664" t="s">
        <v>3899</v>
      </c>
      <c r="P664" t="s">
        <v>3900</v>
      </c>
      <c r="Q664" t="s">
        <v>30</v>
      </c>
      <c r="R664" t="s">
        <v>31</v>
      </c>
      <c r="S664" t="s">
        <v>58</v>
      </c>
    </row>
    <row r="665" spans="1:19" x14ac:dyDescent="0.45">
      <c r="A665" t="str">
        <f t="shared" si="41"/>
        <v>11801</v>
      </c>
      <c r="B665" t="s">
        <v>1122</v>
      </c>
      <c r="C665" t="str">
        <f t="shared" si="42"/>
        <v>11001</v>
      </c>
      <c r="D665" t="s">
        <v>2457</v>
      </c>
      <c r="E665" t="str">
        <f>"2967"</f>
        <v>2967</v>
      </c>
      <c r="F665" t="s">
        <v>3901</v>
      </c>
      <c r="G665" t="s">
        <v>70</v>
      </c>
      <c r="H665">
        <v>6</v>
      </c>
      <c r="I665" t="s">
        <v>3902</v>
      </c>
      <c r="K665" t="s">
        <v>3885</v>
      </c>
      <c r="L665" t="s">
        <v>25</v>
      </c>
      <c r="M665" t="s">
        <v>3892</v>
      </c>
      <c r="N665" t="s">
        <v>3903</v>
      </c>
      <c r="O665" t="s">
        <v>3904</v>
      </c>
      <c r="P665" t="s">
        <v>3905</v>
      </c>
      <c r="Q665" t="s">
        <v>30</v>
      </c>
      <c r="R665" t="s">
        <v>31</v>
      </c>
      <c r="S665" t="s">
        <v>32</v>
      </c>
    </row>
    <row r="666" spans="1:19" x14ac:dyDescent="0.45">
      <c r="A666" t="str">
        <f t="shared" si="41"/>
        <v>11801</v>
      </c>
      <c r="B666" t="s">
        <v>1122</v>
      </c>
      <c r="C666" t="str">
        <f t="shared" si="42"/>
        <v>11001</v>
      </c>
      <c r="D666" t="s">
        <v>2457</v>
      </c>
      <c r="E666" t="str">
        <f>"3085"</f>
        <v>3085</v>
      </c>
      <c r="F666" t="s">
        <v>3906</v>
      </c>
      <c r="G666" t="s">
        <v>22</v>
      </c>
      <c r="H666">
        <v>6</v>
      </c>
      <c r="I666" t="s">
        <v>3907</v>
      </c>
      <c r="K666" t="s">
        <v>3885</v>
      </c>
      <c r="L666" t="s">
        <v>25</v>
      </c>
      <c r="M666" t="s">
        <v>3908</v>
      </c>
      <c r="N666" t="s">
        <v>3909</v>
      </c>
      <c r="O666" t="s">
        <v>3910</v>
      </c>
      <c r="P666" t="s">
        <v>3911</v>
      </c>
      <c r="Q666" t="s">
        <v>30</v>
      </c>
      <c r="R666" t="s">
        <v>31</v>
      </c>
      <c r="S666" t="s">
        <v>32</v>
      </c>
    </row>
    <row r="667" spans="1:19" x14ac:dyDescent="0.45">
      <c r="A667" t="str">
        <f t="shared" si="41"/>
        <v>11801</v>
      </c>
      <c r="B667" t="s">
        <v>1122</v>
      </c>
      <c r="C667" t="str">
        <f t="shared" si="42"/>
        <v>11001</v>
      </c>
      <c r="D667" t="s">
        <v>2457</v>
      </c>
      <c r="E667" t="str">
        <f>"3324"</f>
        <v>3324</v>
      </c>
      <c r="F667" t="s">
        <v>1769</v>
      </c>
      <c r="G667">
        <v>7</v>
      </c>
      <c r="H667">
        <v>8</v>
      </c>
      <c r="I667" t="s">
        <v>3912</v>
      </c>
      <c r="K667" t="s">
        <v>3885</v>
      </c>
      <c r="L667" t="s">
        <v>25</v>
      </c>
      <c r="M667" t="s">
        <v>3892</v>
      </c>
      <c r="N667" t="s">
        <v>3913</v>
      </c>
      <c r="O667" t="s">
        <v>3914</v>
      </c>
      <c r="P667" t="s">
        <v>3915</v>
      </c>
      <c r="Q667" t="s">
        <v>30</v>
      </c>
      <c r="R667" t="s">
        <v>31</v>
      </c>
      <c r="S667" t="s">
        <v>104</v>
      </c>
    </row>
    <row r="668" spans="1:19" x14ac:dyDescent="0.45">
      <c r="A668" t="str">
        <f t="shared" si="41"/>
        <v>11801</v>
      </c>
      <c r="B668" t="s">
        <v>1122</v>
      </c>
      <c r="C668" t="str">
        <f t="shared" si="42"/>
        <v>11001</v>
      </c>
      <c r="D668" t="s">
        <v>2457</v>
      </c>
      <c r="E668" t="str">
        <f>"3425"</f>
        <v>3425</v>
      </c>
      <c r="F668" t="s">
        <v>3916</v>
      </c>
      <c r="G668" t="s">
        <v>70</v>
      </c>
      <c r="H668">
        <v>6</v>
      </c>
      <c r="I668" t="s">
        <v>3917</v>
      </c>
      <c r="K668" t="s">
        <v>3885</v>
      </c>
      <c r="L668" t="s">
        <v>25</v>
      </c>
      <c r="M668" t="s">
        <v>3892</v>
      </c>
      <c r="N668" t="s">
        <v>3918</v>
      </c>
      <c r="O668" t="s">
        <v>3919</v>
      </c>
      <c r="P668" t="s">
        <v>3920</v>
      </c>
      <c r="Q668" t="s">
        <v>30</v>
      </c>
      <c r="R668" t="s">
        <v>31</v>
      </c>
      <c r="S668" t="s">
        <v>32</v>
      </c>
    </row>
    <row r="669" spans="1:19" x14ac:dyDescent="0.45">
      <c r="A669" t="str">
        <f t="shared" si="41"/>
        <v>11801</v>
      </c>
      <c r="B669" t="s">
        <v>1122</v>
      </c>
      <c r="C669" t="str">
        <f t="shared" si="42"/>
        <v>11001</v>
      </c>
      <c r="D669" t="s">
        <v>2457</v>
      </c>
      <c r="E669" t="str">
        <f>"3515"</f>
        <v>3515</v>
      </c>
      <c r="F669" t="s">
        <v>3921</v>
      </c>
      <c r="G669" t="s">
        <v>22</v>
      </c>
      <c r="H669">
        <v>6</v>
      </c>
      <c r="I669" t="s">
        <v>3922</v>
      </c>
      <c r="K669" t="s">
        <v>3885</v>
      </c>
      <c r="L669" t="s">
        <v>25</v>
      </c>
      <c r="M669" t="s">
        <v>3892</v>
      </c>
      <c r="N669" t="s">
        <v>3923</v>
      </c>
      <c r="O669" t="s">
        <v>3924</v>
      </c>
      <c r="P669" t="s">
        <v>3925</v>
      </c>
      <c r="Q669" t="s">
        <v>30</v>
      </c>
      <c r="R669" t="s">
        <v>31</v>
      </c>
      <c r="S669" t="s">
        <v>32</v>
      </c>
    </row>
    <row r="670" spans="1:19" x14ac:dyDescent="0.45">
      <c r="A670" t="str">
        <f t="shared" si="41"/>
        <v>11801</v>
      </c>
      <c r="B670" t="s">
        <v>1122</v>
      </c>
      <c r="C670" t="str">
        <f t="shared" si="42"/>
        <v>11001</v>
      </c>
      <c r="D670" t="s">
        <v>2457</v>
      </c>
      <c r="E670" t="str">
        <f>"3912"</f>
        <v>3912</v>
      </c>
      <c r="F670" t="s">
        <v>3926</v>
      </c>
      <c r="G670">
        <v>6</v>
      </c>
      <c r="H670">
        <v>12</v>
      </c>
      <c r="I670" t="s">
        <v>3927</v>
      </c>
      <c r="K670" t="s">
        <v>3885</v>
      </c>
      <c r="L670" t="s">
        <v>25</v>
      </c>
      <c r="M670" t="s">
        <v>3892</v>
      </c>
      <c r="N670" t="s">
        <v>3928</v>
      </c>
      <c r="O670" t="s">
        <v>3929</v>
      </c>
      <c r="P670" t="s">
        <v>3930</v>
      </c>
      <c r="Q670" t="s">
        <v>157</v>
      </c>
      <c r="R670" t="s">
        <v>158</v>
      </c>
      <c r="S670" t="s">
        <v>58</v>
      </c>
    </row>
    <row r="671" spans="1:19" x14ac:dyDescent="0.45">
      <c r="A671" t="str">
        <f t="shared" si="41"/>
        <v>11801</v>
      </c>
      <c r="B671" t="s">
        <v>1122</v>
      </c>
      <c r="C671" t="str">
        <f t="shared" si="42"/>
        <v>11001</v>
      </c>
      <c r="D671" t="s">
        <v>2457</v>
      </c>
      <c r="E671" t="str">
        <f>"4041"</f>
        <v>4041</v>
      </c>
      <c r="F671" t="s">
        <v>3931</v>
      </c>
      <c r="G671" t="s">
        <v>22</v>
      </c>
      <c r="H671">
        <v>6</v>
      </c>
      <c r="I671" t="s">
        <v>3932</v>
      </c>
      <c r="K671" t="s">
        <v>3885</v>
      </c>
      <c r="L671" t="s">
        <v>25</v>
      </c>
      <c r="M671" t="s">
        <v>3892</v>
      </c>
      <c r="N671" t="s">
        <v>3933</v>
      </c>
      <c r="O671" t="s">
        <v>3934</v>
      </c>
      <c r="P671" t="s">
        <v>3935</v>
      </c>
      <c r="Q671" t="s">
        <v>30</v>
      </c>
      <c r="R671" t="s">
        <v>31</v>
      </c>
      <c r="S671" t="s">
        <v>32</v>
      </c>
    </row>
    <row r="672" spans="1:19" x14ac:dyDescent="0.45">
      <c r="A672" t="str">
        <f t="shared" si="41"/>
        <v>11801</v>
      </c>
      <c r="B672" t="s">
        <v>1122</v>
      </c>
      <c r="C672" t="str">
        <f t="shared" si="42"/>
        <v>11001</v>
      </c>
      <c r="D672" t="s">
        <v>2457</v>
      </c>
      <c r="E672" t="str">
        <f>"4155"</f>
        <v>4155</v>
      </c>
      <c r="F672" t="s">
        <v>3936</v>
      </c>
      <c r="G672" t="s">
        <v>70</v>
      </c>
      <c r="H672">
        <v>6</v>
      </c>
      <c r="I672" t="s">
        <v>3937</v>
      </c>
      <c r="K672" t="s">
        <v>3885</v>
      </c>
      <c r="L672" t="s">
        <v>25</v>
      </c>
      <c r="M672" t="s">
        <v>3938</v>
      </c>
      <c r="N672" t="s">
        <v>3939</v>
      </c>
      <c r="O672" t="s">
        <v>3940</v>
      </c>
      <c r="P672" t="s">
        <v>3941</v>
      </c>
      <c r="Q672" t="s">
        <v>30</v>
      </c>
      <c r="R672" t="s">
        <v>31</v>
      </c>
      <c r="S672" t="s">
        <v>32</v>
      </c>
    </row>
    <row r="673" spans="1:19" x14ac:dyDescent="0.45">
      <c r="A673" t="str">
        <f t="shared" si="41"/>
        <v>11801</v>
      </c>
      <c r="B673" t="s">
        <v>1122</v>
      </c>
      <c r="C673" t="str">
        <f t="shared" si="42"/>
        <v>11001</v>
      </c>
      <c r="D673" t="s">
        <v>2457</v>
      </c>
      <c r="E673" t="str">
        <f>"4526"</f>
        <v>4526</v>
      </c>
      <c r="F673" t="s">
        <v>3942</v>
      </c>
      <c r="G673" t="s">
        <v>70</v>
      </c>
      <c r="H673">
        <v>2</v>
      </c>
      <c r="I673" t="s">
        <v>3943</v>
      </c>
      <c r="K673" t="s">
        <v>3885</v>
      </c>
      <c r="L673" t="s">
        <v>25</v>
      </c>
      <c r="M673" t="s">
        <v>3892</v>
      </c>
      <c r="N673" t="s">
        <v>3944</v>
      </c>
      <c r="O673" t="s">
        <v>3945</v>
      </c>
      <c r="P673" t="s">
        <v>3946</v>
      </c>
      <c r="Q673" t="s">
        <v>30</v>
      </c>
      <c r="R673" t="s">
        <v>31</v>
      </c>
      <c r="S673" t="s">
        <v>32</v>
      </c>
    </row>
    <row r="674" spans="1:19" x14ac:dyDescent="0.45">
      <c r="A674" t="str">
        <f t="shared" si="41"/>
        <v>11801</v>
      </c>
      <c r="B674" t="s">
        <v>1122</v>
      </c>
      <c r="C674" t="str">
        <f t="shared" si="42"/>
        <v>11001</v>
      </c>
      <c r="D674" t="s">
        <v>2457</v>
      </c>
      <c r="E674" t="str">
        <f>"4555"</f>
        <v>4555</v>
      </c>
      <c r="F674" t="s">
        <v>3947</v>
      </c>
      <c r="G674" t="s">
        <v>22</v>
      </c>
      <c r="H674">
        <v>6</v>
      </c>
      <c r="I674" t="s">
        <v>3948</v>
      </c>
      <c r="K674" t="s">
        <v>3885</v>
      </c>
      <c r="L674" t="s">
        <v>25</v>
      </c>
      <c r="M674" t="s">
        <v>3892</v>
      </c>
      <c r="N674" t="s">
        <v>3949</v>
      </c>
      <c r="O674" t="s">
        <v>3950</v>
      </c>
      <c r="P674" t="s">
        <v>3951</v>
      </c>
      <c r="Q674" t="s">
        <v>30</v>
      </c>
      <c r="R674" t="s">
        <v>31</v>
      </c>
      <c r="S674" t="s">
        <v>32</v>
      </c>
    </row>
    <row r="675" spans="1:19" x14ac:dyDescent="0.45">
      <c r="A675" t="str">
        <f t="shared" si="41"/>
        <v>11801</v>
      </c>
      <c r="B675" t="s">
        <v>1122</v>
      </c>
      <c r="C675" t="str">
        <f t="shared" si="42"/>
        <v>11001</v>
      </c>
      <c r="D675" t="s">
        <v>2457</v>
      </c>
      <c r="E675" t="str">
        <f>"4564"</f>
        <v>4564</v>
      </c>
      <c r="F675" t="s">
        <v>3952</v>
      </c>
      <c r="G675">
        <v>7</v>
      </c>
      <c r="H675">
        <v>8</v>
      </c>
      <c r="I675" t="s">
        <v>3953</v>
      </c>
      <c r="K675" t="s">
        <v>3885</v>
      </c>
      <c r="L675" t="s">
        <v>25</v>
      </c>
      <c r="M675" t="s">
        <v>3954</v>
      </c>
      <c r="N675" t="s">
        <v>3955</v>
      </c>
      <c r="O675" t="s">
        <v>3956</v>
      </c>
      <c r="P675" t="s">
        <v>3957</v>
      </c>
      <c r="Q675" t="s">
        <v>30</v>
      </c>
      <c r="R675" t="s">
        <v>31</v>
      </c>
      <c r="S675" t="s">
        <v>104</v>
      </c>
    </row>
    <row r="676" spans="1:19" x14ac:dyDescent="0.45">
      <c r="A676" t="str">
        <f t="shared" si="41"/>
        <v>11801</v>
      </c>
      <c r="B676" t="s">
        <v>1122</v>
      </c>
      <c r="C676" t="str">
        <f t="shared" ref="C676:C682" si="43">"11051"</f>
        <v>11051</v>
      </c>
      <c r="D676" t="s">
        <v>3180</v>
      </c>
      <c r="E676" t="str">
        <f>"1754"</f>
        <v>1754</v>
      </c>
      <c r="F676" t="s">
        <v>3958</v>
      </c>
      <c r="G676">
        <v>9</v>
      </c>
      <c r="H676">
        <v>12</v>
      </c>
      <c r="I676" t="s">
        <v>3182</v>
      </c>
      <c r="K676" t="s">
        <v>3183</v>
      </c>
      <c r="L676" t="s">
        <v>25</v>
      </c>
      <c r="M676" t="s">
        <v>3959</v>
      </c>
      <c r="N676" t="s">
        <v>3960</v>
      </c>
      <c r="O676" t="s">
        <v>3961</v>
      </c>
      <c r="P676" t="s">
        <v>3962</v>
      </c>
      <c r="Q676" t="s">
        <v>157</v>
      </c>
      <c r="R676" t="s">
        <v>158</v>
      </c>
      <c r="S676" t="s">
        <v>58</v>
      </c>
    </row>
    <row r="677" spans="1:19" x14ac:dyDescent="0.45">
      <c r="A677" t="str">
        <f t="shared" si="41"/>
        <v>11801</v>
      </c>
      <c r="B677" t="s">
        <v>1122</v>
      </c>
      <c r="C677" t="str">
        <f t="shared" si="43"/>
        <v>11051</v>
      </c>
      <c r="D677" t="s">
        <v>3180</v>
      </c>
      <c r="E677" t="str">
        <f>"1889"</f>
        <v>1889</v>
      </c>
      <c r="F677" t="s">
        <v>3963</v>
      </c>
      <c r="G677" t="s">
        <v>22</v>
      </c>
      <c r="H677" t="s">
        <v>22</v>
      </c>
      <c r="I677" t="s">
        <v>3182</v>
      </c>
      <c r="K677" t="s">
        <v>3183</v>
      </c>
      <c r="L677" t="s">
        <v>25</v>
      </c>
      <c r="M677" t="s">
        <v>3959</v>
      </c>
      <c r="N677" t="s">
        <v>3964</v>
      </c>
      <c r="O677" t="s">
        <v>3965</v>
      </c>
      <c r="P677" t="s">
        <v>3966</v>
      </c>
      <c r="Q677" t="s">
        <v>2316</v>
      </c>
      <c r="R677" t="s">
        <v>31</v>
      </c>
      <c r="S677" t="s">
        <v>1248</v>
      </c>
    </row>
    <row r="678" spans="1:19" x14ac:dyDescent="0.45">
      <c r="A678" t="str">
        <f t="shared" si="41"/>
        <v>11801</v>
      </c>
      <c r="B678" t="s">
        <v>1122</v>
      </c>
      <c r="C678" t="str">
        <f t="shared" si="43"/>
        <v>11051</v>
      </c>
      <c r="D678" t="s">
        <v>3180</v>
      </c>
      <c r="E678" t="str">
        <f>"2198"</f>
        <v>2198</v>
      </c>
      <c r="F678" t="s">
        <v>3967</v>
      </c>
      <c r="G678">
        <v>7</v>
      </c>
      <c r="H678">
        <v>8</v>
      </c>
      <c r="I678" t="s">
        <v>3182</v>
      </c>
      <c r="K678" t="s">
        <v>3183</v>
      </c>
      <c r="L678" t="s">
        <v>25</v>
      </c>
      <c r="M678" t="s">
        <v>3959</v>
      </c>
      <c r="N678" t="s">
        <v>3968</v>
      </c>
      <c r="O678" t="s">
        <v>3969</v>
      </c>
      <c r="P678" t="s">
        <v>3970</v>
      </c>
      <c r="Q678" t="s">
        <v>30</v>
      </c>
      <c r="R678" t="s">
        <v>31</v>
      </c>
      <c r="S678" t="s">
        <v>104</v>
      </c>
    </row>
    <row r="679" spans="1:19" x14ac:dyDescent="0.45">
      <c r="A679" t="str">
        <f t="shared" si="41"/>
        <v>11801</v>
      </c>
      <c r="B679" t="s">
        <v>1122</v>
      </c>
      <c r="C679" t="str">
        <f t="shared" si="43"/>
        <v>11051</v>
      </c>
      <c r="D679" t="s">
        <v>3180</v>
      </c>
      <c r="E679" t="str">
        <f>"2918"</f>
        <v>2918</v>
      </c>
      <c r="F679" t="s">
        <v>3971</v>
      </c>
      <c r="G679" t="s">
        <v>70</v>
      </c>
      <c r="H679">
        <v>6</v>
      </c>
      <c r="I679" t="s">
        <v>3182</v>
      </c>
      <c r="K679" t="s">
        <v>3183</v>
      </c>
      <c r="L679" t="s">
        <v>25</v>
      </c>
      <c r="M679" t="s">
        <v>3959</v>
      </c>
      <c r="N679" t="s">
        <v>3972</v>
      </c>
      <c r="O679" t="s">
        <v>3973</v>
      </c>
      <c r="P679" t="s">
        <v>3974</v>
      </c>
      <c r="Q679" t="s">
        <v>30</v>
      </c>
      <c r="R679" t="s">
        <v>31</v>
      </c>
      <c r="S679" t="s">
        <v>32</v>
      </c>
    </row>
    <row r="680" spans="1:19" x14ac:dyDescent="0.45">
      <c r="A680" t="str">
        <f t="shared" si="41"/>
        <v>11801</v>
      </c>
      <c r="B680" t="s">
        <v>1122</v>
      </c>
      <c r="C680" t="str">
        <f t="shared" si="43"/>
        <v>11051</v>
      </c>
      <c r="D680" t="s">
        <v>3180</v>
      </c>
      <c r="E680" t="str">
        <f>"3086"</f>
        <v>3086</v>
      </c>
      <c r="F680" t="s">
        <v>3975</v>
      </c>
      <c r="G680" t="s">
        <v>70</v>
      </c>
      <c r="H680">
        <v>6</v>
      </c>
      <c r="I680" t="s">
        <v>3976</v>
      </c>
      <c r="K680" t="s">
        <v>3977</v>
      </c>
      <c r="L680" t="s">
        <v>25</v>
      </c>
      <c r="M680">
        <v>99343</v>
      </c>
      <c r="N680" t="s">
        <v>3978</v>
      </c>
      <c r="O680" t="s">
        <v>3979</v>
      </c>
      <c r="P680" t="s">
        <v>3980</v>
      </c>
      <c r="Q680" t="s">
        <v>30</v>
      </c>
      <c r="R680" t="s">
        <v>31</v>
      </c>
      <c r="S680" t="s">
        <v>32</v>
      </c>
    </row>
    <row r="681" spans="1:19" x14ac:dyDescent="0.45">
      <c r="A681" t="str">
        <f t="shared" si="41"/>
        <v>11801</v>
      </c>
      <c r="B681" t="s">
        <v>1122</v>
      </c>
      <c r="C681" t="str">
        <f t="shared" si="43"/>
        <v>11051</v>
      </c>
      <c r="D681" t="s">
        <v>3180</v>
      </c>
      <c r="E681" t="str">
        <f>"3272"</f>
        <v>3272</v>
      </c>
      <c r="F681" t="s">
        <v>3981</v>
      </c>
      <c r="G681">
        <v>9</v>
      </c>
      <c r="H681">
        <v>12</v>
      </c>
      <c r="I681" t="s">
        <v>3182</v>
      </c>
      <c r="K681" t="s">
        <v>3183</v>
      </c>
      <c r="L681" t="s">
        <v>25</v>
      </c>
      <c r="M681" t="s">
        <v>3959</v>
      </c>
      <c r="N681" t="s">
        <v>3982</v>
      </c>
      <c r="O681" t="s">
        <v>3983</v>
      </c>
      <c r="P681" t="s">
        <v>3984</v>
      </c>
      <c r="Q681" t="s">
        <v>30</v>
      </c>
      <c r="R681" t="s">
        <v>31</v>
      </c>
      <c r="S681" t="s">
        <v>58</v>
      </c>
    </row>
    <row r="682" spans="1:19" x14ac:dyDescent="0.45">
      <c r="A682" t="str">
        <f t="shared" si="41"/>
        <v>11801</v>
      </c>
      <c r="B682" t="s">
        <v>1122</v>
      </c>
      <c r="C682" t="str">
        <f t="shared" si="43"/>
        <v>11051</v>
      </c>
      <c r="D682" t="s">
        <v>3180</v>
      </c>
      <c r="E682" t="str">
        <f>"3325"</f>
        <v>3325</v>
      </c>
      <c r="F682" t="s">
        <v>3985</v>
      </c>
      <c r="G682" t="s">
        <v>70</v>
      </c>
      <c r="H682">
        <v>6</v>
      </c>
      <c r="I682" t="s">
        <v>3182</v>
      </c>
      <c r="K682" t="s">
        <v>3183</v>
      </c>
      <c r="L682" t="s">
        <v>25</v>
      </c>
      <c r="M682" t="s">
        <v>3959</v>
      </c>
      <c r="N682" t="s">
        <v>3986</v>
      </c>
      <c r="O682" t="s">
        <v>3987</v>
      </c>
      <c r="P682" t="s">
        <v>3988</v>
      </c>
      <c r="Q682" t="s">
        <v>30</v>
      </c>
      <c r="R682" t="s">
        <v>31</v>
      </c>
      <c r="S682" t="s">
        <v>32</v>
      </c>
    </row>
    <row r="683" spans="1:19" x14ac:dyDescent="0.45">
      <c r="A683" t="str">
        <f t="shared" si="41"/>
        <v>11801</v>
      </c>
      <c r="B683" t="s">
        <v>1122</v>
      </c>
      <c r="C683" t="str">
        <f>"11054"</f>
        <v>11054</v>
      </c>
      <c r="D683" t="s">
        <v>3989</v>
      </c>
      <c r="E683" t="str">
        <f>"2007"</f>
        <v>2007</v>
      </c>
      <c r="F683" t="s">
        <v>3990</v>
      </c>
      <c r="G683" t="s">
        <v>70</v>
      </c>
      <c r="H683">
        <v>6</v>
      </c>
      <c r="I683" t="s">
        <v>3991</v>
      </c>
      <c r="K683" t="s">
        <v>1465</v>
      </c>
      <c r="L683" t="s">
        <v>25</v>
      </c>
      <c r="M683" t="s">
        <v>3992</v>
      </c>
      <c r="N683" t="s">
        <v>3993</v>
      </c>
      <c r="O683" t="s">
        <v>3994</v>
      </c>
      <c r="P683" t="s">
        <v>3995</v>
      </c>
      <c r="Q683" t="s">
        <v>30</v>
      </c>
      <c r="R683" t="s">
        <v>31</v>
      </c>
      <c r="S683" t="s">
        <v>32</v>
      </c>
    </row>
    <row r="684" spans="1:19" x14ac:dyDescent="0.45">
      <c r="A684" t="str">
        <f t="shared" si="41"/>
        <v>11801</v>
      </c>
      <c r="B684" t="s">
        <v>1122</v>
      </c>
      <c r="C684" t="str">
        <f>"11056"</f>
        <v>11056</v>
      </c>
      <c r="D684" t="s">
        <v>3996</v>
      </c>
      <c r="E684" t="str">
        <f>"3214"</f>
        <v>3214</v>
      </c>
      <c r="F684" t="s">
        <v>3997</v>
      </c>
      <c r="G684" t="s">
        <v>22</v>
      </c>
      <c r="H684">
        <v>12</v>
      </c>
      <c r="I684" t="s">
        <v>3998</v>
      </c>
      <c r="K684" t="s">
        <v>3999</v>
      </c>
      <c r="L684" t="s">
        <v>25</v>
      </c>
      <c r="M684" t="s">
        <v>4000</v>
      </c>
      <c r="N684" t="s">
        <v>4001</v>
      </c>
      <c r="O684" t="s">
        <v>4002</v>
      </c>
      <c r="P684" t="s">
        <v>4003</v>
      </c>
      <c r="Q684" t="s">
        <v>30</v>
      </c>
      <c r="R684" t="s">
        <v>31</v>
      </c>
      <c r="S684" t="s">
        <v>68</v>
      </c>
    </row>
    <row r="685" spans="1:19" x14ac:dyDescent="0.45">
      <c r="A685" t="str">
        <f t="shared" si="41"/>
        <v>11801</v>
      </c>
      <c r="B685" t="s">
        <v>1122</v>
      </c>
      <c r="C685" t="str">
        <f>"12110"</f>
        <v>12110</v>
      </c>
      <c r="D685" t="s">
        <v>4004</v>
      </c>
      <c r="E685" t="str">
        <f>"2241"</f>
        <v>2241</v>
      </c>
      <c r="F685" t="s">
        <v>4005</v>
      </c>
      <c r="G685">
        <v>7</v>
      </c>
      <c r="H685">
        <v>12</v>
      </c>
      <c r="I685" t="s">
        <v>4006</v>
      </c>
      <c r="K685" t="s">
        <v>4007</v>
      </c>
      <c r="L685" t="s">
        <v>25</v>
      </c>
      <c r="M685" t="s">
        <v>4008</v>
      </c>
      <c r="N685" t="s">
        <v>1187</v>
      </c>
      <c r="O685" t="s">
        <v>4009</v>
      </c>
      <c r="P685" t="s">
        <v>4010</v>
      </c>
      <c r="Q685" t="s">
        <v>30</v>
      </c>
      <c r="R685" t="s">
        <v>31</v>
      </c>
      <c r="S685" t="s">
        <v>159</v>
      </c>
    </row>
    <row r="686" spans="1:19" x14ac:dyDescent="0.45">
      <c r="A686" t="str">
        <f t="shared" si="41"/>
        <v>11801</v>
      </c>
      <c r="B686" t="s">
        <v>1122</v>
      </c>
      <c r="C686" t="str">
        <f>"12110"</f>
        <v>12110</v>
      </c>
      <c r="D686" t="s">
        <v>4004</v>
      </c>
      <c r="E686" t="str">
        <f>"3087"</f>
        <v>3087</v>
      </c>
      <c r="F686" t="s">
        <v>4011</v>
      </c>
      <c r="G686" t="s">
        <v>22</v>
      </c>
      <c r="H686">
        <v>6</v>
      </c>
      <c r="I686" t="s">
        <v>4006</v>
      </c>
      <c r="K686" t="s">
        <v>4007</v>
      </c>
      <c r="L686" t="s">
        <v>25</v>
      </c>
      <c r="M686" t="s">
        <v>4008</v>
      </c>
      <c r="N686" t="s">
        <v>4012</v>
      </c>
      <c r="O686" t="s">
        <v>4013</v>
      </c>
      <c r="P686" t="s">
        <v>4014</v>
      </c>
      <c r="Q686" t="s">
        <v>30</v>
      </c>
      <c r="R686" t="s">
        <v>31</v>
      </c>
      <c r="S686" t="s">
        <v>32</v>
      </c>
    </row>
    <row r="687" spans="1:19" x14ac:dyDescent="0.45">
      <c r="A687" t="str">
        <f>"39801"</f>
        <v>39801</v>
      </c>
      <c r="B687" t="s">
        <v>2395</v>
      </c>
      <c r="C687" t="str">
        <f>"13073"</f>
        <v>13073</v>
      </c>
      <c r="D687" t="s">
        <v>4015</v>
      </c>
      <c r="E687" t="str">
        <f>"1835"</f>
        <v>1835</v>
      </c>
      <c r="F687" t="s">
        <v>4016</v>
      </c>
      <c r="G687">
        <v>9</v>
      </c>
      <c r="H687">
        <v>12</v>
      </c>
      <c r="I687" t="s">
        <v>4017</v>
      </c>
      <c r="K687" t="s">
        <v>4018</v>
      </c>
      <c r="L687" t="s">
        <v>25</v>
      </c>
      <c r="M687" t="s">
        <v>4019</v>
      </c>
      <c r="N687" t="s">
        <v>4020</v>
      </c>
      <c r="O687" t="s">
        <v>4021</v>
      </c>
      <c r="P687" t="s">
        <v>4022</v>
      </c>
      <c r="Q687" t="s">
        <v>157</v>
      </c>
      <c r="R687" t="s">
        <v>158</v>
      </c>
      <c r="S687" t="s">
        <v>58</v>
      </c>
    </row>
    <row r="688" spans="1:19" x14ac:dyDescent="0.45">
      <c r="A688" t="str">
        <f>"39801"</f>
        <v>39801</v>
      </c>
      <c r="B688" t="s">
        <v>2395</v>
      </c>
      <c r="C688" t="str">
        <f>"13073"</f>
        <v>13073</v>
      </c>
      <c r="D688" t="s">
        <v>4015</v>
      </c>
      <c r="E688" t="str">
        <f>"3152"</f>
        <v>3152</v>
      </c>
      <c r="F688" t="s">
        <v>4023</v>
      </c>
      <c r="G688" t="s">
        <v>70</v>
      </c>
      <c r="H688">
        <v>5</v>
      </c>
      <c r="I688" t="s">
        <v>4017</v>
      </c>
      <c r="K688" t="s">
        <v>4018</v>
      </c>
      <c r="L688" t="s">
        <v>25</v>
      </c>
      <c r="M688" t="s">
        <v>4019</v>
      </c>
      <c r="N688" t="s">
        <v>4024</v>
      </c>
      <c r="O688" t="s">
        <v>4025</v>
      </c>
      <c r="P688" t="s">
        <v>4026</v>
      </c>
      <c r="Q688" t="s">
        <v>30</v>
      </c>
      <c r="R688" t="s">
        <v>31</v>
      </c>
      <c r="S688" t="s">
        <v>32</v>
      </c>
    </row>
    <row r="689" spans="1:19" x14ac:dyDescent="0.45">
      <c r="A689" t="str">
        <f>"39801"</f>
        <v>39801</v>
      </c>
      <c r="B689" t="s">
        <v>2395</v>
      </c>
      <c r="C689" t="str">
        <f>"13073"</f>
        <v>13073</v>
      </c>
      <c r="D689" t="s">
        <v>4015</v>
      </c>
      <c r="E689" t="str">
        <f>"4222"</f>
        <v>4222</v>
      </c>
      <c r="F689" t="s">
        <v>4027</v>
      </c>
      <c r="G689" t="s">
        <v>70</v>
      </c>
      <c r="H689">
        <v>5</v>
      </c>
      <c r="I689" t="s">
        <v>4017</v>
      </c>
      <c r="K689" t="s">
        <v>4018</v>
      </c>
      <c r="L689" t="s">
        <v>25</v>
      </c>
      <c r="M689" t="s">
        <v>4019</v>
      </c>
      <c r="N689" t="s">
        <v>3515</v>
      </c>
      <c r="O689" t="s">
        <v>4028</v>
      </c>
      <c r="P689" t="s">
        <v>4029</v>
      </c>
      <c r="Q689" t="s">
        <v>30</v>
      </c>
      <c r="R689" t="s">
        <v>31</v>
      </c>
      <c r="S689" t="s">
        <v>32</v>
      </c>
    </row>
    <row r="690" spans="1:19" x14ac:dyDescent="0.45">
      <c r="A690" t="str">
        <f>"39801"</f>
        <v>39801</v>
      </c>
      <c r="B690" t="s">
        <v>2395</v>
      </c>
      <c r="C690" t="str">
        <f>"13073"</f>
        <v>13073</v>
      </c>
      <c r="D690" t="s">
        <v>4015</v>
      </c>
      <c r="E690" t="str">
        <f>"4254"</f>
        <v>4254</v>
      </c>
      <c r="F690" t="s">
        <v>4030</v>
      </c>
      <c r="G690">
        <v>9</v>
      </c>
      <c r="H690">
        <v>12</v>
      </c>
      <c r="I690" t="s">
        <v>4017</v>
      </c>
      <c r="K690" t="s">
        <v>4018</v>
      </c>
      <c r="L690" t="s">
        <v>25</v>
      </c>
      <c r="M690" t="s">
        <v>4019</v>
      </c>
      <c r="N690" t="s">
        <v>4020</v>
      </c>
      <c r="O690" t="s">
        <v>4021</v>
      </c>
      <c r="P690" t="s">
        <v>4031</v>
      </c>
      <c r="Q690" t="s">
        <v>30</v>
      </c>
      <c r="R690" t="s">
        <v>31</v>
      </c>
      <c r="S690" t="s">
        <v>58</v>
      </c>
    </row>
    <row r="691" spans="1:19" x14ac:dyDescent="0.45">
      <c r="A691" t="str">
        <f>"39801"</f>
        <v>39801</v>
      </c>
      <c r="B691" t="s">
        <v>2395</v>
      </c>
      <c r="C691" t="str">
        <f>"13073"</f>
        <v>13073</v>
      </c>
      <c r="D691" t="s">
        <v>4015</v>
      </c>
      <c r="E691" t="str">
        <f>"4490"</f>
        <v>4490</v>
      </c>
      <c r="F691" t="s">
        <v>4032</v>
      </c>
      <c r="G691" t="s">
        <v>70</v>
      </c>
      <c r="H691">
        <v>5</v>
      </c>
      <c r="I691" t="s">
        <v>4017</v>
      </c>
      <c r="K691" t="s">
        <v>4018</v>
      </c>
      <c r="L691" t="s">
        <v>25</v>
      </c>
      <c r="M691" t="s">
        <v>4019</v>
      </c>
      <c r="N691" t="s">
        <v>4033</v>
      </c>
      <c r="O691" t="s">
        <v>4034</v>
      </c>
      <c r="P691" t="s">
        <v>4035</v>
      </c>
      <c r="Q691" t="s">
        <v>30</v>
      </c>
      <c r="R691" t="s">
        <v>31</v>
      </c>
      <c r="S691" t="s">
        <v>32</v>
      </c>
    </row>
    <row r="692" spans="1:19" x14ac:dyDescent="0.45">
      <c r="A692" t="str">
        <f t="shared" ref="A692:A706" si="44">"04801"</f>
        <v>04801</v>
      </c>
      <c r="B692" t="s">
        <v>1549</v>
      </c>
      <c r="C692" t="str">
        <f t="shared" ref="C692:C697" si="45">"13144"</f>
        <v>13144</v>
      </c>
      <c r="D692" t="s">
        <v>4036</v>
      </c>
      <c r="E692" t="str">
        <f>"2510"</f>
        <v>2510</v>
      </c>
      <c r="F692" t="s">
        <v>4037</v>
      </c>
      <c r="G692">
        <v>6</v>
      </c>
      <c r="H692">
        <v>8</v>
      </c>
      <c r="I692" t="s">
        <v>4038</v>
      </c>
      <c r="K692" t="s">
        <v>4039</v>
      </c>
      <c r="L692" t="s">
        <v>25</v>
      </c>
      <c r="M692" t="s">
        <v>4040</v>
      </c>
      <c r="N692" t="s">
        <v>4041</v>
      </c>
      <c r="O692" t="s">
        <v>4042</v>
      </c>
      <c r="P692" t="s">
        <v>4043</v>
      </c>
      <c r="Q692" t="s">
        <v>30</v>
      </c>
      <c r="R692" t="s">
        <v>31</v>
      </c>
      <c r="S692" t="s">
        <v>104</v>
      </c>
    </row>
    <row r="693" spans="1:19" x14ac:dyDescent="0.45">
      <c r="A693" t="str">
        <f t="shared" si="44"/>
        <v>04801</v>
      </c>
      <c r="B693" t="s">
        <v>1549</v>
      </c>
      <c r="C693" t="str">
        <f t="shared" si="45"/>
        <v>13144</v>
      </c>
      <c r="D693" t="s">
        <v>4036</v>
      </c>
      <c r="E693" t="str">
        <f>"2919"</f>
        <v>2919</v>
      </c>
      <c r="F693" t="s">
        <v>4044</v>
      </c>
      <c r="G693" t="s">
        <v>70</v>
      </c>
      <c r="H693">
        <v>5</v>
      </c>
      <c r="I693" t="s">
        <v>4045</v>
      </c>
      <c r="K693" t="s">
        <v>4039</v>
      </c>
      <c r="L693" t="s">
        <v>25</v>
      </c>
      <c r="M693" t="s">
        <v>4040</v>
      </c>
      <c r="N693" t="s">
        <v>4046</v>
      </c>
      <c r="O693" t="s">
        <v>4047</v>
      </c>
      <c r="P693" t="s">
        <v>4048</v>
      </c>
      <c r="Q693" t="s">
        <v>30</v>
      </c>
      <c r="R693" t="s">
        <v>31</v>
      </c>
      <c r="S693" t="s">
        <v>32</v>
      </c>
    </row>
    <row r="694" spans="1:19" x14ac:dyDescent="0.45">
      <c r="A694" t="str">
        <f t="shared" si="44"/>
        <v>04801</v>
      </c>
      <c r="B694" t="s">
        <v>1549</v>
      </c>
      <c r="C694" t="str">
        <f t="shared" si="45"/>
        <v>13144</v>
      </c>
      <c r="D694" t="s">
        <v>4036</v>
      </c>
      <c r="E694" t="str">
        <f>"3020"</f>
        <v>3020</v>
      </c>
      <c r="F694" t="s">
        <v>4049</v>
      </c>
      <c r="G694" t="s">
        <v>70</v>
      </c>
      <c r="H694">
        <v>5</v>
      </c>
      <c r="I694" t="s">
        <v>4050</v>
      </c>
      <c r="K694" t="s">
        <v>4039</v>
      </c>
      <c r="L694" t="s">
        <v>25</v>
      </c>
      <c r="M694" t="s">
        <v>4040</v>
      </c>
      <c r="N694" t="s">
        <v>4051</v>
      </c>
      <c r="O694" t="s">
        <v>4052</v>
      </c>
      <c r="P694" t="s">
        <v>4053</v>
      </c>
      <c r="Q694" t="s">
        <v>30</v>
      </c>
      <c r="R694" t="s">
        <v>31</v>
      </c>
      <c r="S694" t="s">
        <v>32</v>
      </c>
    </row>
    <row r="695" spans="1:19" x14ac:dyDescent="0.45">
      <c r="A695" t="str">
        <f t="shared" si="44"/>
        <v>04801</v>
      </c>
      <c r="B695" t="s">
        <v>1549</v>
      </c>
      <c r="C695" t="str">
        <f t="shared" si="45"/>
        <v>13144</v>
      </c>
      <c r="D695" t="s">
        <v>4036</v>
      </c>
      <c r="E695" t="str">
        <f>"3088"</f>
        <v>3088</v>
      </c>
      <c r="F695" t="s">
        <v>4054</v>
      </c>
      <c r="G695">
        <v>9</v>
      </c>
      <c r="H695">
        <v>12</v>
      </c>
      <c r="I695" t="s">
        <v>4055</v>
      </c>
      <c r="K695" t="s">
        <v>4039</v>
      </c>
      <c r="L695" t="s">
        <v>25</v>
      </c>
      <c r="M695" t="s">
        <v>4040</v>
      </c>
      <c r="N695" t="s">
        <v>4056</v>
      </c>
      <c r="O695" t="s">
        <v>4057</v>
      </c>
      <c r="P695" t="s">
        <v>4058</v>
      </c>
      <c r="Q695" t="s">
        <v>30</v>
      </c>
      <c r="R695" t="s">
        <v>31</v>
      </c>
      <c r="S695" t="s">
        <v>58</v>
      </c>
    </row>
    <row r="696" spans="1:19" x14ac:dyDescent="0.45">
      <c r="A696" t="str">
        <f t="shared" si="44"/>
        <v>04801</v>
      </c>
      <c r="B696" t="s">
        <v>1549</v>
      </c>
      <c r="C696" t="str">
        <f t="shared" si="45"/>
        <v>13144</v>
      </c>
      <c r="D696" t="s">
        <v>4036</v>
      </c>
      <c r="E696" t="str">
        <f>"3426"</f>
        <v>3426</v>
      </c>
      <c r="F696" t="s">
        <v>4059</v>
      </c>
      <c r="G696" t="s">
        <v>70</v>
      </c>
      <c r="H696">
        <v>5</v>
      </c>
      <c r="I696" t="s">
        <v>4060</v>
      </c>
      <c r="K696" t="s">
        <v>4039</v>
      </c>
      <c r="L696" t="s">
        <v>25</v>
      </c>
      <c r="M696" t="s">
        <v>4040</v>
      </c>
      <c r="N696" t="s">
        <v>4061</v>
      </c>
      <c r="O696" t="s">
        <v>4062</v>
      </c>
      <c r="P696" t="s">
        <v>4063</v>
      </c>
      <c r="Q696" t="s">
        <v>30</v>
      </c>
      <c r="R696" t="s">
        <v>31</v>
      </c>
      <c r="S696" t="s">
        <v>32</v>
      </c>
    </row>
    <row r="697" spans="1:19" x14ac:dyDescent="0.45">
      <c r="A697" t="str">
        <f t="shared" si="44"/>
        <v>04801</v>
      </c>
      <c r="B697" t="s">
        <v>1549</v>
      </c>
      <c r="C697" t="str">
        <f t="shared" si="45"/>
        <v>13144</v>
      </c>
      <c r="D697" t="s">
        <v>4036</v>
      </c>
      <c r="E697" t="str">
        <f>"4536"</f>
        <v>4536</v>
      </c>
      <c r="F697" t="s">
        <v>4064</v>
      </c>
      <c r="G697" t="s">
        <v>70</v>
      </c>
      <c r="H697">
        <v>5</v>
      </c>
      <c r="I697" t="s">
        <v>4065</v>
      </c>
      <c r="K697" t="s">
        <v>4039</v>
      </c>
      <c r="L697" t="s">
        <v>25</v>
      </c>
      <c r="M697" t="s">
        <v>4040</v>
      </c>
      <c r="N697" t="s">
        <v>4066</v>
      </c>
      <c r="O697" t="s">
        <v>4067</v>
      </c>
      <c r="P697" t="s">
        <v>4068</v>
      </c>
      <c r="Q697" t="s">
        <v>30</v>
      </c>
      <c r="R697" t="s">
        <v>31</v>
      </c>
      <c r="S697" t="s">
        <v>32</v>
      </c>
    </row>
    <row r="698" spans="1:19" x14ac:dyDescent="0.45">
      <c r="A698" t="str">
        <f t="shared" si="44"/>
        <v>04801</v>
      </c>
      <c r="B698" t="s">
        <v>1549</v>
      </c>
      <c r="C698" t="str">
        <f>"13146"</f>
        <v>13146</v>
      </c>
      <c r="D698" t="s">
        <v>4069</v>
      </c>
      <c r="E698" t="str">
        <f>"2792"</f>
        <v>2792</v>
      </c>
      <c r="F698" t="s">
        <v>4070</v>
      </c>
      <c r="G698" t="s">
        <v>22</v>
      </c>
      <c r="H698">
        <v>5</v>
      </c>
      <c r="I698" t="s">
        <v>4071</v>
      </c>
      <c r="K698" t="s">
        <v>4072</v>
      </c>
      <c r="L698" t="s">
        <v>25</v>
      </c>
      <c r="M698" t="s">
        <v>4073</v>
      </c>
      <c r="N698" t="s">
        <v>4074</v>
      </c>
      <c r="O698" t="s">
        <v>4075</v>
      </c>
      <c r="P698" t="s">
        <v>4076</v>
      </c>
      <c r="Q698" t="s">
        <v>30</v>
      </c>
      <c r="R698" t="s">
        <v>31</v>
      </c>
      <c r="S698" t="s">
        <v>32</v>
      </c>
    </row>
    <row r="699" spans="1:19" x14ac:dyDescent="0.45">
      <c r="A699" t="str">
        <f t="shared" si="44"/>
        <v>04801</v>
      </c>
      <c r="B699" t="s">
        <v>1549</v>
      </c>
      <c r="C699" t="str">
        <f>"13146"</f>
        <v>13146</v>
      </c>
      <c r="D699" t="s">
        <v>4069</v>
      </c>
      <c r="E699" t="str">
        <f>"3273"</f>
        <v>3273</v>
      </c>
      <c r="F699" t="s">
        <v>4077</v>
      </c>
      <c r="G699">
        <v>9</v>
      </c>
      <c r="H699">
        <v>12</v>
      </c>
      <c r="I699" t="s">
        <v>4071</v>
      </c>
      <c r="K699" t="s">
        <v>4072</v>
      </c>
      <c r="L699" t="s">
        <v>25</v>
      </c>
      <c r="M699" t="s">
        <v>4073</v>
      </c>
      <c r="N699" t="s">
        <v>4078</v>
      </c>
      <c r="O699" t="s">
        <v>4079</v>
      </c>
      <c r="P699" t="s">
        <v>4080</v>
      </c>
      <c r="Q699" t="s">
        <v>30</v>
      </c>
      <c r="R699" t="s">
        <v>31</v>
      </c>
      <c r="S699" t="s">
        <v>58</v>
      </c>
    </row>
    <row r="700" spans="1:19" x14ac:dyDescent="0.45">
      <c r="A700" t="str">
        <f t="shared" si="44"/>
        <v>04801</v>
      </c>
      <c r="B700" t="s">
        <v>1549</v>
      </c>
      <c r="C700" t="str">
        <f>"13146"</f>
        <v>13146</v>
      </c>
      <c r="D700" t="s">
        <v>4069</v>
      </c>
      <c r="E700" t="str">
        <f>"3909"</f>
        <v>3909</v>
      </c>
      <c r="F700" t="s">
        <v>4081</v>
      </c>
      <c r="G700">
        <v>6</v>
      </c>
      <c r="H700">
        <v>8</v>
      </c>
      <c r="I700" t="s">
        <v>4071</v>
      </c>
      <c r="K700" t="s">
        <v>4072</v>
      </c>
      <c r="L700" t="s">
        <v>25</v>
      </c>
      <c r="M700" t="s">
        <v>4073</v>
      </c>
      <c r="N700" t="s">
        <v>4082</v>
      </c>
      <c r="O700" t="s">
        <v>4083</v>
      </c>
      <c r="P700" t="s">
        <v>4084</v>
      </c>
      <c r="Q700" t="s">
        <v>30</v>
      </c>
      <c r="R700" t="s">
        <v>31</v>
      </c>
      <c r="S700" t="s">
        <v>104</v>
      </c>
    </row>
    <row r="701" spans="1:19" x14ac:dyDescent="0.45">
      <c r="A701" t="str">
        <f t="shared" si="44"/>
        <v>04801</v>
      </c>
      <c r="B701" t="s">
        <v>1549</v>
      </c>
      <c r="C701" t="str">
        <f>"13151"</f>
        <v>13151</v>
      </c>
      <c r="D701" t="s">
        <v>4085</v>
      </c>
      <c r="E701" t="str">
        <f>"2304"</f>
        <v>2304</v>
      </c>
      <c r="F701" t="s">
        <v>4086</v>
      </c>
      <c r="G701">
        <v>6</v>
      </c>
      <c r="H701">
        <v>8</v>
      </c>
      <c r="I701" t="s">
        <v>4087</v>
      </c>
      <c r="K701" t="s">
        <v>4088</v>
      </c>
      <c r="L701" t="s">
        <v>25</v>
      </c>
      <c r="M701" t="s">
        <v>4089</v>
      </c>
      <c r="N701" t="s">
        <v>4090</v>
      </c>
      <c r="O701" t="s">
        <v>4091</v>
      </c>
      <c r="P701" t="s">
        <v>4092</v>
      </c>
      <c r="Q701" t="s">
        <v>30</v>
      </c>
      <c r="R701" t="s">
        <v>31</v>
      </c>
      <c r="S701" t="s">
        <v>104</v>
      </c>
    </row>
    <row r="702" spans="1:19" x14ac:dyDescent="0.45">
      <c r="A702" t="str">
        <f t="shared" si="44"/>
        <v>04801</v>
      </c>
      <c r="B702" t="s">
        <v>1549</v>
      </c>
      <c r="C702" t="str">
        <f>"13151"</f>
        <v>13151</v>
      </c>
      <c r="D702" t="s">
        <v>4085</v>
      </c>
      <c r="E702" t="str">
        <f>"2693"</f>
        <v>2693</v>
      </c>
      <c r="F702" t="s">
        <v>4093</v>
      </c>
      <c r="G702" t="s">
        <v>70</v>
      </c>
      <c r="H702">
        <v>5</v>
      </c>
      <c r="I702" t="s">
        <v>4094</v>
      </c>
      <c r="K702" t="s">
        <v>4088</v>
      </c>
      <c r="L702" t="s">
        <v>25</v>
      </c>
      <c r="M702" t="s">
        <v>4095</v>
      </c>
      <c r="N702" t="s">
        <v>4090</v>
      </c>
      <c r="O702" t="s">
        <v>4091</v>
      </c>
      <c r="P702" t="s">
        <v>4092</v>
      </c>
      <c r="Q702" t="s">
        <v>30</v>
      </c>
      <c r="R702" t="s">
        <v>31</v>
      </c>
      <c r="S702" t="s">
        <v>32</v>
      </c>
    </row>
    <row r="703" spans="1:19" x14ac:dyDescent="0.45">
      <c r="A703" t="str">
        <f t="shared" si="44"/>
        <v>04801</v>
      </c>
      <c r="B703" t="s">
        <v>1549</v>
      </c>
      <c r="C703" t="str">
        <f>"13151"</f>
        <v>13151</v>
      </c>
      <c r="D703" t="s">
        <v>4085</v>
      </c>
      <c r="E703" t="str">
        <f>"2968"</f>
        <v>2968</v>
      </c>
      <c r="F703" t="s">
        <v>4096</v>
      </c>
      <c r="G703">
        <v>9</v>
      </c>
      <c r="H703">
        <v>12</v>
      </c>
      <c r="I703" t="s">
        <v>4097</v>
      </c>
      <c r="K703" t="s">
        <v>4098</v>
      </c>
      <c r="L703" t="s">
        <v>25</v>
      </c>
      <c r="M703">
        <v>99115</v>
      </c>
      <c r="N703" t="s">
        <v>4099</v>
      </c>
      <c r="O703" t="s">
        <v>4100</v>
      </c>
      <c r="P703" t="s">
        <v>4092</v>
      </c>
      <c r="Q703" t="s">
        <v>30</v>
      </c>
      <c r="R703" t="s">
        <v>31</v>
      </c>
      <c r="S703" t="s">
        <v>58</v>
      </c>
    </row>
    <row r="704" spans="1:19" x14ac:dyDescent="0.45">
      <c r="A704" t="str">
        <f t="shared" si="44"/>
        <v>04801</v>
      </c>
      <c r="B704" t="s">
        <v>1549</v>
      </c>
      <c r="C704" t="str">
        <f>"13156"</f>
        <v>13156</v>
      </c>
      <c r="D704" t="s">
        <v>4101</v>
      </c>
      <c r="E704" t="str">
        <f>"1518"</f>
        <v>1518</v>
      </c>
      <c r="F704" t="s">
        <v>4102</v>
      </c>
      <c r="G704">
        <v>9</v>
      </c>
      <c r="H704">
        <v>12</v>
      </c>
      <c r="I704" t="s">
        <v>4103</v>
      </c>
      <c r="K704" t="s">
        <v>4104</v>
      </c>
      <c r="L704" t="s">
        <v>25</v>
      </c>
      <c r="M704">
        <v>98851</v>
      </c>
      <c r="N704" t="s">
        <v>4105</v>
      </c>
      <c r="O704" t="s">
        <v>4106</v>
      </c>
      <c r="P704" t="s">
        <v>4107</v>
      </c>
      <c r="Q704" t="s">
        <v>157</v>
      </c>
      <c r="R704" t="s">
        <v>158</v>
      </c>
      <c r="S704" t="s">
        <v>58</v>
      </c>
    </row>
    <row r="705" spans="1:19" x14ac:dyDescent="0.45">
      <c r="A705" t="str">
        <f t="shared" si="44"/>
        <v>04801</v>
      </c>
      <c r="B705" t="s">
        <v>1549</v>
      </c>
      <c r="C705" t="str">
        <f>"13156"</f>
        <v>13156</v>
      </c>
      <c r="D705" t="s">
        <v>4101</v>
      </c>
      <c r="E705" t="str">
        <f>"2694"</f>
        <v>2694</v>
      </c>
      <c r="F705" t="s">
        <v>4108</v>
      </c>
      <c r="G705" t="s">
        <v>22</v>
      </c>
      <c r="H705">
        <v>5</v>
      </c>
      <c r="I705" t="s">
        <v>4109</v>
      </c>
      <c r="K705" t="s">
        <v>4104</v>
      </c>
      <c r="L705" t="s">
        <v>25</v>
      </c>
      <c r="M705">
        <v>98851</v>
      </c>
      <c r="N705" t="s">
        <v>4110</v>
      </c>
      <c r="O705" t="s">
        <v>4111</v>
      </c>
      <c r="P705" t="s">
        <v>4112</v>
      </c>
      <c r="Q705" t="s">
        <v>30</v>
      </c>
      <c r="R705" t="s">
        <v>31</v>
      </c>
      <c r="S705" t="s">
        <v>32</v>
      </c>
    </row>
    <row r="706" spans="1:19" x14ac:dyDescent="0.45">
      <c r="A706" t="str">
        <f t="shared" si="44"/>
        <v>04801</v>
      </c>
      <c r="B706" t="s">
        <v>1549</v>
      </c>
      <c r="C706" t="str">
        <f>"13156"</f>
        <v>13156</v>
      </c>
      <c r="D706" t="s">
        <v>4101</v>
      </c>
      <c r="E706" t="str">
        <f>"3089"</f>
        <v>3089</v>
      </c>
      <c r="F706" t="s">
        <v>4113</v>
      </c>
      <c r="G706">
        <v>6</v>
      </c>
      <c r="H706">
        <v>12</v>
      </c>
      <c r="I706" t="s">
        <v>4103</v>
      </c>
      <c r="K706" t="s">
        <v>4104</v>
      </c>
      <c r="L706" t="s">
        <v>25</v>
      </c>
      <c r="M706">
        <v>98851</v>
      </c>
      <c r="N706" t="s">
        <v>4114</v>
      </c>
      <c r="O706" t="s">
        <v>4115</v>
      </c>
      <c r="P706" t="s">
        <v>4107</v>
      </c>
      <c r="Q706" t="s">
        <v>30</v>
      </c>
      <c r="R706" t="s">
        <v>31</v>
      </c>
      <c r="S706" t="s">
        <v>159</v>
      </c>
    </row>
    <row r="707" spans="1:19" x14ac:dyDescent="0.45">
      <c r="A707" t="str">
        <f>"39801"</f>
        <v>39801</v>
      </c>
      <c r="B707" t="s">
        <v>2395</v>
      </c>
      <c r="C707" t="str">
        <f>"13160"</f>
        <v>13160</v>
      </c>
      <c r="D707" t="s">
        <v>2673</v>
      </c>
      <c r="E707" t="str">
        <f>"3090"</f>
        <v>3090</v>
      </c>
      <c r="F707" t="s">
        <v>4116</v>
      </c>
      <c r="G707" t="s">
        <v>22</v>
      </c>
      <c r="H707">
        <v>3</v>
      </c>
      <c r="I707" t="s">
        <v>2675</v>
      </c>
      <c r="K707" t="s">
        <v>2676</v>
      </c>
      <c r="L707" t="s">
        <v>25</v>
      </c>
      <c r="M707" t="s">
        <v>2677</v>
      </c>
      <c r="N707" t="s">
        <v>4117</v>
      </c>
      <c r="O707" t="s">
        <v>4118</v>
      </c>
      <c r="P707" t="s">
        <v>4119</v>
      </c>
      <c r="Q707" t="s">
        <v>30</v>
      </c>
      <c r="R707" t="s">
        <v>31</v>
      </c>
      <c r="S707" t="s">
        <v>32</v>
      </c>
    </row>
    <row r="708" spans="1:19" x14ac:dyDescent="0.45">
      <c r="A708" t="str">
        <f>"39801"</f>
        <v>39801</v>
      </c>
      <c r="B708" t="s">
        <v>2395</v>
      </c>
      <c r="C708" t="str">
        <f>"13160"</f>
        <v>13160</v>
      </c>
      <c r="D708" t="s">
        <v>2673</v>
      </c>
      <c r="E708" t="str">
        <f>"3516"</f>
        <v>3516</v>
      </c>
      <c r="F708" t="s">
        <v>4120</v>
      </c>
      <c r="G708">
        <v>9</v>
      </c>
      <c r="H708">
        <v>12</v>
      </c>
      <c r="I708" t="s">
        <v>2675</v>
      </c>
      <c r="K708" t="s">
        <v>2676</v>
      </c>
      <c r="L708" t="s">
        <v>25</v>
      </c>
      <c r="M708" t="s">
        <v>2677</v>
      </c>
      <c r="N708" t="s">
        <v>4121</v>
      </c>
      <c r="O708" t="s">
        <v>4122</v>
      </c>
      <c r="P708" t="s">
        <v>4123</v>
      </c>
      <c r="Q708" t="s">
        <v>30</v>
      </c>
      <c r="R708" t="s">
        <v>31</v>
      </c>
      <c r="S708" t="s">
        <v>58</v>
      </c>
    </row>
    <row r="709" spans="1:19" x14ac:dyDescent="0.45">
      <c r="A709" t="str">
        <f>"39801"</f>
        <v>39801</v>
      </c>
      <c r="B709" t="s">
        <v>2395</v>
      </c>
      <c r="C709" t="str">
        <f>"13160"</f>
        <v>13160</v>
      </c>
      <c r="D709" t="s">
        <v>2673</v>
      </c>
      <c r="E709" t="str">
        <f>"3620"</f>
        <v>3620</v>
      </c>
      <c r="F709" t="s">
        <v>4124</v>
      </c>
      <c r="G709">
        <v>7</v>
      </c>
      <c r="H709">
        <v>8</v>
      </c>
      <c r="I709" t="s">
        <v>2675</v>
      </c>
      <c r="K709" t="s">
        <v>2676</v>
      </c>
      <c r="L709" t="s">
        <v>25</v>
      </c>
      <c r="M709" t="s">
        <v>2677</v>
      </c>
      <c r="N709" t="s">
        <v>4125</v>
      </c>
      <c r="O709" t="s">
        <v>4126</v>
      </c>
      <c r="P709" t="s">
        <v>4127</v>
      </c>
      <c r="Q709" t="s">
        <v>30</v>
      </c>
      <c r="R709" t="s">
        <v>31</v>
      </c>
      <c r="S709" t="s">
        <v>104</v>
      </c>
    </row>
    <row r="710" spans="1:19" x14ac:dyDescent="0.45">
      <c r="A710" t="str">
        <f t="shared" ref="A710:A730" si="46">"04801"</f>
        <v>04801</v>
      </c>
      <c r="B710" t="s">
        <v>1549</v>
      </c>
      <c r="C710" t="str">
        <f t="shared" ref="C710:C720" si="47">"13161"</f>
        <v>13161</v>
      </c>
      <c r="D710" t="s">
        <v>2348</v>
      </c>
      <c r="E710" t="str">
        <f>"2673"</f>
        <v>2673</v>
      </c>
      <c r="F710" t="s">
        <v>3339</v>
      </c>
      <c r="G710">
        <v>6</v>
      </c>
      <c r="H710">
        <v>8</v>
      </c>
      <c r="I710" t="s">
        <v>4128</v>
      </c>
      <c r="K710" t="s">
        <v>4129</v>
      </c>
      <c r="L710" t="s">
        <v>25</v>
      </c>
      <c r="M710" t="s">
        <v>4130</v>
      </c>
      <c r="N710" t="s">
        <v>4131</v>
      </c>
      <c r="O710" t="s">
        <v>4132</v>
      </c>
      <c r="P710" t="s">
        <v>4133</v>
      </c>
      <c r="Q710" t="s">
        <v>30</v>
      </c>
      <c r="R710" t="s">
        <v>31</v>
      </c>
      <c r="S710" t="s">
        <v>104</v>
      </c>
    </row>
    <row r="711" spans="1:19" x14ac:dyDescent="0.45">
      <c r="A711" t="str">
        <f t="shared" si="46"/>
        <v>04801</v>
      </c>
      <c r="B711" t="s">
        <v>1549</v>
      </c>
      <c r="C711" t="str">
        <f t="shared" si="47"/>
        <v>13161</v>
      </c>
      <c r="D711" t="s">
        <v>2348</v>
      </c>
      <c r="E711" t="str">
        <f>"2832"</f>
        <v>2832</v>
      </c>
      <c r="F711" t="s">
        <v>4134</v>
      </c>
      <c r="G711" t="s">
        <v>22</v>
      </c>
      <c r="H711">
        <v>5</v>
      </c>
      <c r="I711" t="s">
        <v>4135</v>
      </c>
      <c r="K711" t="s">
        <v>4129</v>
      </c>
      <c r="L711" t="s">
        <v>25</v>
      </c>
      <c r="M711" t="s">
        <v>4130</v>
      </c>
      <c r="N711" t="s">
        <v>4136</v>
      </c>
      <c r="O711" t="s">
        <v>4137</v>
      </c>
      <c r="P711" t="s">
        <v>4138</v>
      </c>
      <c r="Q711" t="s">
        <v>30</v>
      </c>
      <c r="R711" t="s">
        <v>31</v>
      </c>
      <c r="S711" t="s">
        <v>32</v>
      </c>
    </row>
    <row r="712" spans="1:19" x14ac:dyDescent="0.45">
      <c r="A712" t="str">
        <f t="shared" si="46"/>
        <v>04801</v>
      </c>
      <c r="B712" t="s">
        <v>1549</v>
      </c>
      <c r="C712" t="str">
        <f t="shared" si="47"/>
        <v>13161</v>
      </c>
      <c r="D712" t="s">
        <v>2348</v>
      </c>
      <c r="E712" t="str">
        <f>"2833"</f>
        <v>2833</v>
      </c>
      <c r="F712" t="s">
        <v>4139</v>
      </c>
      <c r="G712" t="s">
        <v>22</v>
      </c>
      <c r="H712">
        <v>5</v>
      </c>
      <c r="I712" t="s">
        <v>4140</v>
      </c>
      <c r="K712" t="s">
        <v>4129</v>
      </c>
      <c r="L712" t="s">
        <v>25</v>
      </c>
      <c r="M712" t="s">
        <v>4130</v>
      </c>
      <c r="N712" t="s">
        <v>4141</v>
      </c>
      <c r="O712" t="s">
        <v>4142</v>
      </c>
      <c r="P712" t="s">
        <v>4143</v>
      </c>
      <c r="Q712" t="s">
        <v>30</v>
      </c>
      <c r="R712" t="s">
        <v>31</v>
      </c>
      <c r="S712" t="s">
        <v>32</v>
      </c>
    </row>
    <row r="713" spans="1:19" x14ac:dyDescent="0.45">
      <c r="A713" t="str">
        <f t="shared" si="46"/>
        <v>04801</v>
      </c>
      <c r="B713" t="s">
        <v>1549</v>
      </c>
      <c r="C713" t="str">
        <f t="shared" si="47"/>
        <v>13161</v>
      </c>
      <c r="D713" t="s">
        <v>2348</v>
      </c>
      <c r="E713" t="str">
        <f>"2969"</f>
        <v>2969</v>
      </c>
      <c r="F713" t="s">
        <v>4144</v>
      </c>
      <c r="G713" t="s">
        <v>70</v>
      </c>
      <c r="H713">
        <v>5</v>
      </c>
      <c r="I713" t="s">
        <v>4145</v>
      </c>
      <c r="K713" t="s">
        <v>4129</v>
      </c>
      <c r="L713" t="s">
        <v>25</v>
      </c>
      <c r="M713" t="s">
        <v>4130</v>
      </c>
      <c r="N713" t="s">
        <v>4146</v>
      </c>
      <c r="O713" t="s">
        <v>4147</v>
      </c>
      <c r="P713" t="s">
        <v>4148</v>
      </c>
      <c r="Q713" t="s">
        <v>30</v>
      </c>
      <c r="R713" t="s">
        <v>31</v>
      </c>
      <c r="S713" t="s">
        <v>32</v>
      </c>
    </row>
    <row r="714" spans="1:19" x14ac:dyDescent="0.45">
      <c r="A714" t="str">
        <f t="shared" si="46"/>
        <v>04801</v>
      </c>
      <c r="B714" t="s">
        <v>1549</v>
      </c>
      <c r="C714" t="str">
        <f t="shared" si="47"/>
        <v>13161</v>
      </c>
      <c r="D714" t="s">
        <v>2348</v>
      </c>
      <c r="E714" t="str">
        <f>"2970"</f>
        <v>2970</v>
      </c>
      <c r="F714" t="s">
        <v>243</v>
      </c>
      <c r="G714" t="s">
        <v>22</v>
      </c>
      <c r="H714">
        <v>6</v>
      </c>
      <c r="I714" t="s">
        <v>4149</v>
      </c>
      <c r="K714" t="s">
        <v>4129</v>
      </c>
      <c r="L714" t="s">
        <v>25</v>
      </c>
      <c r="M714" t="s">
        <v>4130</v>
      </c>
      <c r="N714" t="s">
        <v>4150</v>
      </c>
      <c r="O714" t="s">
        <v>4151</v>
      </c>
      <c r="P714" t="s">
        <v>4152</v>
      </c>
      <c r="Q714" t="s">
        <v>30</v>
      </c>
      <c r="R714" t="s">
        <v>31</v>
      </c>
      <c r="S714" t="s">
        <v>32</v>
      </c>
    </row>
    <row r="715" spans="1:19" x14ac:dyDescent="0.45">
      <c r="A715" t="str">
        <f t="shared" si="46"/>
        <v>04801</v>
      </c>
      <c r="B715" t="s">
        <v>1549</v>
      </c>
      <c r="C715" t="str">
        <f t="shared" si="47"/>
        <v>13161</v>
      </c>
      <c r="D715" t="s">
        <v>2348</v>
      </c>
      <c r="E715" t="str">
        <f>"3021"</f>
        <v>3021</v>
      </c>
      <c r="F715" t="s">
        <v>4153</v>
      </c>
      <c r="G715" t="s">
        <v>22</v>
      </c>
      <c r="H715">
        <v>5</v>
      </c>
      <c r="I715" t="s">
        <v>4154</v>
      </c>
      <c r="K715" t="s">
        <v>4129</v>
      </c>
      <c r="L715" t="s">
        <v>25</v>
      </c>
      <c r="M715" t="s">
        <v>4130</v>
      </c>
      <c r="N715" t="s">
        <v>4155</v>
      </c>
      <c r="O715" t="s">
        <v>4156</v>
      </c>
      <c r="P715" t="s">
        <v>4157</v>
      </c>
      <c r="Q715" t="s">
        <v>30</v>
      </c>
      <c r="R715" t="s">
        <v>31</v>
      </c>
      <c r="S715" t="s">
        <v>32</v>
      </c>
    </row>
    <row r="716" spans="1:19" x14ac:dyDescent="0.45">
      <c r="A716" t="str">
        <f t="shared" si="46"/>
        <v>04801</v>
      </c>
      <c r="B716" t="s">
        <v>1549</v>
      </c>
      <c r="C716" t="str">
        <f t="shared" si="47"/>
        <v>13161</v>
      </c>
      <c r="D716" t="s">
        <v>2348</v>
      </c>
      <c r="E716" t="str">
        <f>"3022"</f>
        <v>3022</v>
      </c>
      <c r="F716" t="s">
        <v>4158</v>
      </c>
      <c r="G716">
        <v>6</v>
      </c>
      <c r="H716">
        <v>8</v>
      </c>
      <c r="I716" t="s">
        <v>4159</v>
      </c>
      <c r="K716" t="s">
        <v>4129</v>
      </c>
      <c r="L716" t="s">
        <v>25</v>
      </c>
      <c r="M716" t="s">
        <v>4130</v>
      </c>
      <c r="N716" t="s">
        <v>4160</v>
      </c>
      <c r="O716" t="s">
        <v>4161</v>
      </c>
      <c r="P716" t="s">
        <v>4162</v>
      </c>
      <c r="Q716" t="s">
        <v>30</v>
      </c>
      <c r="R716" t="s">
        <v>31</v>
      </c>
      <c r="S716" t="s">
        <v>104</v>
      </c>
    </row>
    <row r="717" spans="1:19" x14ac:dyDescent="0.45">
      <c r="A717" t="str">
        <f t="shared" si="46"/>
        <v>04801</v>
      </c>
      <c r="B717" t="s">
        <v>1549</v>
      </c>
      <c r="C717" t="str">
        <f t="shared" si="47"/>
        <v>13161</v>
      </c>
      <c r="D717" t="s">
        <v>2348</v>
      </c>
      <c r="E717" t="str">
        <f>"3091"</f>
        <v>3091</v>
      </c>
      <c r="F717" t="s">
        <v>4163</v>
      </c>
      <c r="G717" t="s">
        <v>70</v>
      </c>
      <c r="H717">
        <v>5</v>
      </c>
      <c r="I717" t="s">
        <v>4164</v>
      </c>
      <c r="K717" t="s">
        <v>4129</v>
      </c>
      <c r="L717" t="s">
        <v>25</v>
      </c>
      <c r="M717" t="s">
        <v>4130</v>
      </c>
      <c r="N717" t="s">
        <v>4165</v>
      </c>
      <c r="O717" t="s">
        <v>4166</v>
      </c>
      <c r="P717" t="s">
        <v>4167</v>
      </c>
      <c r="Q717" t="s">
        <v>30</v>
      </c>
      <c r="R717" t="s">
        <v>31</v>
      </c>
      <c r="S717" t="s">
        <v>32</v>
      </c>
    </row>
    <row r="718" spans="1:19" x14ac:dyDescent="0.45">
      <c r="A718" t="str">
        <f t="shared" si="46"/>
        <v>04801</v>
      </c>
      <c r="B718" t="s">
        <v>1549</v>
      </c>
      <c r="C718" t="str">
        <f t="shared" si="47"/>
        <v>13161</v>
      </c>
      <c r="D718" t="s">
        <v>2348</v>
      </c>
      <c r="E718" t="str">
        <f>"3153"</f>
        <v>3153</v>
      </c>
      <c r="F718" t="s">
        <v>4168</v>
      </c>
      <c r="G718" t="s">
        <v>70</v>
      </c>
      <c r="H718">
        <v>5</v>
      </c>
      <c r="I718" t="s">
        <v>4169</v>
      </c>
      <c r="K718" t="s">
        <v>4129</v>
      </c>
      <c r="L718" t="s">
        <v>25</v>
      </c>
      <c r="M718" t="s">
        <v>4130</v>
      </c>
      <c r="N718" t="s">
        <v>4170</v>
      </c>
      <c r="O718" t="s">
        <v>4171</v>
      </c>
      <c r="P718" t="s">
        <v>4172</v>
      </c>
      <c r="Q718" t="s">
        <v>30</v>
      </c>
      <c r="R718" t="s">
        <v>31</v>
      </c>
      <c r="S718" t="s">
        <v>32</v>
      </c>
    </row>
    <row r="719" spans="1:19" x14ac:dyDescent="0.45">
      <c r="A719" t="str">
        <f t="shared" si="46"/>
        <v>04801</v>
      </c>
      <c r="B719" t="s">
        <v>1549</v>
      </c>
      <c r="C719" t="str">
        <f t="shared" si="47"/>
        <v>13161</v>
      </c>
      <c r="D719" t="s">
        <v>2348</v>
      </c>
      <c r="E719" t="str">
        <f>"3215"</f>
        <v>3215</v>
      </c>
      <c r="F719" t="s">
        <v>4173</v>
      </c>
      <c r="G719">
        <v>9</v>
      </c>
      <c r="H719">
        <v>12</v>
      </c>
      <c r="I719" t="s">
        <v>4174</v>
      </c>
      <c r="K719" t="s">
        <v>4129</v>
      </c>
      <c r="L719" t="s">
        <v>25</v>
      </c>
      <c r="M719" t="s">
        <v>4130</v>
      </c>
      <c r="N719" t="s">
        <v>4175</v>
      </c>
      <c r="O719" t="s">
        <v>4176</v>
      </c>
      <c r="P719" t="s">
        <v>4177</v>
      </c>
      <c r="Q719" t="s">
        <v>30</v>
      </c>
      <c r="R719" t="s">
        <v>31</v>
      </c>
      <c r="S719" t="s">
        <v>58</v>
      </c>
    </row>
    <row r="720" spans="1:19" x14ac:dyDescent="0.45">
      <c r="A720" t="str">
        <f t="shared" si="46"/>
        <v>04801</v>
      </c>
      <c r="B720" t="s">
        <v>1549</v>
      </c>
      <c r="C720" t="str">
        <f t="shared" si="47"/>
        <v>13161</v>
      </c>
      <c r="D720" t="s">
        <v>2348</v>
      </c>
      <c r="E720" t="str">
        <f>"3779"</f>
        <v>3779</v>
      </c>
      <c r="F720" t="s">
        <v>4178</v>
      </c>
      <c r="G720" t="s">
        <v>70</v>
      </c>
      <c r="H720">
        <v>5</v>
      </c>
      <c r="I720" t="s">
        <v>4179</v>
      </c>
      <c r="K720" t="s">
        <v>4129</v>
      </c>
      <c r="L720" t="s">
        <v>25</v>
      </c>
      <c r="M720" t="s">
        <v>4130</v>
      </c>
      <c r="N720" t="s">
        <v>4180</v>
      </c>
      <c r="O720" t="s">
        <v>4181</v>
      </c>
      <c r="P720" t="s">
        <v>4182</v>
      </c>
      <c r="Q720" t="s">
        <v>30</v>
      </c>
      <c r="R720" t="s">
        <v>31</v>
      </c>
      <c r="S720" t="s">
        <v>32</v>
      </c>
    </row>
    <row r="721" spans="1:19" x14ac:dyDescent="0.45">
      <c r="A721" t="str">
        <f t="shared" si="46"/>
        <v>04801</v>
      </c>
      <c r="B721" t="s">
        <v>1549</v>
      </c>
      <c r="C721" t="str">
        <f t="shared" ref="C721:C726" si="48">"13165"</f>
        <v>13165</v>
      </c>
      <c r="D721" t="s">
        <v>3168</v>
      </c>
      <c r="E721" t="str">
        <f>"2695"</f>
        <v>2695</v>
      </c>
      <c r="F721" t="s">
        <v>4183</v>
      </c>
      <c r="G721">
        <v>5</v>
      </c>
      <c r="H721">
        <v>6</v>
      </c>
      <c r="I721" t="s">
        <v>4184</v>
      </c>
      <c r="K721" t="s">
        <v>4185</v>
      </c>
      <c r="L721" t="s">
        <v>25</v>
      </c>
      <c r="M721" t="s">
        <v>4186</v>
      </c>
      <c r="N721" t="s">
        <v>4187</v>
      </c>
      <c r="O721" t="s">
        <v>4188</v>
      </c>
      <c r="P721" t="s">
        <v>4189</v>
      </c>
      <c r="Q721" t="s">
        <v>30</v>
      </c>
      <c r="R721" t="s">
        <v>31</v>
      </c>
      <c r="S721" t="s">
        <v>32</v>
      </c>
    </row>
    <row r="722" spans="1:19" x14ac:dyDescent="0.45">
      <c r="A722" t="str">
        <f t="shared" si="46"/>
        <v>04801</v>
      </c>
      <c r="B722" t="s">
        <v>1549</v>
      </c>
      <c r="C722" t="str">
        <f t="shared" si="48"/>
        <v>13165</v>
      </c>
      <c r="D722" t="s">
        <v>3168</v>
      </c>
      <c r="E722" t="str">
        <f>"2793"</f>
        <v>2793</v>
      </c>
      <c r="F722" t="s">
        <v>4190</v>
      </c>
      <c r="G722" t="s">
        <v>70</v>
      </c>
      <c r="H722">
        <v>4</v>
      </c>
      <c r="I722" t="s">
        <v>4191</v>
      </c>
      <c r="K722" t="s">
        <v>4185</v>
      </c>
      <c r="L722" t="s">
        <v>25</v>
      </c>
      <c r="M722" t="s">
        <v>4186</v>
      </c>
      <c r="N722" t="s">
        <v>4192</v>
      </c>
      <c r="O722" t="s">
        <v>4193</v>
      </c>
      <c r="P722" t="s">
        <v>4194</v>
      </c>
      <c r="Q722" t="s">
        <v>30</v>
      </c>
      <c r="R722" t="s">
        <v>31</v>
      </c>
      <c r="S722" t="s">
        <v>32</v>
      </c>
    </row>
    <row r="723" spans="1:19" x14ac:dyDescent="0.45">
      <c r="A723" t="str">
        <f t="shared" si="46"/>
        <v>04801</v>
      </c>
      <c r="B723" t="s">
        <v>1549</v>
      </c>
      <c r="C723" t="str">
        <f t="shared" si="48"/>
        <v>13165</v>
      </c>
      <c r="D723" t="s">
        <v>3168</v>
      </c>
      <c r="E723" t="str">
        <f>"2920"</f>
        <v>2920</v>
      </c>
      <c r="F723" t="s">
        <v>4195</v>
      </c>
      <c r="G723">
        <v>9</v>
      </c>
      <c r="H723">
        <v>12</v>
      </c>
      <c r="I723" t="s">
        <v>3170</v>
      </c>
      <c r="K723" t="s">
        <v>4185</v>
      </c>
      <c r="L723" t="s">
        <v>25</v>
      </c>
      <c r="M723" t="s">
        <v>4186</v>
      </c>
      <c r="N723" t="s">
        <v>4196</v>
      </c>
      <c r="O723" t="s">
        <v>4197</v>
      </c>
      <c r="P723" t="s">
        <v>3174</v>
      </c>
      <c r="Q723" t="s">
        <v>30</v>
      </c>
      <c r="R723" t="s">
        <v>31</v>
      </c>
      <c r="S723" t="s">
        <v>58</v>
      </c>
    </row>
    <row r="724" spans="1:19" x14ac:dyDescent="0.45">
      <c r="A724" t="str">
        <f t="shared" si="46"/>
        <v>04801</v>
      </c>
      <c r="B724" t="s">
        <v>1549</v>
      </c>
      <c r="C724" t="str">
        <f t="shared" si="48"/>
        <v>13165</v>
      </c>
      <c r="D724" t="s">
        <v>3168</v>
      </c>
      <c r="E724" t="str">
        <f>"3092"</f>
        <v>3092</v>
      </c>
      <c r="F724" t="s">
        <v>4198</v>
      </c>
      <c r="G724" t="s">
        <v>22</v>
      </c>
      <c r="H724">
        <v>4</v>
      </c>
      <c r="I724" t="s">
        <v>4199</v>
      </c>
      <c r="K724" t="s">
        <v>4185</v>
      </c>
      <c r="L724" t="s">
        <v>25</v>
      </c>
      <c r="M724" t="s">
        <v>4186</v>
      </c>
      <c r="N724" t="s">
        <v>4200</v>
      </c>
      <c r="O724" t="s">
        <v>4201</v>
      </c>
      <c r="P724" t="s">
        <v>4202</v>
      </c>
      <c r="Q724" t="s">
        <v>30</v>
      </c>
      <c r="R724" t="s">
        <v>31</v>
      </c>
      <c r="S724" t="s">
        <v>32</v>
      </c>
    </row>
    <row r="725" spans="1:19" x14ac:dyDescent="0.45">
      <c r="A725" t="str">
        <f t="shared" si="46"/>
        <v>04801</v>
      </c>
      <c r="B725" t="s">
        <v>1549</v>
      </c>
      <c r="C725" t="str">
        <f t="shared" si="48"/>
        <v>13165</v>
      </c>
      <c r="D725" t="s">
        <v>3168</v>
      </c>
      <c r="E725" t="str">
        <f>"3373"</f>
        <v>3373</v>
      </c>
      <c r="F725" t="s">
        <v>4203</v>
      </c>
      <c r="G725">
        <v>7</v>
      </c>
      <c r="H725">
        <v>8</v>
      </c>
      <c r="I725" t="s">
        <v>4204</v>
      </c>
      <c r="K725" t="s">
        <v>4185</v>
      </c>
      <c r="L725" t="s">
        <v>25</v>
      </c>
      <c r="M725" t="s">
        <v>4186</v>
      </c>
      <c r="N725" t="s">
        <v>4205</v>
      </c>
      <c r="O725" t="s">
        <v>4206</v>
      </c>
      <c r="P725" t="s">
        <v>4207</v>
      </c>
      <c r="Q725" t="s">
        <v>30</v>
      </c>
      <c r="R725" t="s">
        <v>31</v>
      </c>
      <c r="S725" t="s">
        <v>104</v>
      </c>
    </row>
    <row r="726" spans="1:19" x14ac:dyDescent="0.45">
      <c r="A726" t="str">
        <f t="shared" si="46"/>
        <v>04801</v>
      </c>
      <c r="B726" t="s">
        <v>1549</v>
      </c>
      <c r="C726" t="str">
        <f t="shared" si="48"/>
        <v>13165</v>
      </c>
      <c r="D726" t="s">
        <v>3168</v>
      </c>
      <c r="E726" t="str">
        <f>"4229"</f>
        <v>4229</v>
      </c>
      <c r="F726" t="s">
        <v>4208</v>
      </c>
      <c r="G726" t="s">
        <v>22</v>
      </c>
      <c r="H726">
        <v>1</v>
      </c>
      <c r="I726" t="s">
        <v>4209</v>
      </c>
      <c r="K726" t="s">
        <v>4185</v>
      </c>
      <c r="L726" t="s">
        <v>25</v>
      </c>
      <c r="M726" t="s">
        <v>4186</v>
      </c>
      <c r="N726" t="s">
        <v>4210</v>
      </c>
      <c r="O726" t="s">
        <v>4211</v>
      </c>
      <c r="P726" t="s">
        <v>4212</v>
      </c>
      <c r="Q726" t="s">
        <v>66</v>
      </c>
      <c r="R726" t="s">
        <v>67</v>
      </c>
      <c r="S726" t="s">
        <v>32</v>
      </c>
    </row>
    <row r="727" spans="1:19" x14ac:dyDescent="0.45">
      <c r="A727" t="str">
        <f t="shared" si="46"/>
        <v>04801</v>
      </c>
      <c r="B727" t="s">
        <v>1549</v>
      </c>
      <c r="C727" t="str">
        <f>"13167"</f>
        <v>13167</v>
      </c>
      <c r="D727" t="s">
        <v>4213</v>
      </c>
      <c r="E727" t="str">
        <f>"2472"</f>
        <v>2472</v>
      </c>
      <c r="F727" t="s">
        <v>4214</v>
      </c>
      <c r="G727" t="s">
        <v>70</v>
      </c>
      <c r="H727">
        <v>6</v>
      </c>
      <c r="I727" t="s">
        <v>4215</v>
      </c>
      <c r="K727" t="s">
        <v>4216</v>
      </c>
      <c r="L727" t="s">
        <v>25</v>
      </c>
      <c r="M727" t="s">
        <v>4217</v>
      </c>
      <c r="N727" t="s">
        <v>4218</v>
      </c>
      <c r="O727" t="s">
        <v>4219</v>
      </c>
      <c r="P727" t="s">
        <v>4220</v>
      </c>
      <c r="Q727" t="s">
        <v>30</v>
      </c>
      <c r="R727" t="s">
        <v>31</v>
      </c>
      <c r="S727" t="s">
        <v>32</v>
      </c>
    </row>
    <row r="728" spans="1:19" x14ac:dyDescent="0.45">
      <c r="A728" t="str">
        <f t="shared" si="46"/>
        <v>04801</v>
      </c>
      <c r="B728" t="s">
        <v>1549</v>
      </c>
      <c r="C728" t="str">
        <f>"13167"</f>
        <v>13167</v>
      </c>
      <c r="D728" t="s">
        <v>4213</v>
      </c>
      <c r="E728" t="str">
        <f>"2473"</f>
        <v>2473</v>
      </c>
      <c r="F728" t="s">
        <v>4221</v>
      </c>
      <c r="G728">
        <v>7</v>
      </c>
      <c r="H728">
        <v>12</v>
      </c>
      <c r="I728" t="s">
        <v>4222</v>
      </c>
      <c r="K728" t="s">
        <v>4216</v>
      </c>
      <c r="L728" t="s">
        <v>25</v>
      </c>
      <c r="M728" t="s">
        <v>4223</v>
      </c>
      <c r="N728" t="s">
        <v>4218</v>
      </c>
      <c r="O728" t="s">
        <v>4219</v>
      </c>
      <c r="P728" t="s">
        <v>4220</v>
      </c>
      <c r="Q728" t="s">
        <v>30</v>
      </c>
      <c r="R728" t="s">
        <v>31</v>
      </c>
      <c r="S728" t="s">
        <v>159</v>
      </c>
    </row>
    <row r="729" spans="1:19" x14ac:dyDescent="0.45">
      <c r="A729" t="str">
        <f t="shared" si="46"/>
        <v>04801</v>
      </c>
      <c r="B729" t="s">
        <v>1549</v>
      </c>
      <c r="C729" t="str">
        <f>"13301"</f>
        <v>13301</v>
      </c>
      <c r="D729" t="s">
        <v>2407</v>
      </c>
      <c r="E729" t="str">
        <f>"2801"</f>
        <v>2801</v>
      </c>
      <c r="F729" t="s">
        <v>4224</v>
      </c>
      <c r="G729">
        <v>7</v>
      </c>
      <c r="H729">
        <v>12</v>
      </c>
      <c r="I729" t="s">
        <v>4225</v>
      </c>
      <c r="K729" t="s">
        <v>4226</v>
      </c>
      <c r="L729" t="s">
        <v>25</v>
      </c>
      <c r="M729" t="s">
        <v>4227</v>
      </c>
      <c r="N729" t="s">
        <v>4228</v>
      </c>
      <c r="O729" t="s">
        <v>4229</v>
      </c>
      <c r="P729" t="s">
        <v>4230</v>
      </c>
      <c r="Q729" t="s">
        <v>30</v>
      </c>
      <c r="R729" t="s">
        <v>31</v>
      </c>
      <c r="S729" t="s">
        <v>159</v>
      </c>
    </row>
    <row r="730" spans="1:19" x14ac:dyDescent="0.45">
      <c r="A730" t="str">
        <f t="shared" si="46"/>
        <v>04801</v>
      </c>
      <c r="B730" t="s">
        <v>1549</v>
      </c>
      <c r="C730" t="str">
        <f>"13301"</f>
        <v>13301</v>
      </c>
      <c r="D730" t="s">
        <v>2407</v>
      </c>
      <c r="E730" t="str">
        <f>"2802"</f>
        <v>2802</v>
      </c>
      <c r="F730" t="s">
        <v>4231</v>
      </c>
      <c r="G730" t="s">
        <v>22</v>
      </c>
      <c r="H730">
        <v>6</v>
      </c>
      <c r="I730" t="s">
        <v>4232</v>
      </c>
      <c r="K730" t="s">
        <v>2410</v>
      </c>
      <c r="L730" t="s">
        <v>25</v>
      </c>
      <c r="M730">
        <v>99116</v>
      </c>
      <c r="N730" t="s">
        <v>4233</v>
      </c>
      <c r="O730" t="s">
        <v>4234</v>
      </c>
      <c r="P730" t="s">
        <v>4235</v>
      </c>
      <c r="Q730" t="s">
        <v>30</v>
      </c>
      <c r="R730" t="s">
        <v>31</v>
      </c>
      <c r="S730" t="s">
        <v>32</v>
      </c>
    </row>
    <row r="731" spans="1:19" x14ac:dyDescent="0.45">
      <c r="A731" t="str">
        <f>"34801"</f>
        <v>34801</v>
      </c>
      <c r="B731" t="s">
        <v>2257</v>
      </c>
      <c r="C731" t="str">
        <f>"14005"</f>
        <v>14005</v>
      </c>
      <c r="D731" t="s">
        <v>4236</v>
      </c>
      <c r="E731" t="str">
        <f>"2305"</f>
        <v>2305</v>
      </c>
      <c r="F731" t="s">
        <v>4237</v>
      </c>
      <c r="G731">
        <v>6</v>
      </c>
      <c r="H731">
        <v>8</v>
      </c>
      <c r="I731" t="s">
        <v>4238</v>
      </c>
      <c r="K731" t="s">
        <v>4239</v>
      </c>
      <c r="L731" t="s">
        <v>25</v>
      </c>
      <c r="M731" t="s">
        <v>4240</v>
      </c>
      <c r="N731" t="s">
        <v>4241</v>
      </c>
      <c r="O731" t="s">
        <v>4242</v>
      </c>
      <c r="P731" t="s">
        <v>4243</v>
      </c>
      <c r="Q731" t="s">
        <v>30</v>
      </c>
      <c r="R731" t="s">
        <v>31</v>
      </c>
      <c r="S731" t="s">
        <v>104</v>
      </c>
    </row>
    <row r="732" spans="1:19" x14ac:dyDescent="0.45">
      <c r="A732" t="str">
        <f>"34801"</f>
        <v>34801</v>
      </c>
      <c r="B732" t="s">
        <v>2257</v>
      </c>
      <c r="C732" t="str">
        <f>"14005"</f>
        <v>14005</v>
      </c>
      <c r="D732" t="s">
        <v>4236</v>
      </c>
      <c r="E732" t="str">
        <f>"2449"</f>
        <v>2449</v>
      </c>
      <c r="F732" t="s">
        <v>4244</v>
      </c>
      <c r="G732" t="s">
        <v>70</v>
      </c>
      <c r="H732">
        <v>5</v>
      </c>
      <c r="I732" t="s">
        <v>4245</v>
      </c>
      <c r="K732" t="s">
        <v>4239</v>
      </c>
      <c r="L732" t="s">
        <v>25</v>
      </c>
      <c r="M732" t="s">
        <v>4246</v>
      </c>
      <c r="N732" t="s">
        <v>4247</v>
      </c>
      <c r="O732" t="s">
        <v>4248</v>
      </c>
      <c r="P732" t="s">
        <v>4249</v>
      </c>
      <c r="Q732" t="s">
        <v>30</v>
      </c>
      <c r="R732" t="s">
        <v>31</v>
      </c>
      <c r="S732" t="s">
        <v>32</v>
      </c>
    </row>
    <row r="733" spans="1:19" x14ac:dyDescent="0.45">
      <c r="A733" t="str">
        <f>"34801"</f>
        <v>34801</v>
      </c>
      <c r="B733" t="s">
        <v>2257</v>
      </c>
      <c r="C733" t="str">
        <f>"21302"</f>
        <v>21302</v>
      </c>
      <c r="D733" t="s">
        <v>2323</v>
      </c>
      <c r="E733" t="str">
        <f>"5510"</f>
        <v>5510</v>
      </c>
      <c r="F733" t="s">
        <v>4250</v>
      </c>
      <c r="G733">
        <v>3</v>
      </c>
      <c r="H733">
        <v>5</v>
      </c>
      <c r="I733" t="s">
        <v>4251</v>
      </c>
      <c r="K733" t="s">
        <v>2326</v>
      </c>
      <c r="L733" t="s">
        <v>25</v>
      </c>
      <c r="M733">
        <v>98532</v>
      </c>
      <c r="N733" t="s">
        <v>4252</v>
      </c>
      <c r="O733" t="s">
        <v>3223</v>
      </c>
      <c r="P733" t="s">
        <v>3224</v>
      </c>
      <c r="Q733" t="s">
        <v>30</v>
      </c>
      <c r="R733" t="s">
        <v>31</v>
      </c>
      <c r="S733" t="s">
        <v>32</v>
      </c>
    </row>
    <row r="734" spans="1:19" x14ac:dyDescent="0.45">
      <c r="A734" t="str">
        <f>"17801"</f>
        <v>17801</v>
      </c>
      <c r="B734" t="s">
        <v>19</v>
      </c>
      <c r="C734" t="str">
        <f>"17414"</f>
        <v>17414</v>
      </c>
      <c r="D734" t="s">
        <v>4253</v>
      </c>
      <c r="E734" t="str">
        <f>"5511"</f>
        <v>5511</v>
      </c>
      <c r="F734" t="s">
        <v>4254</v>
      </c>
      <c r="G734" t="s">
        <v>70</v>
      </c>
      <c r="H734">
        <v>5</v>
      </c>
      <c r="I734" t="s">
        <v>4255</v>
      </c>
      <c r="K734" t="s">
        <v>4256</v>
      </c>
      <c r="L734" t="s">
        <v>25</v>
      </c>
      <c r="M734">
        <v>98052</v>
      </c>
      <c r="N734" t="s">
        <v>4257</v>
      </c>
      <c r="O734" t="s">
        <v>4258</v>
      </c>
      <c r="P734" t="s">
        <v>4259</v>
      </c>
      <c r="Q734" t="s">
        <v>30</v>
      </c>
      <c r="R734" t="s">
        <v>31</v>
      </c>
      <c r="S734" t="s">
        <v>32</v>
      </c>
    </row>
    <row r="735" spans="1:19" x14ac:dyDescent="0.45">
      <c r="A735" t="str">
        <f>"17801"</f>
        <v>17801</v>
      </c>
      <c r="B735" t="s">
        <v>19</v>
      </c>
      <c r="C735" t="str">
        <f>"17414"</f>
        <v>17414</v>
      </c>
      <c r="D735" t="s">
        <v>4253</v>
      </c>
      <c r="E735" t="str">
        <f>"5512"</f>
        <v>5512</v>
      </c>
      <c r="F735" t="s">
        <v>4260</v>
      </c>
      <c r="G735" t="s">
        <v>70</v>
      </c>
      <c r="H735">
        <v>5</v>
      </c>
      <c r="I735" t="s">
        <v>4261</v>
      </c>
      <c r="K735" t="s">
        <v>4256</v>
      </c>
      <c r="L735" t="s">
        <v>25</v>
      </c>
      <c r="M735">
        <v>98053</v>
      </c>
      <c r="N735" t="s">
        <v>4262</v>
      </c>
      <c r="O735" t="s">
        <v>4263</v>
      </c>
      <c r="P735" t="s">
        <v>4264</v>
      </c>
      <c r="Q735" t="s">
        <v>30</v>
      </c>
      <c r="R735" t="s">
        <v>31</v>
      </c>
      <c r="S735" t="s">
        <v>32</v>
      </c>
    </row>
    <row r="736" spans="1:19" x14ac:dyDescent="0.45">
      <c r="A736" t="str">
        <f>"18801"</f>
        <v>18801</v>
      </c>
      <c r="B736" t="s">
        <v>1731</v>
      </c>
      <c r="C736" t="str">
        <f>"23403"</f>
        <v>23403</v>
      </c>
      <c r="D736" t="s">
        <v>4265</v>
      </c>
      <c r="E736" t="str">
        <f>"5513"</f>
        <v>5513</v>
      </c>
      <c r="F736" t="s">
        <v>4266</v>
      </c>
      <c r="G736" t="s">
        <v>22</v>
      </c>
      <c r="H736" t="s">
        <v>22</v>
      </c>
      <c r="I736" t="s">
        <v>4267</v>
      </c>
      <c r="K736" t="s">
        <v>4268</v>
      </c>
      <c r="L736" t="s">
        <v>25</v>
      </c>
      <c r="M736">
        <v>98528</v>
      </c>
      <c r="N736" t="s">
        <v>4269</v>
      </c>
      <c r="O736" t="s">
        <v>4270</v>
      </c>
      <c r="P736" t="s">
        <v>4271</v>
      </c>
      <c r="Q736" t="s">
        <v>2316</v>
      </c>
      <c r="R736" t="s">
        <v>31</v>
      </c>
      <c r="S736" t="s">
        <v>1248</v>
      </c>
    </row>
    <row r="737" spans="1:19" x14ac:dyDescent="0.45">
      <c r="A737" t="str">
        <f>"34801"</f>
        <v>34801</v>
      </c>
      <c r="B737" t="s">
        <v>2257</v>
      </c>
      <c r="C737" t="str">
        <f>"14005"</f>
        <v>14005</v>
      </c>
      <c r="D737" t="s">
        <v>4236</v>
      </c>
      <c r="E737" t="str">
        <f>"5514"</f>
        <v>5514</v>
      </c>
      <c r="F737" t="s">
        <v>4272</v>
      </c>
      <c r="G737">
        <v>3</v>
      </c>
      <c r="H737">
        <v>12</v>
      </c>
      <c r="I737" t="s">
        <v>4273</v>
      </c>
      <c r="K737" t="s">
        <v>4239</v>
      </c>
      <c r="L737" t="s">
        <v>25</v>
      </c>
      <c r="M737">
        <v>98520</v>
      </c>
      <c r="N737" t="s">
        <v>4274</v>
      </c>
      <c r="O737" t="s">
        <v>4275</v>
      </c>
      <c r="P737" t="s">
        <v>4276</v>
      </c>
      <c r="Q737" t="s">
        <v>157</v>
      </c>
      <c r="R737" t="s">
        <v>158</v>
      </c>
      <c r="S737" t="s">
        <v>159</v>
      </c>
    </row>
    <row r="738" spans="1:19" x14ac:dyDescent="0.45">
      <c r="A738" t="str">
        <f>"34801"</f>
        <v>34801</v>
      </c>
      <c r="B738" t="s">
        <v>2257</v>
      </c>
      <c r="C738" t="str">
        <f>"23404"</f>
        <v>23404</v>
      </c>
      <c r="D738" t="s">
        <v>4277</v>
      </c>
      <c r="E738" t="str">
        <f>"5515"</f>
        <v>5515</v>
      </c>
      <c r="F738" t="s">
        <v>4278</v>
      </c>
      <c r="G738">
        <v>6</v>
      </c>
      <c r="H738">
        <v>8</v>
      </c>
      <c r="I738" t="s">
        <v>4279</v>
      </c>
      <c r="K738" t="s">
        <v>4280</v>
      </c>
      <c r="L738" t="s">
        <v>25</v>
      </c>
      <c r="M738">
        <v>98584</v>
      </c>
      <c r="N738" t="s">
        <v>4281</v>
      </c>
      <c r="O738" t="s">
        <v>4282</v>
      </c>
      <c r="P738" t="s">
        <v>4283</v>
      </c>
      <c r="Q738" t="s">
        <v>30</v>
      </c>
      <c r="R738" t="s">
        <v>31</v>
      </c>
      <c r="S738" t="s">
        <v>104</v>
      </c>
    </row>
    <row r="739" spans="1:19" x14ac:dyDescent="0.45">
      <c r="A739" t="str">
        <f>"32801"</f>
        <v>32801</v>
      </c>
      <c r="B739" t="s">
        <v>1108</v>
      </c>
      <c r="C739" t="str">
        <f>"33212"</f>
        <v>33212</v>
      </c>
      <c r="D739" t="s">
        <v>4284</v>
      </c>
      <c r="E739" t="str">
        <f>"5516"</f>
        <v>5516</v>
      </c>
      <c r="F739" t="s">
        <v>4285</v>
      </c>
      <c r="G739" t="s">
        <v>22</v>
      </c>
      <c r="H739" t="s">
        <v>22</v>
      </c>
      <c r="I739" t="s">
        <v>4286</v>
      </c>
      <c r="K739" t="s">
        <v>4287</v>
      </c>
      <c r="L739" t="s">
        <v>25</v>
      </c>
      <c r="M739">
        <v>99141</v>
      </c>
      <c r="N739" t="s">
        <v>4288</v>
      </c>
      <c r="O739" t="s">
        <v>4289</v>
      </c>
      <c r="P739" t="s">
        <v>4290</v>
      </c>
      <c r="Q739" t="s">
        <v>2256</v>
      </c>
      <c r="R739" t="s">
        <v>31</v>
      </c>
      <c r="S739" t="s">
        <v>1248</v>
      </c>
    </row>
    <row r="740" spans="1:19" x14ac:dyDescent="0.45">
      <c r="A740" t="str">
        <f>"34950"</f>
        <v>34950</v>
      </c>
      <c r="B740" t="s">
        <v>2626</v>
      </c>
      <c r="C740" t="str">
        <f>"17911"</f>
        <v>17911</v>
      </c>
      <c r="D740" t="s">
        <v>4291</v>
      </c>
      <c r="E740" t="str">
        <f>"5517"</f>
        <v>5517</v>
      </c>
      <c r="F740" t="s">
        <v>4292</v>
      </c>
      <c r="G740" t="s">
        <v>70</v>
      </c>
      <c r="H740">
        <v>5</v>
      </c>
      <c r="I740" t="s">
        <v>4293</v>
      </c>
      <c r="K740" t="s">
        <v>640</v>
      </c>
      <c r="L740" t="s">
        <v>25</v>
      </c>
      <c r="M740">
        <v>98168</v>
      </c>
      <c r="N740" t="s">
        <v>4294</v>
      </c>
      <c r="O740" t="s">
        <v>4295</v>
      </c>
      <c r="P740" t="s">
        <v>4296</v>
      </c>
      <c r="Q740" t="s">
        <v>2436</v>
      </c>
      <c r="R740" t="s">
        <v>31</v>
      </c>
      <c r="S740" t="s">
        <v>32</v>
      </c>
    </row>
    <row r="741" spans="1:19" x14ac:dyDescent="0.45">
      <c r="A741" t="str">
        <f>"06801"</f>
        <v>06801</v>
      </c>
      <c r="B741" t="s">
        <v>1870</v>
      </c>
      <c r="C741" t="str">
        <f>"06122"</f>
        <v>06122</v>
      </c>
      <c r="D741" t="s">
        <v>3467</v>
      </c>
      <c r="E741" t="str">
        <f>"5518"</f>
        <v>5518</v>
      </c>
      <c r="F741" t="s">
        <v>4297</v>
      </c>
      <c r="G741">
        <v>5</v>
      </c>
      <c r="H741">
        <v>6</v>
      </c>
      <c r="I741" t="s">
        <v>4298</v>
      </c>
      <c r="K741" t="s">
        <v>4299</v>
      </c>
      <c r="L741" t="s">
        <v>25</v>
      </c>
      <c r="M741">
        <v>98642</v>
      </c>
      <c r="N741" t="s">
        <v>4300</v>
      </c>
      <c r="O741" t="s">
        <v>4301</v>
      </c>
      <c r="P741" t="s">
        <v>4302</v>
      </c>
      <c r="Q741" t="s">
        <v>30</v>
      </c>
      <c r="R741" t="s">
        <v>31</v>
      </c>
      <c r="S741" t="s">
        <v>32</v>
      </c>
    </row>
    <row r="742" spans="1:19" x14ac:dyDescent="0.45">
      <c r="A742" t="str">
        <f>"17801"</f>
        <v>17801</v>
      </c>
      <c r="B742" t="s">
        <v>19</v>
      </c>
      <c r="C742" t="str">
        <f>"17403"</f>
        <v>17403</v>
      </c>
      <c r="D742" t="s">
        <v>344</v>
      </c>
      <c r="E742" t="str">
        <f>"5519"</f>
        <v>5519</v>
      </c>
      <c r="F742" t="s">
        <v>4303</v>
      </c>
      <c r="G742" t="s">
        <v>70</v>
      </c>
      <c r="H742">
        <v>5</v>
      </c>
      <c r="I742" t="s">
        <v>4304</v>
      </c>
      <c r="K742" t="s">
        <v>347</v>
      </c>
      <c r="L742" t="s">
        <v>25</v>
      </c>
      <c r="M742">
        <v>98057</v>
      </c>
      <c r="N742" t="s">
        <v>4305</v>
      </c>
      <c r="O742" t="s">
        <v>4306</v>
      </c>
      <c r="P742" t="s">
        <v>4307</v>
      </c>
      <c r="Q742" t="s">
        <v>30</v>
      </c>
      <c r="R742" t="s">
        <v>31</v>
      </c>
      <c r="S742" t="s">
        <v>32</v>
      </c>
    </row>
    <row r="743" spans="1:19" x14ac:dyDescent="0.45">
      <c r="A743" t="str">
        <f>"11801"</f>
        <v>11801</v>
      </c>
      <c r="B743" t="s">
        <v>1122</v>
      </c>
      <c r="C743" t="str">
        <f>"03017"</f>
        <v>03017</v>
      </c>
      <c r="D743" t="s">
        <v>1235</v>
      </c>
      <c r="E743" t="str">
        <f>"5520"</f>
        <v>5520</v>
      </c>
      <c r="F743" t="s">
        <v>4308</v>
      </c>
      <c r="G743" t="s">
        <v>22</v>
      </c>
      <c r="H743">
        <v>5</v>
      </c>
      <c r="I743" t="s">
        <v>4309</v>
      </c>
      <c r="K743" t="s">
        <v>1465</v>
      </c>
      <c r="L743" t="s">
        <v>25</v>
      </c>
      <c r="M743">
        <v>99352</v>
      </c>
      <c r="N743" t="s">
        <v>4310</v>
      </c>
      <c r="O743" t="s">
        <v>4311</v>
      </c>
      <c r="P743" t="s">
        <v>4312</v>
      </c>
      <c r="Q743" t="s">
        <v>2256</v>
      </c>
      <c r="R743" t="s">
        <v>31</v>
      </c>
      <c r="S743" t="s">
        <v>32</v>
      </c>
    </row>
    <row r="744" spans="1:19" x14ac:dyDescent="0.45">
      <c r="A744" t="str">
        <f>"11801"</f>
        <v>11801</v>
      </c>
      <c r="B744" t="s">
        <v>1122</v>
      </c>
      <c r="C744" t="str">
        <f>"03017"</f>
        <v>03017</v>
      </c>
      <c r="D744" t="s">
        <v>1235</v>
      </c>
      <c r="E744" t="str">
        <f>"5521"</f>
        <v>5521</v>
      </c>
      <c r="F744" t="s">
        <v>4313</v>
      </c>
      <c r="G744" t="s">
        <v>22</v>
      </c>
      <c r="H744">
        <v>5</v>
      </c>
      <c r="I744" t="s">
        <v>4314</v>
      </c>
      <c r="K744" t="s">
        <v>1263</v>
      </c>
      <c r="L744" t="s">
        <v>25</v>
      </c>
      <c r="M744">
        <v>99338</v>
      </c>
      <c r="N744" t="s">
        <v>4315</v>
      </c>
      <c r="O744" t="s">
        <v>4316</v>
      </c>
      <c r="P744" t="s">
        <v>4317</v>
      </c>
      <c r="Q744" t="s">
        <v>2256</v>
      </c>
      <c r="R744" t="s">
        <v>31</v>
      </c>
      <c r="S744" t="s">
        <v>32</v>
      </c>
    </row>
    <row r="745" spans="1:19" x14ac:dyDescent="0.45">
      <c r="A745" t="str">
        <f>"17801"</f>
        <v>17801</v>
      </c>
      <c r="B745" t="s">
        <v>19</v>
      </c>
      <c r="C745" t="str">
        <f>"17408"</f>
        <v>17408</v>
      </c>
      <c r="D745" t="s">
        <v>706</v>
      </c>
      <c r="E745" t="str">
        <f>"5522"</f>
        <v>5522</v>
      </c>
      <c r="F745" t="s">
        <v>4318</v>
      </c>
      <c r="G745">
        <v>9</v>
      </c>
      <c r="H745">
        <v>12</v>
      </c>
      <c r="I745" t="s">
        <v>4319</v>
      </c>
      <c r="K745" t="s">
        <v>4320</v>
      </c>
      <c r="L745" t="s">
        <v>25</v>
      </c>
      <c r="M745" t="s">
        <v>726</v>
      </c>
      <c r="N745" t="s">
        <v>727</v>
      </c>
      <c r="O745" t="s">
        <v>728</v>
      </c>
      <c r="P745" t="s">
        <v>729</v>
      </c>
      <c r="Q745" t="s">
        <v>2264</v>
      </c>
      <c r="R745" t="s">
        <v>2265</v>
      </c>
      <c r="S745" t="s">
        <v>58</v>
      </c>
    </row>
    <row r="746" spans="1:19" x14ac:dyDescent="0.45">
      <c r="A746" t="str">
        <f>"32801"</f>
        <v>32801</v>
      </c>
      <c r="B746" t="s">
        <v>1108</v>
      </c>
      <c r="C746" t="str">
        <f>"33036"</f>
        <v>33036</v>
      </c>
      <c r="D746" t="s">
        <v>4321</v>
      </c>
      <c r="E746" t="str">
        <f>"5523"</f>
        <v>5523</v>
      </c>
      <c r="F746" t="s">
        <v>4322</v>
      </c>
      <c r="G746">
        <v>10</v>
      </c>
      <c r="H746">
        <v>13</v>
      </c>
      <c r="I746" t="s">
        <v>4323</v>
      </c>
      <c r="K746" t="s">
        <v>4324</v>
      </c>
      <c r="L746" t="s">
        <v>25</v>
      </c>
      <c r="M746">
        <v>99109</v>
      </c>
      <c r="N746" t="s">
        <v>4325</v>
      </c>
      <c r="O746" t="s">
        <v>4326</v>
      </c>
      <c r="P746" t="s">
        <v>4327</v>
      </c>
      <c r="Q746" t="s">
        <v>2264</v>
      </c>
      <c r="R746" t="s">
        <v>2265</v>
      </c>
      <c r="S746" t="s">
        <v>58</v>
      </c>
    </row>
    <row r="747" spans="1:19" x14ac:dyDescent="0.45">
      <c r="A747" t="str">
        <f>"17801"</f>
        <v>17801</v>
      </c>
      <c r="B747" t="s">
        <v>19</v>
      </c>
      <c r="C747" t="str">
        <f>"27320"</f>
        <v>27320</v>
      </c>
      <c r="D747" t="s">
        <v>4328</v>
      </c>
      <c r="E747" t="str">
        <f>"5524"</f>
        <v>5524</v>
      </c>
      <c r="F747" t="s">
        <v>4329</v>
      </c>
      <c r="G747" t="s">
        <v>22</v>
      </c>
      <c r="H747">
        <v>5</v>
      </c>
      <c r="I747" t="s">
        <v>4330</v>
      </c>
      <c r="K747" t="s">
        <v>4331</v>
      </c>
      <c r="L747" t="s">
        <v>25</v>
      </c>
      <c r="M747">
        <v>98391</v>
      </c>
      <c r="N747" t="s">
        <v>4332</v>
      </c>
      <c r="O747" t="s">
        <v>4333</v>
      </c>
      <c r="P747" t="s">
        <v>4334</v>
      </c>
      <c r="Q747" t="s">
        <v>30</v>
      </c>
      <c r="R747" t="s">
        <v>31</v>
      </c>
      <c r="S747" t="s">
        <v>32</v>
      </c>
    </row>
    <row r="748" spans="1:19" x14ac:dyDescent="0.45">
      <c r="A748" t="str">
        <f>"29801"</f>
        <v>29801</v>
      </c>
      <c r="B748" t="s">
        <v>2370</v>
      </c>
      <c r="C748" t="str">
        <f>"29100"</f>
        <v>29100</v>
      </c>
      <c r="D748" t="s">
        <v>4335</v>
      </c>
      <c r="E748" t="str">
        <f>"5525"</f>
        <v>5525</v>
      </c>
      <c r="F748" t="s">
        <v>4336</v>
      </c>
      <c r="G748">
        <v>10</v>
      </c>
      <c r="H748">
        <v>12</v>
      </c>
      <c r="I748" t="s">
        <v>4337</v>
      </c>
      <c r="K748" t="s">
        <v>4338</v>
      </c>
      <c r="L748" t="s">
        <v>25</v>
      </c>
      <c r="M748">
        <v>98233</v>
      </c>
      <c r="N748" t="s">
        <v>4339</v>
      </c>
      <c r="O748" t="s">
        <v>4340</v>
      </c>
      <c r="P748" t="s">
        <v>4341</v>
      </c>
      <c r="Q748" t="s">
        <v>2264</v>
      </c>
      <c r="R748" t="s">
        <v>2265</v>
      </c>
      <c r="S748" t="s">
        <v>58</v>
      </c>
    </row>
    <row r="749" spans="1:19" x14ac:dyDescent="0.45">
      <c r="A749" t="str">
        <f>"11801"</f>
        <v>11801</v>
      </c>
      <c r="B749" t="s">
        <v>1122</v>
      </c>
      <c r="C749" t="str">
        <f>"03400"</f>
        <v>03400</v>
      </c>
      <c r="D749" t="s">
        <v>1462</v>
      </c>
      <c r="E749" t="str">
        <f>"5526"</f>
        <v>5526</v>
      </c>
      <c r="F749" t="s">
        <v>4342</v>
      </c>
      <c r="G749" t="s">
        <v>22</v>
      </c>
      <c r="H749" t="s">
        <v>22</v>
      </c>
      <c r="I749" t="s">
        <v>4343</v>
      </c>
      <c r="K749" t="s">
        <v>1465</v>
      </c>
      <c r="L749" t="s">
        <v>25</v>
      </c>
      <c r="M749">
        <v>99352</v>
      </c>
      <c r="N749" t="s">
        <v>4344</v>
      </c>
      <c r="O749" t="s">
        <v>4345</v>
      </c>
      <c r="P749" t="s">
        <v>4346</v>
      </c>
      <c r="Q749" t="s">
        <v>2316</v>
      </c>
      <c r="R749" t="s">
        <v>31</v>
      </c>
      <c r="S749" t="s">
        <v>1248</v>
      </c>
    </row>
    <row r="750" spans="1:19" x14ac:dyDescent="0.45">
      <c r="A750" t="str">
        <f>"17801"</f>
        <v>17801</v>
      </c>
      <c r="B750" t="s">
        <v>19</v>
      </c>
      <c r="C750" t="str">
        <f>"27001"</f>
        <v>27001</v>
      </c>
      <c r="D750" t="s">
        <v>2681</v>
      </c>
      <c r="E750" t="str">
        <f>"5527"</f>
        <v>5527</v>
      </c>
      <c r="F750" t="s">
        <v>4347</v>
      </c>
      <c r="G750">
        <v>9</v>
      </c>
      <c r="H750">
        <v>12</v>
      </c>
      <c r="I750" t="s">
        <v>4348</v>
      </c>
      <c r="K750" t="s">
        <v>2684</v>
      </c>
      <c r="L750" t="s">
        <v>25</v>
      </c>
      <c r="M750">
        <v>98388</v>
      </c>
      <c r="N750" t="s">
        <v>4349</v>
      </c>
      <c r="O750" t="s">
        <v>4350</v>
      </c>
      <c r="P750" t="s">
        <v>4351</v>
      </c>
      <c r="Q750" t="s">
        <v>2264</v>
      </c>
      <c r="R750" t="s">
        <v>2265</v>
      </c>
      <c r="S750" t="s">
        <v>58</v>
      </c>
    </row>
    <row r="751" spans="1:19" x14ac:dyDescent="0.45">
      <c r="A751" t="str">
        <f>"11801"</f>
        <v>11801</v>
      </c>
      <c r="B751" t="s">
        <v>1122</v>
      </c>
      <c r="C751" t="str">
        <f>"01147"</f>
        <v>01147</v>
      </c>
      <c r="D751" t="s">
        <v>1123</v>
      </c>
      <c r="E751" t="str">
        <f>"5528"</f>
        <v>5528</v>
      </c>
      <c r="F751" t="s">
        <v>2171</v>
      </c>
      <c r="G751" t="s">
        <v>22</v>
      </c>
      <c r="H751" t="s">
        <v>22</v>
      </c>
      <c r="I751" t="s">
        <v>4352</v>
      </c>
      <c r="K751" t="s">
        <v>1126</v>
      </c>
      <c r="L751" t="s">
        <v>25</v>
      </c>
      <c r="M751">
        <v>99344</v>
      </c>
      <c r="N751" t="s">
        <v>1148</v>
      </c>
      <c r="O751" t="s">
        <v>4353</v>
      </c>
      <c r="P751" t="s">
        <v>4354</v>
      </c>
      <c r="Q751" t="s">
        <v>2316</v>
      </c>
      <c r="R751" t="s">
        <v>31</v>
      </c>
      <c r="S751" t="s">
        <v>1248</v>
      </c>
    </row>
    <row r="752" spans="1:19" x14ac:dyDescent="0.45">
      <c r="A752" t="str">
        <f>"18801"</f>
        <v>18801</v>
      </c>
      <c r="B752" t="s">
        <v>1731</v>
      </c>
      <c r="C752" t="str">
        <f>"05402"</f>
        <v>05402</v>
      </c>
      <c r="D752" t="s">
        <v>1851</v>
      </c>
      <c r="E752" t="str">
        <f>"5529"</f>
        <v>5529</v>
      </c>
      <c r="F752" t="s">
        <v>4355</v>
      </c>
      <c r="G752">
        <v>9</v>
      </c>
      <c r="H752">
        <v>12</v>
      </c>
      <c r="I752" t="s">
        <v>4356</v>
      </c>
      <c r="K752" t="s">
        <v>2276</v>
      </c>
      <c r="L752" t="s">
        <v>25</v>
      </c>
      <c r="M752">
        <v>98409</v>
      </c>
      <c r="N752" t="s">
        <v>4357</v>
      </c>
      <c r="O752" t="s">
        <v>4358</v>
      </c>
      <c r="P752" t="s">
        <v>4359</v>
      </c>
      <c r="Q752" t="s">
        <v>2264</v>
      </c>
      <c r="R752" t="s">
        <v>2265</v>
      </c>
      <c r="S752" t="s">
        <v>58</v>
      </c>
    </row>
    <row r="753" spans="1:19" x14ac:dyDescent="0.45">
      <c r="A753" t="str">
        <f>"32801"</f>
        <v>32801</v>
      </c>
      <c r="B753" t="s">
        <v>1108</v>
      </c>
      <c r="C753" t="str">
        <f>"10050"</f>
        <v>10050</v>
      </c>
      <c r="D753" t="s">
        <v>3843</v>
      </c>
      <c r="E753" t="str">
        <f>"5530"</f>
        <v>5530</v>
      </c>
      <c r="F753" t="s">
        <v>4360</v>
      </c>
      <c r="G753">
        <v>8</v>
      </c>
      <c r="H753">
        <v>12</v>
      </c>
      <c r="I753" t="s">
        <v>3845</v>
      </c>
      <c r="K753" t="s">
        <v>3846</v>
      </c>
      <c r="L753" t="s">
        <v>25</v>
      </c>
      <c r="M753">
        <v>99118</v>
      </c>
      <c r="N753" t="s">
        <v>3875</v>
      </c>
      <c r="O753" t="s">
        <v>4361</v>
      </c>
      <c r="P753" t="s">
        <v>4362</v>
      </c>
      <c r="Q753" t="s">
        <v>2264</v>
      </c>
      <c r="R753" t="s">
        <v>2265</v>
      </c>
      <c r="S753" t="s">
        <v>58</v>
      </c>
    </row>
    <row r="754" spans="1:19" x14ac:dyDescent="0.45">
      <c r="A754" t="str">
        <f>"17801"</f>
        <v>17801</v>
      </c>
      <c r="B754" t="s">
        <v>19</v>
      </c>
      <c r="C754" t="str">
        <f>"27404"</f>
        <v>27404</v>
      </c>
      <c r="D754" t="s">
        <v>2236</v>
      </c>
      <c r="E754" t="str">
        <f>"5531"</f>
        <v>5531</v>
      </c>
      <c r="F754" t="s">
        <v>4363</v>
      </c>
      <c r="G754">
        <v>6</v>
      </c>
      <c r="H754">
        <v>10</v>
      </c>
      <c r="I754" t="s">
        <v>4364</v>
      </c>
      <c r="K754" t="s">
        <v>2239</v>
      </c>
      <c r="L754" t="s">
        <v>25</v>
      </c>
      <c r="M754">
        <v>98328</v>
      </c>
      <c r="N754" t="s">
        <v>4365</v>
      </c>
      <c r="O754" t="s">
        <v>4366</v>
      </c>
      <c r="P754" t="s">
        <v>4367</v>
      </c>
      <c r="Q754" t="s">
        <v>157</v>
      </c>
      <c r="R754" t="s">
        <v>158</v>
      </c>
      <c r="S754" t="s">
        <v>104</v>
      </c>
    </row>
    <row r="755" spans="1:19" x14ac:dyDescent="0.45">
      <c r="A755" t="str">
        <f>"06801"</f>
        <v>06801</v>
      </c>
      <c r="B755" t="s">
        <v>1870</v>
      </c>
      <c r="C755" t="str">
        <f>"06117"</f>
        <v>06117</v>
      </c>
      <c r="D755" t="s">
        <v>2285</v>
      </c>
      <c r="E755" t="str">
        <f>"5532"</f>
        <v>5532</v>
      </c>
      <c r="F755" t="s">
        <v>4368</v>
      </c>
      <c r="G755">
        <v>9</v>
      </c>
      <c r="H755">
        <v>12</v>
      </c>
      <c r="I755" t="s">
        <v>4369</v>
      </c>
      <c r="K755" t="s">
        <v>2288</v>
      </c>
      <c r="L755" t="s">
        <v>25</v>
      </c>
      <c r="M755">
        <v>98607</v>
      </c>
      <c r="N755" t="s">
        <v>4370</v>
      </c>
      <c r="O755" t="s">
        <v>4371</v>
      </c>
      <c r="P755" t="s">
        <v>4372</v>
      </c>
      <c r="Q755" t="s">
        <v>2264</v>
      </c>
      <c r="R755" t="s">
        <v>2265</v>
      </c>
      <c r="S755" t="s">
        <v>58</v>
      </c>
    </row>
    <row r="756" spans="1:19" x14ac:dyDescent="0.45">
      <c r="A756" t="str">
        <f>"06801"</f>
        <v>06801</v>
      </c>
      <c r="B756" t="s">
        <v>1870</v>
      </c>
      <c r="C756" t="str">
        <f>"06117"</f>
        <v>06117</v>
      </c>
      <c r="D756" t="s">
        <v>2285</v>
      </c>
      <c r="E756" t="str">
        <f>"5533"</f>
        <v>5533</v>
      </c>
      <c r="F756" t="s">
        <v>2304</v>
      </c>
      <c r="G756">
        <v>9</v>
      </c>
      <c r="H756">
        <v>12</v>
      </c>
      <c r="I756" t="s">
        <v>4373</v>
      </c>
      <c r="K756" t="s">
        <v>2288</v>
      </c>
      <c r="L756" t="s">
        <v>25</v>
      </c>
      <c r="M756">
        <v>98607</v>
      </c>
      <c r="N756" t="s">
        <v>4374</v>
      </c>
      <c r="O756" t="s">
        <v>4375</v>
      </c>
      <c r="P756" t="s">
        <v>4376</v>
      </c>
      <c r="Q756" t="s">
        <v>2256</v>
      </c>
      <c r="R756" t="s">
        <v>31</v>
      </c>
      <c r="S756" t="s">
        <v>58</v>
      </c>
    </row>
    <row r="757" spans="1:19" x14ac:dyDescent="0.45">
      <c r="A757" t="str">
        <f>"06801"</f>
        <v>06801</v>
      </c>
      <c r="B757" t="s">
        <v>1870</v>
      </c>
      <c r="C757" t="str">
        <f>"06117"</f>
        <v>06117</v>
      </c>
      <c r="D757" t="s">
        <v>2285</v>
      </c>
      <c r="E757" t="str">
        <f>"5534"</f>
        <v>5534</v>
      </c>
      <c r="F757" t="s">
        <v>4377</v>
      </c>
      <c r="G757">
        <v>6</v>
      </c>
      <c r="H757">
        <v>8</v>
      </c>
      <c r="I757" t="s">
        <v>4378</v>
      </c>
      <c r="K757" t="s">
        <v>2288</v>
      </c>
      <c r="L757" t="s">
        <v>25</v>
      </c>
      <c r="M757">
        <v>98607</v>
      </c>
      <c r="N757" t="s">
        <v>4374</v>
      </c>
      <c r="O757" t="s">
        <v>4375</v>
      </c>
      <c r="P757" t="s">
        <v>4376</v>
      </c>
      <c r="Q757" t="s">
        <v>2256</v>
      </c>
      <c r="R757" t="s">
        <v>31</v>
      </c>
      <c r="S757" t="s">
        <v>104</v>
      </c>
    </row>
    <row r="758" spans="1:19" x14ac:dyDescent="0.45">
      <c r="A758" t="str">
        <f>"06801"</f>
        <v>06801</v>
      </c>
      <c r="B758" t="s">
        <v>1870</v>
      </c>
      <c r="C758" t="str">
        <f>"06114"</f>
        <v>06114</v>
      </c>
      <c r="D758" t="s">
        <v>2170</v>
      </c>
      <c r="E758" t="str">
        <f>"5535"</f>
        <v>5535</v>
      </c>
      <c r="F758" t="s">
        <v>4379</v>
      </c>
      <c r="G758">
        <v>9</v>
      </c>
      <c r="H758">
        <v>12</v>
      </c>
      <c r="I758" t="s">
        <v>3313</v>
      </c>
      <c r="K758" t="s">
        <v>2029</v>
      </c>
      <c r="L758" t="s">
        <v>25</v>
      </c>
      <c r="M758" t="s">
        <v>3314</v>
      </c>
      <c r="N758" t="s">
        <v>3315</v>
      </c>
      <c r="O758" t="s">
        <v>3316</v>
      </c>
      <c r="P758" t="s">
        <v>3317</v>
      </c>
      <c r="Q758" t="s">
        <v>30</v>
      </c>
      <c r="R758" t="s">
        <v>31</v>
      </c>
      <c r="S758" t="s">
        <v>58</v>
      </c>
    </row>
    <row r="759" spans="1:19" x14ac:dyDescent="0.45">
      <c r="A759" t="str">
        <f>"17801"</f>
        <v>17801</v>
      </c>
      <c r="B759" t="s">
        <v>19</v>
      </c>
      <c r="C759" t="str">
        <f>"17406"</f>
        <v>17406</v>
      </c>
      <c r="D759" t="s">
        <v>630</v>
      </c>
      <c r="E759" t="str">
        <f>"5536"</f>
        <v>5536</v>
      </c>
      <c r="F759" t="s">
        <v>4380</v>
      </c>
      <c r="G759">
        <v>6</v>
      </c>
      <c r="H759">
        <v>12</v>
      </c>
      <c r="I759" t="s">
        <v>4381</v>
      </c>
      <c r="K759" t="s">
        <v>640</v>
      </c>
      <c r="L759" t="s">
        <v>25</v>
      </c>
      <c r="M759">
        <v>98168</v>
      </c>
      <c r="N759" t="s">
        <v>4382</v>
      </c>
      <c r="O759" t="s">
        <v>4383</v>
      </c>
      <c r="P759" t="s">
        <v>4384</v>
      </c>
      <c r="Q759" t="s">
        <v>157</v>
      </c>
      <c r="R759" t="s">
        <v>158</v>
      </c>
      <c r="S759" t="s">
        <v>159</v>
      </c>
    </row>
    <row r="760" spans="1:19" x14ac:dyDescent="0.45">
      <c r="A760" t="str">
        <f>"11801"</f>
        <v>11801</v>
      </c>
      <c r="B760" t="s">
        <v>1122</v>
      </c>
      <c r="C760" t="str">
        <f>"03116"</f>
        <v>03116</v>
      </c>
      <c r="D760" t="s">
        <v>1430</v>
      </c>
      <c r="E760" t="str">
        <f>"5537"</f>
        <v>5537</v>
      </c>
      <c r="F760" t="s">
        <v>4385</v>
      </c>
      <c r="G760">
        <v>9</v>
      </c>
      <c r="H760">
        <v>12</v>
      </c>
      <c r="I760" t="s">
        <v>4386</v>
      </c>
      <c r="K760" t="s">
        <v>4387</v>
      </c>
      <c r="L760" t="s">
        <v>25</v>
      </c>
      <c r="M760">
        <v>99350</v>
      </c>
      <c r="N760" t="s">
        <v>4388</v>
      </c>
      <c r="O760" t="s">
        <v>1442</v>
      </c>
      <c r="P760" t="s">
        <v>4389</v>
      </c>
      <c r="Q760" t="s">
        <v>2264</v>
      </c>
      <c r="R760" t="s">
        <v>2265</v>
      </c>
      <c r="S760" t="s">
        <v>58</v>
      </c>
    </row>
    <row r="761" spans="1:19" x14ac:dyDescent="0.45">
      <c r="A761" t="str">
        <f>"32801"</f>
        <v>32801</v>
      </c>
      <c r="B761" t="s">
        <v>1108</v>
      </c>
      <c r="C761" t="str">
        <f>"26059"</f>
        <v>26059</v>
      </c>
      <c r="D761" t="s">
        <v>4390</v>
      </c>
      <c r="E761" t="str">
        <f>"5538"</f>
        <v>5538</v>
      </c>
      <c r="F761" t="s">
        <v>4391</v>
      </c>
      <c r="G761" t="s">
        <v>70</v>
      </c>
      <c r="H761">
        <v>12</v>
      </c>
      <c r="I761" t="s">
        <v>4392</v>
      </c>
      <c r="K761" t="s">
        <v>4393</v>
      </c>
      <c r="L761" t="s">
        <v>25</v>
      </c>
      <c r="M761">
        <v>99119</v>
      </c>
      <c r="N761" t="s">
        <v>4394</v>
      </c>
      <c r="O761" t="s">
        <v>4395</v>
      </c>
      <c r="P761" t="s">
        <v>4396</v>
      </c>
      <c r="Q761" t="s">
        <v>2256</v>
      </c>
      <c r="R761" t="s">
        <v>31</v>
      </c>
      <c r="S761" t="s">
        <v>330</v>
      </c>
    </row>
    <row r="762" spans="1:19" x14ac:dyDescent="0.45">
      <c r="A762" t="str">
        <f>"32801"</f>
        <v>32801</v>
      </c>
      <c r="B762" t="s">
        <v>1108</v>
      </c>
      <c r="C762" t="str">
        <f>"26059"</f>
        <v>26059</v>
      </c>
      <c r="D762" t="s">
        <v>4390</v>
      </c>
      <c r="E762" t="str">
        <f>"5539"</f>
        <v>5539</v>
      </c>
      <c r="F762" t="s">
        <v>4397</v>
      </c>
      <c r="G762" t="s">
        <v>70</v>
      </c>
      <c r="H762">
        <v>4</v>
      </c>
      <c r="I762" t="s">
        <v>4392</v>
      </c>
      <c r="K762" t="s">
        <v>4393</v>
      </c>
      <c r="L762" t="s">
        <v>25</v>
      </c>
      <c r="M762">
        <v>99119</v>
      </c>
      <c r="N762" t="s">
        <v>4394</v>
      </c>
      <c r="O762" t="s">
        <v>4395</v>
      </c>
      <c r="P762" t="s">
        <v>4396</v>
      </c>
      <c r="Q762" t="s">
        <v>2256</v>
      </c>
      <c r="R762" t="s">
        <v>31</v>
      </c>
      <c r="S762" t="s">
        <v>32</v>
      </c>
    </row>
    <row r="763" spans="1:19" x14ac:dyDescent="0.45">
      <c r="A763" t="str">
        <f>"39801"</f>
        <v>39801</v>
      </c>
      <c r="B763" t="s">
        <v>2395</v>
      </c>
      <c r="C763" t="str">
        <f>"39208"</f>
        <v>39208</v>
      </c>
      <c r="D763" t="s">
        <v>3199</v>
      </c>
      <c r="E763" t="str">
        <f>"5540"</f>
        <v>5540</v>
      </c>
      <c r="F763" t="s">
        <v>4398</v>
      </c>
      <c r="G763">
        <v>9</v>
      </c>
      <c r="H763">
        <v>12</v>
      </c>
      <c r="I763" t="s">
        <v>3201</v>
      </c>
      <c r="K763" t="s">
        <v>2512</v>
      </c>
      <c r="L763" t="s">
        <v>25</v>
      </c>
      <c r="M763">
        <v>98908</v>
      </c>
      <c r="N763" t="s">
        <v>4399</v>
      </c>
      <c r="O763" t="s">
        <v>3204</v>
      </c>
      <c r="P763" t="s">
        <v>4400</v>
      </c>
      <c r="Q763" t="s">
        <v>2264</v>
      </c>
      <c r="R763" t="s">
        <v>2265</v>
      </c>
      <c r="S763" t="s">
        <v>58</v>
      </c>
    </row>
    <row r="764" spans="1:19" x14ac:dyDescent="0.45">
      <c r="A764" t="str">
        <f>"32801"</f>
        <v>32801</v>
      </c>
      <c r="B764" t="s">
        <v>1108</v>
      </c>
      <c r="C764" t="str">
        <f>"32356"</f>
        <v>32356</v>
      </c>
      <c r="D764" t="s">
        <v>2362</v>
      </c>
      <c r="E764" t="str">
        <f>"5541"</f>
        <v>5541</v>
      </c>
      <c r="F764" t="s">
        <v>4401</v>
      </c>
      <c r="G764" t="s">
        <v>70</v>
      </c>
      <c r="H764">
        <v>5</v>
      </c>
      <c r="I764" t="s">
        <v>4402</v>
      </c>
      <c r="K764" t="s">
        <v>2365</v>
      </c>
      <c r="L764" t="s">
        <v>25</v>
      </c>
      <c r="M764">
        <v>99016</v>
      </c>
      <c r="N764" t="s">
        <v>4403</v>
      </c>
      <c r="O764" t="s">
        <v>4404</v>
      </c>
      <c r="P764" t="s">
        <v>4405</v>
      </c>
      <c r="Q764" t="s">
        <v>30</v>
      </c>
      <c r="R764" t="s">
        <v>31</v>
      </c>
      <c r="S764" t="s">
        <v>32</v>
      </c>
    </row>
    <row r="765" spans="1:19" x14ac:dyDescent="0.45">
      <c r="A765" t="str">
        <f>"32801"</f>
        <v>32801</v>
      </c>
      <c r="B765" t="s">
        <v>1108</v>
      </c>
      <c r="C765" t="str">
        <f>"32356"</f>
        <v>32356</v>
      </c>
      <c r="D765" t="s">
        <v>2362</v>
      </c>
      <c r="E765" t="str">
        <f>"5542"</f>
        <v>5542</v>
      </c>
      <c r="F765" t="s">
        <v>4406</v>
      </c>
      <c r="G765">
        <v>9</v>
      </c>
      <c r="H765">
        <v>12</v>
      </c>
      <c r="I765" t="s">
        <v>4407</v>
      </c>
      <c r="K765" t="s">
        <v>2365</v>
      </c>
      <c r="L765" t="s">
        <v>25</v>
      </c>
      <c r="M765">
        <v>99206</v>
      </c>
      <c r="N765" t="s">
        <v>4408</v>
      </c>
      <c r="O765" t="s">
        <v>4409</v>
      </c>
      <c r="P765" t="s">
        <v>4410</v>
      </c>
      <c r="Q765" t="s">
        <v>30</v>
      </c>
      <c r="R765" t="s">
        <v>31</v>
      </c>
      <c r="S765" t="s">
        <v>58</v>
      </c>
    </row>
    <row r="766" spans="1:19" x14ac:dyDescent="0.45">
      <c r="A766" t="str">
        <f>"39801"</f>
        <v>39801</v>
      </c>
      <c r="B766" t="s">
        <v>2395</v>
      </c>
      <c r="C766" t="str">
        <f>"39207"</f>
        <v>39207</v>
      </c>
      <c r="D766" t="s">
        <v>4411</v>
      </c>
      <c r="E766" t="str">
        <f>"5543"</f>
        <v>5543</v>
      </c>
      <c r="F766" t="s">
        <v>4412</v>
      </c>
      <c r="G766" t="s">
        <v>70</v>
      </c>
      <c r="H766">
        <v>2</v>
      </c>
      <c r="I766" t="s">
        <v>4413</v>
      </c>
      <c r="K766" t="s">
        <v>4414</v>
      </c>
      <c r="L766" t="s">
        <v>25</v>
      </c>
      <c r="M766">
        <v>98951</v>
      </c>
      <c r="N766" t="s">
        <v>4415</v>
      </c>
      <c r="O766" t="s">
        <v>4416</v>
      </c>
      <c r="P766" t="s">
        <v>4417</v>
      </c>
      <c r="Q766" t="s">
        <v>30</v>
      </c>
      <c r="R766" t="s">
        <v>31</v>
      </c>
      <c r="S766" t="s">
        <v>32</v>
      </c>
    </row>
    <row r="767" spans="1:19" x14ac:dyDescent="0.45">
      <c r="A767" t="str">
        <f>"39801"</f>
        <v>39801</v>
      </c>
      <c r="B767" t="s">
        <v>2395</v>
      </c>
      <c r="C767" t="str">
        <f>"39207"</f>
        <v>39207</v>
      </c>
      <c r="D767" t="s">
        <v>4411</v>
      </c>
      <c r="E767" t="str">
        <f>"5544"</f>
        <v>5544</v>
      </c>
      <c r="F767" t="s">
        <v>4418</v>
      </c>
      <c r="G767" t="s">
        <v>22</v>
      </c>
      <c r="H767">
        <v>2</v>
      </c>
      <c r="I767" t="s">
        <v>4419</v>
      </c>
      <c r="K767" t="s">
        <v>4414</v>
      </c>
      <c r="L767" t="s">
        <v>25</v>
      </c>
      <c r="M767">
        <v>98951</v>
      </c>
      <c r="N767" t="s">
        <v>4420</v>
      </c>
      <c r="O767" t="s">
        <v>4421</v>
      </c>
      <c r="P767" t="s">
        <v>4422</v>
      </c>
      <c r="Q767" t="s">
        <v>30</v>
      </c>
      <c r="R767" t="s">
        <v>31</v>
      </c>
      <c r="S767" t="s">
        <v>32</v>
      </c>
    </row>
    <row r="768" spans="1:19" x14ac:dyDescent="0.45">
      <c r="A768" t="str">
        <f>"06801"</f>
        <v>06801</v>
      </c>
      <c r="B768" t="s">
        <v>1870</v>
      </c>
      <c r="C768" t="str">
        <f>"08402"</f>
        <v>08402</v>
      </c>
      <c r="D768" t="s">
        <v>3631</v>
      </c>
      <c r="E768" t="str">
        <f>"5545"</f>
        <v>5545</v>
      </c>
      <c r="F768" t="s">
        <v>4423</v>
      </c>
      <c r="G768">
        <v>9</v>
      </c>
      <c r="H768">
        <v>12</v>
      </c>
      <c r="I768" t="s">
        <v>3633</v>
      </c>
      <c r="K768" t="s">
        <v>3634</v>
      </c>
      <c r="L768" t="s">
        <v>25</v>
      </c>
      <c r="M768">
        <v>98625</v>
      </c>
      <c r="N768" t="s">
        <v>3504</v>
      </c>
      <c r="O768" t="s">
        <v>4424</v>
      </c>
      <c r="P768" t="s">
        <v>3638</v>
      </c>
      <c r="Q768" t="s">
        <v>30</v>
      </c>
      <c r="R768" t="s">
        <v>31</v>
      </c>
      <c r="S768" t="s">
        <v>58</v>
      </c>
    </row>
    <row r="769" spans="1:19" x14ac:dyDescent="0.45">
      <c r="A769" t="str">
        <f>"18801"</f>
        <v>18801</v>
      </c>
      <c r="B769" t="s">
        <v>1731</v>
      </c>
      <c r="C769" t="str">
        <f>"18400"</f>
        <v>18400</v>
      </c>
      <c r="D769" t="s">
        <v>4425</v>
      </c>
      <c r="E769" t="str">
        <f>"5546"</f>
        <v>5546</v>
      </c>
      <c r="F769" t="s">
        <v>4426</v>
      </c>
      <c r="G769">
        <v>9</v>
      </c>
      <c r="H769">
        <v>12</v>
      </c>
      <c r="I769" t="s">
        <v>4427</v>
      </c>
      <c r="K769" t="s">
        <v>4428</v>
      </c>
      <c r="L769" t="s">
        <v>25</v>
      </c>
      <c r="M769">
        <v>98346</v>
      </c>
      <c r="N769" t="s">
        <v>4429</v>
      </c>
      <c r="O769" t="s">
        <v>4430</v>
      </c>
      <c r="P769" t="s">
        <v>4431</v>
      </c>
      <c r="Q769" t="s">
        <v>157</v>
      </c>
      <c r="R769" t="s">
        <v>158</v>
      </c>
      <c r="S769" t="s">
        <v>58</v>
      </c>
    </row>
    <row r="770" spans="1:19" x14ac:dyDescent="0.45">
      <c r="A770" t="str">
        <f>"06801"</f>
        <v>06801</v>
      </c>
      <c r="B770" t="s">
        <v>1870</v>
      </c>
      <c r="C770" t="str">
        <f>"08458"</f>
        <v>08458</v>
      </c>
      <c r="D770" t="s">
        <v>3657</v>
      </c>
      <c r="E770" t="str">
        <f>"5547"</f>
        <v>5547</v>
      </c>
      <c r="F770" t="s">
        <v>4432</v>
      </c>
      <c r="G770">
        <v>9</v>
      </c>
      <c r="H770">
        <v>12</v>
      </c>
      <c r="I770" t="s">
        <v>3659</v>
      </c>
      <c r="K770" t="s">
        <v>3660</v>
      </c>
      <c r="L770" t="s">
        <v>25</v>
      </c>
      <c r="M770">
        <v>98626</v>
      </c>
      <c r="N770" t="s">
        <v>4433</v>
      </c>
      <c r="O770" t="s">
        <v>4434</v>
      </c>
      <c r="P770" t="s">
        <v>4435</v>
      </c>
      <c r="Q770" t="s">
        <v>2264</v>
      </c>
      <c r="R770" t="s">
        <v>2265</v>
      </c>
      <c r="S770" t="s">
        <v>58</v>
      </c>
    </row>
    <row r="771" spans="1:19" x14ac:dyDescent="0.45">
      <c r="A771" t="str">
        <f>"34801"</f>
        <v>34801</v>
      </c>
      <c r="B771" t="s">
        <v>2257</v>
      </c>
      <c r="C771" t="str">
        <f>"23309"</f>
        <v>23309</v>
      </c>
      <c r="D771" t="s">
        <v>4436</v>
      </c>
      <c r="E771" t="str">
        <f>"5548"</f>
        <v>5548</v>
      </c>
      <c r="F771" t="s">
        <v>4437</v>
      </c>
      <c r="G771">
        <v>9</v>
      </c>
      <c r="H771">
        <v>12</v>
      </c>
      <c r="I771" t="s">
        <v>4438</v>
      </c>
      <c r="J771" t="s">
        <v>4439</v>
      </c>
      <c r="K771" t="s">
        <v>4440</v>
      </c>
      <c r="L771" t="s">
        <v>25</v>
      </c>
      <c r="M771">
        <v>98584</v>
      </c>
      <c r="N771" t="s">
        <v>4441</v>
      </c>
      <c r="O771" t="s">
        <v>4442</v>
      </c>
      <c r="P771" t="s">
        <v>4443</v>
      </c>
      <c r="Q771" t="s">
        <v>2264</v>
      </c>
      <c r="R771" t="s">
        <v>2265</v>
      </c>
      <c r="S771" t="s">
        <v>58</v>
      </c>
    </row>
    <row r="772" spans="1:19" x14ac:dyDescent="0.45">
      <c r="A772" t="str">
        <f>"OSPI"</f>
        <v>OSPI</v>
      </c>
      <c r="B772" t="s">
        <v>1763</v>
      </c>
      <c r="C772" t="str">
        <f>"27901"</f>
        <v>27901</v>
      </c>
      <c r="D772" t="s">
        <v>4444</v>
      </c>
      <c r="E772" t="str">
        <f>"5549"</f>
        <v>5549</v>
      </c>
      <c r="F772" t="s">
        <v>4445</v>
      </c>
      <c r="G772" t="s">
        <v>70</v>
      </c>
      <c r="H772">
        <v>12</v>
      </c>
      <c r="I772" t="s">
        <v>4446</v>
      </c>
      <c r="K772" t="s">
        <v>2347</v>
      </c>
      <c r="L772" t="s">
        <v>25</v>
      </c>
      <c r="M772">
        <v>98371</v>
      </c>
      <c r="N772" t="s">
        <v>4447</v>
      </c>
      <c r="O772" t="s">
        <v>4448</v>
      </c>
      <c r="P772" t="s">
        <v>4449</v>
      </c>
      <c r="Q772" t="s">
        <v>2836</v>
      </c>
      <c r="R772" t="s">
        <v>2337</v>
      </c>
      <c r="S772" t="s">
        <v>330</v>
      </c>
    </row>
    <row r="773" spans="1:19" x14ac:dyDescent="0.45">
      <c r="A773" t="str">
        <f>"OSPI"</f>
        <v>OSPI</v>
      </c>
      <c r="B773" t="s">
        <v>1763</v>
      </c>
      <c r="C773" t="str">
        <f>"39901"</f>
        <v>39901</v>
      </c>
      <c r="D773" t="s">
        <v>4450</v>
      </c>
      <c r="E773" t="str">
        <f>"5550"</f>
        <v>5550</v>
      </c>
      <c r="F773" t="s">
        <v>4451</v>
      </c>
      <c r="G773" t="s">
        <v>70</v>
      </c>
      <c r="H773">
        <v>12</v>
      </c>
      <c r="I773" t="s">
        <v>4452</v>
      </c>
      <c r="K773" t="s">
        <v>4453</v>
      </c>
      <c r="L773" t="s">
        <v>25</v>
      </c>
      <c r="M773">
        <v>98948</v>
      </c>
      <c r="N773" t="s">
        <v>79</v>
      </c>
      <c r="Q773" t="s">
        <v>2836</v>
      </c>
      <c r="R773" t="s">
        <v>2337</v>
      </c>
      <c r="S773" t="s">
        <v>330</v>
      </c>
    </row>
    <row r="774" spans="1:19" x14ac:dyDescent="0.45">
      <c r="A774" t="str">
        <f>"17801"</f>
        <v>17801</v>
      </c>
      <c r="B774" t="s">
        <v>19</v>
      </c>
      <c r="C774" t="str">
        <f>"17401"</f>
        <v>17401</v>
      </c>
      <c r="D774" t="s">
        <v>149</v>
      </c>
      <c r="E774" t="str">
        <f>"5551"</f>
        <v>5551</v>
      </c>
      <c r="F774" t="s">
        <v>4454</v>
      </c>
      <c r="G774">
        <v>6</v>
      </c>
      <c r="H774">
        <v>8</v>
      </c>
      <c r="I774" t="s">
        <v>4455</v>
      </c>
      <c r="K774" t="s">
        <v>198</v>
      </c>
      <c r="L774" t="s">
        <v>25</v>
      </c>
      <c r="M774">
        <v>98168</v>
      </c>
      <c r="N774" t="s">
        <v>4456</v>
      </c>
      <c r="O774" t="s">
        <v>4457</v>
      </c>
      <c r="P774" t="s">
        <v>4458</v>
      </c>
      <c r="Q774" t="s">
        <v>30</v>
      </c>
      <c r="R774" t="s">
        <v>31</v>
      </c>
      <c r="S774" t="s">
        <v>104</v>
      </c>
    </row>
    <row r="775" spans="1:19" x14ac:dyDescent="0.45">
      <c r="A775" t="str">
        <f>"32801"</f>
        <v>32801</v>
      </c>
      <c r="B775" t="s">
        <v>1108</v>
      </c>
      <c r="C775" t="str">
        <f>"32356"</f>
        <v>32356</v>
      </c>
      <c r="D775" t="s">
        <v>2362</v>
      </c>
      <c r="E775" t="str">
        <f>"5552"</f>
        <v>5552</v>
      </c>
      <c r="F775" t="s">
        <v>4459</v>
      </c>
      <c r="G775">
        <v>6</v>
      </c>
      <c r="H775">
        <v>8</v>
      </c>
      <c r="I775" t="s">
        <v>4460</v>
      </c>
      <c r="K775" t="s">
        <v>3211</v>
      </c>
      <c r="L775" t="s">
        <v>25</v>
      </c>
      <c r="M775">
        <v>99016</v>
      </c>
      <c r="N775" t="s">
        <v>4461</v>
      </c>
      <c r="O775" t="s">
        <v>4462</v>
      </c>
      <c r="P775" t="s">
        <v>4463</v>
      </c>
      <c r="Q775" t="s">
        <v>30</v>
      </c>
      <c r="R775" t="s">
        <v>31</v>
      </c>
      <c r="S775" t="s">
        <v>104</v>
      </c>
    </row>
    <row r="776" spans="1:19" x14ac:dyDescent="0.45">
      <c r="A776" t="str">
        <f>"04801"</f>
        <v>04801</v>
      </c>
      <c r="B776" t="s">
        <v>1549</v>
      </c>
      <c r="C776" t="str">
        <f>"13165"</f>
        <v>13165</v>
      </c>
      <c r="D776" t="s">
        <v>3168</v>
      </c>
      <c r="E776" t="str">
        <f>"5553"</f>
        <v>5553</v>
      </c>
      <c r="F776" t="s">
        <v>4464</v>
      </c>
      <c r="G776" t="s">
        <v>22</v>
      </c>
      <c r="H776" t="s">
        <v>22</v>
      </c>
      <c r="I776" t="s">
        <v>4465</v>
      </c>
      <c r="K776" t="s">
        <v>3171</v>
      </c>
      <c r="L776" t="s">
        <v>25</v>
      </c>
      <c r="M776">
        <v>98823</v>
      </c>
      <c r="N776" t="s">
        <v>4466</v>
      </c>
      <c r="O776" t="s">
        <v>4211</v>
      </c>
      <c r="P776" t="s">
        <v>4467</v>
      </c>
      <c r="Q776" t="s">
        <v>2316</v>
      </c>
      <c r="R776" t="s">
        <v>31</v>
      </c>
      <c r="S776" t="s">
        <v>1248</v>
      </c>
    </row>
    <row r="777" spans="1:19" x14ac:dyDescent="0.45">
      <c r="A777" t="str">
        <f>"29801"</f>
        <v>29801</v>
      </c>
      <c r="B777" t="s">
        <v>2370</v>
      </c>
      <c r="C777" t="str">
        <f>"37506"</f>
        <v>37506</v>
      </c>
      <c r="D777" t="s">
        <v>4468</v>
      </c>
      <c r="E777" t="str">
        <f>"5554"</f>
        <v>5554</v>
      </c>
      <c r="F777" t="s">
        <v>4469</v>
      </c>
      <c r="G777">
        <v>11</v>
      </c>
      <c r="H777">
        <v>12</v>
      </c>
      <c r="I777" t="s">
        <v>4470</v>
      </c>
      <c r="K777" t="s">
        <v>4471</v>
      </c>
      <c r="L777" t="s">
        <v>25</v>
      </c>
      <c r="M777">
        <v>98276</v>
      </c>
      <c r="N777" t="s">
        <v>4472</v>
      </c>
      <c r="O777" t="s">
        <v>4473</v>
      </c>
      <c r="P777" t="s">
        <v>4474</v>
      </c>
      <c r="Q777" t="s">
        <v>2264</v>
      </c>
      <c r="R777" t="s">
        <v>2265</v>
      </c>
      <c r="S777" t="s">
        <v>58</v>
      </c>
    </row>
    <row r="778" spans="1:19" x14ac:dyDescent="0.45">
      <c r="A778" t="str">
        <f>"29801"</f>
        <v>29801</v>
      </c>
      <c r="B778" t="s">
        <v>2370</v>
      </c>
      <c r="C778" t="str">
        <f>"28137"</f>
        <v>28137</v>
      </c>
      <c r="D778" t="s">
        <v>4475</v>
      </c>
      <c r="E778" t="str">
        <f>"5555"</f>
        <v>5555</v>
      </c>
      <c r="F778" t="s">
        <v>4476</v>
      </c>
      <c r="G778">
        <v>1</v>
      </c>
      <c r="H778">
        <v>3</v>
      </c>
      <c r="I778" t="s">
        <v>4477</v>
      </c>
      <c r="K778" t="s">
        <v>4478</v>
      </c>
      <c r="L778" t="s">
        <v>25</v>
      </c>
      <c r="M778" t="s">
        <v>4479</v>
      </c>
      <c r="N778" t="s">
        <v>4480</v>
      </c>
      <c r="O778" t="s">
        <v>4481</v>
      </c>
      <c r="P778" t="s">
        <v>4482</v>
      </c>
      <c r="Q778" t="s">
        <v>2256</v>
      </c>
      <c r="R778" t="s">
        <v>31</v>
      </c>
      <c r="S778" t="s">
        <v>32</v>
      </c>
    </row>
    <row r="779" spans="1:19" x14ac:dyDescent="0.45">
      <c r="A779" t="str">
        <f>"11801"</f>
        <v>11801</v>
      </c>
      <c r="B779" t="s">
        <v>1122</v>
      </c>
      <c r="C779" t="str">
        <f>"11001"</f>
        <v>11001</v>
      </c>
      <c r="D779" t="s">
        <v>2457</v>
      </c>
      <c r="E779" t="str">
        <f>"5556"</f>
        <v>5556</v>
      </c>
      <c r="F779" t="s">
        <v>4483</v>
      </c>
      <c r="G779" t="s">
        <v>70</v>
      </c>
      <c r="H779">
        <v>6</v>
      </c>
      <c r="I779" t="s">
        <v>4484</v>
      </c>
      <c r="K779" t="s">
        <v>2460</v>
      </c>
      <c r="L779" t="s">
        <v>25</v>
      </c>
      <c r="M779">
        <v>99301</v>
      </c>
      <c r="N779" t="s">
        <v>3923</v>
      </c>
      <c r="O779" t="s">
        <v>3924</v>
      </c>
      <c r="P779" t="s">
        <v>3106</v>
      </c>
      <c r="Q779" t="s">
        <v>2256</v>
      </c>
      <c r="R779" t="s">
        <v>31</v>
      </c>
      <c r="S779" t="s">
        <v>32</v>
      </c>
    </row>
    <row r="780" spans="1:19" x14ac:dyDescent="0.45">
      <c r="A780" t="str">
        <f>"17801"</f>
        <v>17801</v>
      </c>
      <c r="B780" t="s">
        <v>19</v>
      </c>
      <c r="C780" t="str">
        <f>"27003"</f>
        <v>27003</v>
      </c>
      <c r="D780" t="s">
        <v>2338</v>
      </c>
      <c r="E780" t="str">
        <f>"5557"</f>
        <v>5557</v>
      </c>
      <c r="F780" t="s">
        <v>4485</v>
      </c>
      <c r="G780" t="s">
        <v>22</v>
      </c>
      <c r="H780">
        <v>6</v>
      </c>
      <c r="I780" t="s">
        <v>4486</v>
      </c>
      <c r="K780" t="s">
        <v>2347</v>
      </c>
      <c r="L780" t="s">
        <v>25</v>
      </c>
      <c r="M780">
        <v>98373</v>
      </c>
      <c r="N780" t="s">
        <v>4487</v>
      </c>
      <c r="O780" t="s">
        <v>4488</v>
      </c>
      <c r="P780" t="s">
        <v>4489</v>
      </c>
      <c r="Q780" t="s">
        <v>30</v>
      </c>
      <c r="R780" t="s">
        <v>31</v>
      </c>
      <c r="S780" t="s">
        <v>32</v>
      </c>
    </row>
    <row r="781" spans="1:19" x14ac:dyDescent="0.45">
      <c r="A781" t="str">
        <f>"06801"</f>
        <v>06801</v>
      </c>
      <c r="B781" t="s">
        <v>1870</v>
      </c>
      <c r="C781" t="str">
        <f>"06122"</f>
        <v>06122</v>
      </c>
      <c r="D781" t="s">
        <v>3467</v>
      </c>
      <c r="E781" t="str">
        <f>"5558"</f>
        <v>5558</v>
      </c>
      <c r="F781" t="s">
        <v>4490</v>
      </c>
      <c r="G781" t="s">
        <v>22</v>
      </c>
      <c r="H781" t="s">
        <v>22</v>
      </c>
      <c r="I781" t="s">
        <v>4491</v>
      </c>
      <c r="K781" t="s">
        <v>4299</v>
      </c>
      <c r="L781" t="s">
        <v>25</v>
      </c>
      <c r="M781">
        <v>98642</v>
      </c>
      <c r="N781" t="s">
        <v>4492</v>
      </c>
      <c r="O781" t="s">
        <v>4493</v>
      </c>
      <c r="P781" t="s">
        <v>4494</v>
      </c>
      <c r="Q781" t="s">
        <v>2316</v>
      </c>
      <c r="R781" t="s">
        <v>31</v>
      </c>
      <c r="S781" t="s">
        <v>1248</v>
      </c>
    </row>
    <row r="782" spans="1:19" x14ac:dyDescent="0.45">
      <c r="A782" t="str">
        <f>"29801"</f>
        <v>29801</v>
      </c>
      <c r="B782" t="s">
        <v>2370</v>
      </c>
      <c r="C782" t="str">
        <f>"28149"</f>
        <v>28149</v>
      </c>
      <c r="D782" t="s">
        <v>4495</v>
      </c>
      <c r="E782" t="str">
        <f>"5559"</f>
        <v>5559</v>
      </c>
      <c r="F782" t="s">
        <v>4496</v>
      </c>
      <c r="G782">
        <v>10</v>
      </c>
      <c r="H782">
        <v>13</v>
      </c>
      <c r="I782" t="s">
        <v>4286</v>
      </c>
      <c r="K782" t="s">
        <v>4497</v>
      </c>
      <c r="L782" t="s">
        <v>25</v>
      </c>
      <c r="M782">
        <v>98250</v>
      </c>
      <c r="N782" t="s">
        <v>4498</v>
      </c>
      <c r="O782" t="s">
        <v>4499</v>
      </c>
      <c r="P782" t="s">
        <v>4500</v>
      </c>
      <c r="Q782" t="s">
        <v>157</v>
      </c>
      <c r="R782" t="s">
        <v>158</v>
      </c>
      <c r="S782" t="s">
        <v>58</v>
      </c>
    </row>
    <row r="783" spans="1:19" x14ac:dyDescent="0.45">
      <c r="A783" t="str">
        <f>"39801"</f>
        <v>39801</v>
      </c>
      <c r="B783" t="s">
        <v>2395</v>
      </c>
      <c r="C783" t="str">
        <f>"39119"</f>
        <v>39119</v>
      </c>
      <c r="D783" t="s">
        <v>2396</v>
      </c>
      <c r="E783" t="str">
        <f>"5560"</f>
        <v>5560</v>
      </c>
      <c r="F783" t="s">
        <v>4501</v>
      </c>
      <c r="G783">
        <v>6</v>
      </c>
      <c r="H783">
        <v>12</v>
      </c>
      <c r="I783" t="s">
        <v>2398</v>
      </c>
      <c r="K783" t="s">
        <v>2399</v>
      </c>
      <c r="L783" t="s">
        <v>25</v>
      </c>
      <c r="M783">
        <v>98942</v>
      </c>
      <c r="N783" t="s">
        <v>2400</v>
      </c>
      <c r="O783" t="s">
        <v>2401</v>
      </c>
      <c r="P783" t="s">
        <v>4502</v>
      </c>
      <c r="Q783" t="s">
        <v>962</v>
      </c>
      <c r="R783" t="s">
        <v>963</v>
      </c>
      <c r="S783" t="s">
        <v>159</v>
      </c>
    </row>
    <row r="784" spans="1:19" x14ac:dyDescent="0.45">
      <c r="A784" t="str">
        <f>"39801"</f>
        <v>39801</v>
      </c>
      <c r="B784" t="s">
        <v>2395</v>
      </c>
      <c r="C784" t="str">
        <f>"39119"</f>
        <v>39119</v>
      </c>
      <c r="D784" t="s">
        <v>2396</v>
      </c>
      <c r="E784" t="str">
        <f>"5561"</f>
        <v>5561</v>
      </c>
      <c r="F784" t="s">
        <v>4503</v>
      </c>
      <c r="G784">
        <v>9</v>
      </c>
      <c r="H784">
        <v>12</v>
      </c>
      <c r="I784" t="s">
        <v>2398</v>
      </c>
      <c r="K784" t="s">
        <v>2399</v>
      </c>
      <c r="L784" t="s">
        <v>25</v>
      </c>
      <c r="M784">
        <v>98942</v>
      </c>
      <c r="N784" t="s">
        <v>2400</v>
      </c>
      <c r="O784" t="s">
        <v>2401</v>
      </c>
      <c r="P784" t="s">
        <v>4502</v>
      </c>
      <c r="Q784" t="s">
        <v>157</v>
      </c>
      <c r="R784" t="s">
        <v>158</v>
      </c>
      <c r="S784" t="s">
        <v>58</v>
      </c>
    </row>
    <row r="785" spans="1:19" x14ac:dyDescent="0.45">
      <c r="A785" t="str">
        <f>"18801"</f>
        <v>18801</v>
      </c>
      <c r="B785" t="s">
        <v>1731</v>
      </c>
      <c r="C785" t="str">
        <f>"18402"</f>
        <v>18402</v>
      </c>
      <c r="D785" t="s">
        <v>4504</v>
      </c>
      <c r="E785" t="str">
        <f>"5562"</f>
        <v>5562</v>
      </c>
      <c r="F785" t="s">
        <v>4505</v>
      </c>
      <c r="G785" t="s">
        <v>70</v>
      </c>
      <c r="H785">
        <v>12</v>
      </c>
      <c r="I785" t="s">
        <v>4506</v>
      </c>
      <c r="K785" t="s">
        <v>2260</v>
      </c>
      <c r="L785" t="s">
        <v>25</v>
      </c>
      <c r="M785">
        <v>98501</v>
      </c>
      <c r="N785" t="s">
        <v>4507</v>
      </c>
      <c r="O785" t="s">
        <v>4508</v>
      </c>
      <c r="P785" t="s">
        <v>4509</v>
      </c>
      <c r="Q785" t="s">
        <v>2256</v>
      </c>
      <c r="R785" t="s">
        <v>31</v>
      </c>
      <c r="S785" t="s">
        <v>330</v>
      </c>
    </row>
    <row r="786" spans="1:19" x14ac:dyDescent="0.45">
      <c r="A786" t="str">
        <f>"17801"</f>
        <v>17801</v>
      </c>
      <c r="B786" t="s">
        <v>19</v>
      </c>
      <c r="C786" t="str">
        <f>"17409"</f>
        <v>17409</v>
      </c>
      <c r="D786" t="s">
        <v>819</v>
      </c>
      <c r="E786" t="str">
        <f>"5563"</f>
        <v>5563</v>
      </c>
      <c r="F786" t="s">
        <v>4510</v>
      </c>
      <c r="G786">
        <v>9</v>
      </c>
      <c r="H786">
        <v>12</v>
      </c>
      <c r="I786" t="s">
        <v>821</v>
      </c>
      <c r="K786" t="s">
        <v>822</v>
      </c>
      <c r="L786" t="s">
        <v>25</v>
      </c>
      <c r="M786">
        <v>98038</v>
      </c>
      <c r="N786" t="s">
        <v>823</v>
      </c>
      <c r="O786" t="s">
        <v>4511</v>
      </c>
      <c r="P786" t="s">
        <v>4512</v>
      </c>
      <c r="Q786" t="s">
        <v>2264</v>
      </c>
      <c r="R786" t="s">
        <v>2265</v>
      </c>
      <c r="S786" t="s">
        <v>58</v>
      </c>
    </row>
    <row r="787" spans="1:19" x14ac:dyDescent="0.45">
      <c r="A787" t="str">
        <f>"17801"</f>
        <v>17801</v>
      </c>
      <c r="B787" t="s">
        <v>19</v>
      </c>
      <c r="C787" t="str">
        <f>"27416"</f>
        <v>27416</v>
      </c>
      <c r="D787" t="s">
        <v>2421</v>
      </c>
      <c r="E787" t="str">
        <f>"5564"</f>
        <v>5564</v>
      </c>
      <c r="F787" t="s">
        <v>4513</v>
      </c>
      <c r="G787" t="s">
        <v>22</v>
      </c>
      <c r="H787" t="s">
        <v>70</v>
      </c>
      <c r="I787" t="s">
        <v>4514</v>
      </c>
      <c r="K787" t="s">
        <v>2424</v>
      </c>
      <c r="L787" t="s">
        <v>25</v>
      </c>
      <c r="M787">
        <v>98321</v>
      </c>
      <c r="N787" t="s">
        <v>4515</v>
      </c>
      <c r="O787" t="s">
        <v>4516</v>
      </c>
      <c r="P787" t="s">
        <v>4517</v>
      </c>
      <c r="Q787" t="s">
        <v>30</v>
      </c>
      <c r="R787" t="s">
        <v>31</v>
      </c>
      <c r="S787" t="s">
        <v>32</v>
      </c>
    </row>
    <row r="788" spans="1:19" x14ac:dyDescent="0.45">
      <c r="A788" t="str">
        <f>"17801"</f>
        <v>17801</v>
      </c>
      <c r="B788" t="s">
        <v>19</v>
      </c>
      <c r="C788" t="str">
        <f>"17001"</f>
        <v>17001</v>
      </c>
      <c r="D788" t="s">
        <v>2209</v>
      </c>
      <c r="E788" t="str">
        <f>"5565"</f>
        <v>5565</v>
      </c>
      <c r="F788" t="s">
        <v>4518</v>
      </c>
      <c r="G788" t="s">
        <v>70</v>
      </c>
      <c r="H788">
        <v>5</v>
      </c>
      <c r="I788" t="s">
        <v>4519</v>
      </c>
      <c r="K788" t="s">
        <v>152</v>
      </c>
      <c r="L788" t="s">
        <v>25</v>
      </c>
      <c r="M788">
        <v>98199</v>
      </c>
      <c r="N788" t="s">
        <v>4520</v>
      </c>
      <c r="O788" t="s">
        <v>4521</v>
      </c>
      <c r="P788" t="s">
        <v>4522</v>
      </c>
      <c r="Q788" t="s">
        <v>30</v>
      </c>
      <c r="R788" t="s">
        <v>31</v>
      </c>
      <c r="S788" t="s">
        <v>32</v>
      </c>
    </row>
    <row r="789" spans="1:19" x14ac:dyDescent="0.45">
      <c r="A789" t="str">
        <f>"17801"</f>
        <v>17801</v>
      </c>
      <c r="B789" t="s">
        <v>19</v>
      </c>
      <c r="C789" t="str">
        <f>"17001"</f>
        <v>17001</v>
      </c>
      <c r="D789" t="s">
        <v>2209</v>
      </c>
      <c r="E789" t="str">
        <f>"5566"</f>
        <v>5566</v>
      </c>
      <c r="F789" t="s">
        <v>1775</v>
      </c>
      <c r="G789">
        <v>9</v>
      </c>
      <c r="H789">
        <v>12</v>
      </c>
      <c r="I789" t="s">
        <v>4523</v>
      </c>
      <c r="K789" t="s">
        <v>152</v>
      </c>
      <c r="L789" t="s">
        <v>25</v>
      </c>
      <c r="M789" t="s">
        <v>4524</v>
      </c>
      <c r="N789" t="s">
        <v>4525</v>
      </c>
      <c r="O789" t="s">
        <v>4526</v>
      </c>
      <c r="P789" t="s">
        <v>4527</v>
      </c>
      <c r="Q789" t="s">
        <v>30</v>
      </c>
      <c r="R789" t="s">
        <v>31</v>
      </c>
      <c r="S789" t="s">
        <v>58</v>
      </c>
    </row>
    <row r="790" spans="1:19" x14ac:dyDescent="0.45">
      <c r="A790" t="str">
        <f>"11801"</f>
        <v>11801</v>
      </c>
      <c r="B790" t="s">
        <v>1122</v>
      </c>
      <c r="C790" t="str">
        <f>"36140"</f>
        <v>36140</v>
      </c>
      <c r="D790" t="s">
        <v>2414</v>
      </c>
      <c r="E790" t="str">
        <f>"5567"</f>
        <v>5567</v>
      </c>
      <c r="F790" t="s">
        <v>4528</v>
      </c>
      <c r="G790" t="s">
        <v>22</v>
      </c>
      <c r="H790" t="s">
        <v>22</v>
      </c>
      <c r="I790" t="s">
        <v>4529</v>
      </c>
      <c r="K790" t="s">
        <v>2991</v>
      </c>
      <c r="L790" t="s">
        <v>25</v>
      </c>
      <c r="M790">
        <v>99362</v>
      </c>
      <c r="N790" t="s">
        <v>4530</v>
      </c>
      <c r="O790" t="s">
        <v>4531</v>
      </c>
      <c r="P790" t="s">
        <v>4532</v>
      </c>
      <c r="Q790" t="s">
        <v>2256</v>
      </c>
      <c r="R790" t="s">
        <v>31</v>
      </c>
      <c r="S790" t="s">
        <v>1248</v>
      </c>
    </row>
    <row r="791" spans="1:19" x14ac:dyDescent="0.45">
      <c r="A791" t="str">
        <f>"17801"</f>
        <v>17801</v>
      </c>
      <c r="B791" t="s">
        <v>19</v>
      </c>
      <c r="C791" t="str">
        <f>"27010"</f>
        <v>27010</v>
      </c>
      <c r="D791" t="s">
        <v>2273</v>
      </c>
      <c r="E791" t="str">
        <f>"5568"</f>
        <v>5568</v>
      </c>
      <c r="F791" t="s">
        <v>4533</v>
      </c>
      <c r="G791" t="s">
        <v>22</v>
      </c>
      <c r="H791" t="s">
        <v>22</v>
      </c>
      <c r="I791" t="s">
        <v>4534</v>
      </c>
      <c r="K791" t="s">
        <v>2276</v>
      </c>
      <c r="L791" t="s">
        <v>25</v>
      </c>
      <c r="M791">
        <v>98418</v>
      </c>
      <c r="N791" t="s">
        <v>4535</v>
      </c>
      <c r="O791" t="s">
        <v>4536</v>
      </c>
      <c r="P791" t="s">
        <v>4537</v>
      </c>
      <c r="Q791" t="s">
        <v>2316</v>
      </c>
      <c r="R791" t="s">
        <v>31</v>
      </c>
      <c r="S791" t="s">
        <v>1248</v>
      </c>
    </row>
    <row r="792" spans="1:19" x14ac:dyDescent="0.45">
      <c r="A792" t="str">
        <f>"04801"</f>
        <v>04801</v>
      </c>
      <c r="B792" t="s">
        <v>1549</v>
      </c>
      <c r="C792" t="str">
        <f>"04246"</f>
        <v>04246</v>
      </c>
      <c r="D792" t="s">
        <v>1656</v>
      </c>
      <c r="E792" t="str">
        <f>"5569"</f>
        <v>5569</v>
      </c>
      <c r="F792" t="s">
        <v>4538</v>
      </c>
      <c r="G792" t="s">
        <v>70</v>
      </c>
      <c r="H792">
        <v>8</v>
      </c>
      <c r="I792" t="s">
        <v>4539</v>
      </c>
      <c r="K792" t="s">
        <v>1659</v>
      </c>
      <c r="L792" t="s">
        <v>25</v>
      </c>
      <c r="M792">
        <v>98801</v>
      </c>
      <c r="N792" t="s">
        <v>4540</v>
      </c>
      <c r="O792" t="s">
        <v>4541</v>
      </c>
      <c r="P792" t="s">
        <v>4542</v>
      </c>
      <c r="Q792" t="s">
        <v>157</v>
      </c>
      <c r="R792" t="s">
        <v>158</v>
      </c>
      <c r="S792" t="s">
        <v>159</v>
      </c>
    </row>
    <row r="793" spans="1:19" x14ac:dyDescent="0.45">
      <c r="A793" t="str">
        <f>"29801"</f>
        <v>29801</v>
      </c>
      <c r="B793" t="s">
        <v>2370</v>
      </c>
      <c r="C793" t="str">
        <f>"31002"</f>
        <v>31002</v>
      </c>
      <c r="D793" t="s">
        <v>2378</v>
      </c>
      <c r="E793" t="str">
        <f>"5570"</f>
        <v>5570</v>
      </c>
      <c r="F793" t="s">
        <v>4543</v>
      </c>
      <c r="G793" t="s">
        <v>22</v>
      </c>
      <c r="H793">
        <v>5</v>
      </c>
      <c r="I793" t="s">
        <v>4544</v>
      </c>
      <c r="K793" t="s">
        <v>2389</v>
      </c>
      <c r="L793" t="s">
        <v>25</v>
      </c>
      <c r="M793" t="s">
        <v>4545</v>
      </c>
      <c r="N793" t="s">
        <v>4546</v>
      </c>
      <c r="O793" t="s">
        <v>4547</v>
      </c>
      <c r="P793" t="s">
        <v>4548</v>
      </c>
      <c r="Q793" t="s">
        <v>30</v>
      </c>
      <c r="R793" t="s">
        <v>31</v>
      </c>
      <c r="S793" t="s">
        <v>32</v>
      </c>
    </row>
    <row r="794" spans="1:19" x14ac:dyDescent="0.45">
      <c r="A794" t="str">
        <f>"06801"</f>
        <v>06801</v>
      </c>
      <c r="B794" t="s">
        <v>1870</v>
      </c>
      <c r="C794" t="str">
        <f>"06117"</f>
        <v>06117</v>
      </c>
      <c r="D794" t="s">
        <v>2285</v>
      </c>
      <c r="E794" t="str">
        <f>"5573"</f>
        <v>5573</v>
      </c>
      <c r="F794" t="s">
        <v>4549</v>
      </c>
      <c r="G794" t="s">
        <v>22</v>
      </c>
      <c r="H794" t="s">
        <v>22</v>
      </c>
      <c r="I794" t="s">
        <v>4550</v>
      </c>
      <c r="K794" t="s">
        <v>2288</v>
      </c>
      <c r="L794" t="s">
        <v>25</v>
      </c>
      <c r="M794">
        <v>98607</v>
      </c>
      <c r="N794" t="s">
        <v>4551</v>
      </c>
      <c r="O794" t="s">
        <v>4552</v>
      </c>
      <c r="P794" t="s">
        <v>4553</v>
      </c>
      <c r="Q794" t="s">
        <v>2316</v>
      </c>
      <c r="R794" t="s">
        <v>31</v>
      </c>
      <c r="S794" t="s">
        <v>1248</v>
      </c>
    </row>
    <row r="795" spans="1:19" x14ac:dyDescent="0.45">
      <c r="A795" t="str">
        <f>"32801"</f>
        <v>32801</v>
      </c>
      <c r="B795" t="s">
        <v>1108</v>
      </c>
      <c r="C795" t="str">
        <f>"38267"</f>
        <v>38267</v>
      </c>
      <c r="D795" t="s">
        <v>4554</v>
      </c>
      <c r="E795" t="str">
        <f>"5574"</f>
        <v>5574</v>
      </c>
      <c r="F795" t="s">
        <v>4555</v>
      </c>
      <c r="G795" t="s">
        <v>22</v>
      </c>
      <c r="H795">
        <v>5</v>
      </c>
      <c r="I795" t="s">
        <v>4556</v>
      </c>
      <c r="K795" t="s">
        <v>4557</v>
      </c>
      <c r="L795" t="s">
        <v>25</v>
      </c>
      <c r="M795">
        <v>99163</v>
      </c>
      <c r="N795" t="s">
        <v>4558</v>
      </c>
      <c r="O795" t="s">
        <v>4559</v>
      </c>
      <c r="P795" t="s">
        <v>4560</v>
      </c>
      <c r="Q795" t="s">
        <v>30</v>
      </c>
      <c r="R795" t="s">
        <v>31</v>
      </c>
      <c r="S795" t="s">
        <v>32</v>
      </c>
    </row>
    <row r="796" spans="1:19" x14ac:dyDescent="0.45">
      <c r="A796" t="str">
        <f>"11801"</f>
        <v>11801</v>
      </c>
      <c r="B796" t="s">
        <v>1122</v>
      </c>
      <c r="C796" t="str">
        <f>"36250"</f>
        <v>36250</v>
      </c>
      <c r="D796" t="s">
        <v>2555</v>
      </c>
      <c r="E796" t="str">
        <f>"5575"</f>
        <v>5575</v>
      </c>
      <c r="F796" t="s">
        <v>4561</v>
      </c>
      <c r="G796">
        <v>9</v>
      </c>
      <c r="H796">
        <v>13</v>
      </c>
      <c r="I796" t="s">
        <v>4562</v>
      </c>
      <c r="K796" t="s">
        <v>2558</v>
      </c>
      <c r="L796" t="s">
        <v>25</v>
      </c>
      <c r="M796">
        <v>99324</v>
      </c>
      <c r="N796" t="s">
        <v>4563</v>
      </c>
      <c r="O796" t="s">
        <v>2560</v>
      </c>
      <c r="P796" t="s">
        <v>4564</v>
      </c>
      <c r="Q796" t="s">
        <v>2264</v>
      </c>
      <c r="R796" t="s">
        <v>2265</v>
      </c>
      <c r="S796" t="s">
        <v>58</v>
      </c>
    </row>
    <row r="797" spans="1:19" x14ac:dyDescent="0.45">
      <c r="A797" t="str">
        <f>"39801"</f>
        <v>39801</v>
      </c>
      <c r="B797" t="s">
        <v>2395</v>
      </c>
      <c r="C797" t="str">
        <f>"39203"</f>
        <v>39203</v>
      </c>
      <c r="D797" t="s">
        <v>4565</v>
      </c>
      <c r="E797" t="str">
        <f>"5576"</f>
        <v>5576</v>
      </c>
      <c r="F797" t="s">
        <v>4566</v>
      </c>
      <c r="G797">
        <v>9</v>
      </c>
      <c r="H797">
        <v>12</v>
      </c>
      <c r="I797" t="s">
        <v>4567</v>
      </c>
      <c r="K797" t="s">
        <v>2512</v>
      </c>
      <c r="L797" t="s">
        <v>25</v>
      </c>
      <c r="M797">
        <v>98902</v>
      </c>
      <c r="N797" t="s">
        <v>4568</v>
      </c>
      <c r="O797" t="s">
        <v>4569</v>
      </c>
      <c r="P797" t="s">
        <v>4570</v>
      </c>
      <c r="Q797" t="s">
        <v>2264</v>
      </c>
      <c r="R797" t="s">
        <v>2265</v>
      </c>
      <c r="S797" t="s">
        <v>58</v>
      </c>
    </row>
    <row r="798" spans="1:19" x14ac:dyDescent="0.45">
      <c r="A798" t="str">
        <f>"17801"</f>
        <v>17801</v>
      </c>
      <c r="B798" t="s">
        <v>19</v>
      </c>
      <c r="C798" t="str">
        <f>"17411"</f>
        <v>17411</v>
      </c>
      <c r="D798" t="s">
        <v>910</v>
      </c>
      <c r="E798" t="str">
        <f>"5577"</f>
        <v>5577</v>
      </c>
      <c r="F798" t="s">
        <v>4571</v>
      </c>
      <c r="G798" t="s">
        <v>22</v>
      </c>
      <c r="H798" t="s">
        <v>22</v>
      </c>
      <c r="I798" t="s">
        <v>4572</v>
      </c>
      <c r="K798" t="s">
        <v>2871</v>
      </c>
      <c r="L798" t="s">
        <v>25</v>
      </c>
      <c r="M798">
        <v>98027</v>
      </c>
      <c r="N798" t="s">
        <v>4573</v>
      </c>
      <c r="O798" t="s">
        <v>4574</v>
      </c>
      <c r="P798" t="s">
        <v>4575</v>
      </c>
      <c r="Q798" t="s">
        <v>2316</v>
      </c>
      <c r="R798" t="s">
        <v>31</v>
      </c>
      <c r="S798" t="s">
        <v>1248</v>
      </c>
    </row>
    <row r="799" spans="1:19" x14ac:dyDescent="0.45">
      <c r="A799" t="str">
        <f>"OSPI"</f>
        <v>OSPI</v>
      </c>
      <c r="B799" t="s">
        <v>1763</v>
      </c>
      <c r="C799" t="str">
        <f>"39801"</f>
        <v>39801</v>
      </c>
      <c r="D799" t="s">
        <v>2395</v>
      </c>
      <c r="E799" t="str">
        <f>"5578"</f>
        <v>5578</v>
      </c>
      <c r="F799" t="s">
        <v>4576</v>
      </c>
      <c r="G799">
        <v>9</v>
      </c>
      <c r="H799">
        <v>12</v>
      </c>
      <c r="I799" t="s">
        <v>4577</v>
      </c>
      <c r="K799" t="s">
        <v>2512</v>
      </c>
      <c r="L799" t="s">
        <v>25</v>
      </c>
      <c r="M799">
        <v>98908</v>
      </c>
      <c r="N799" t="s">
        <v>4578</v>
      </c>
      <c r="O799" t="s">
        <v>4569</v>
      </c>
      <c r="P799" t="s">
        <v>4570</v>
      </c>
      <c r="Q799" t="s">
        <v>2264</v>
      </c>
      <c r="R799" t="s">
        <v>2265</v>
      </c>
      <c r="S799" t="s">
        <v>58</v>
      </c>
    </row>
    <row r="800" spans="1:19" x14ac:dyDescent="0.45">
      <c r="A800" t="str">
        <f>"29801"</f>
        <v>29801</v>
      </c>
      <c r="B800" t="s">
        <v>2370</v>
      </c>
      <c r="C800" t="str">
        <f>"37502"</f>
        <v>37502</v>
      </c>
      <c r="D800" t="s">
        <v>3011</v>
      </c>
      <c r="E800" t="str">
        <f>"5579"</f>
        <v>5579</v>
      </c>
      <c r="F800" t="s">
        <v>4579</v>
      </c>
      <c r="G800" t="s">
        <v>70</v>
      </c>
      <c r="H800">
        <v>12</v>
      </c>
      <c r="I800" t="s">
        <v>4580</v>
      </c>
      <c r="J800" t="s">
        <v>4581</v>
      </c>
      <c r="K800" t="s">
        <v>3072</v>
      </c>
      <c r="L800" t="s">
        <v>25</v>
      </c>
      <c r="M800">
        <v>98248</v>
      </c>
      <c r="N800" t="s">
        <v>3015</v>
      </c>
      <c r="O800" t="s">
        <v>4582</v>
      </c>
      <c r="P800" t="s">
        <v>4583</v>
      </c>
      <c r="Q800" t="s">
        <v>2256</v>
      </c>
      <c r="R800" t="s">
        <v>31</v>
      </c>
      <c r="S800" t="s">
        <v>330</v>
      </c>
    </row>
    <row r="801" spans="1:19" x14ac:dyDescent="0.45">
      <c r="A801" t="str">
        <f>"39801"</f>
        <v>39801</v>
      </c>
      <c r="B801" t="s">
        <v>2395</v>
      </c>
      <c r="C801" t="str">
        <f>"39003"</f>
        <v>39003</v>
      </c>
      <c r="D801" t="s">
        <v>2946</v>
      </c>
      <c r="E801" t="str">
        <f>"5580"</f>
        <v>5580</v>
      </c>
      <c r="F801" t="s">
        <v>4584</v>
      </c>
      <c r="G801">
        <v>9</v>
      </c>
      <c r="H801">
        <v>12</v>
      </c>
      <c r="I801" t="s">
        <v>4585</v>
      </c>
      <c r="K801" t="s">
        <v>4586</v>
      </c>
      <c r="L801" t="s">
        <v>25</v>
      </c>
      <c r="M801">
        <v>98902</v>
      </c>
      <c r="N801" t="s">
        <v>4568</v>
      </c>
      <c r="O801" t="s">
        <v>4569</v>
      </c>
      <c r="P801" t="s">
        <v>4587</v>
      </c>
      <c r="Q801" t="s">
        <v>2264</v>
      </c>
      <c r="R801" t="s">
        <v>2265</v>
      </c>
      <c r="S801" t="s">
        <v>58</v>
      </c>
    </row>
    <row r="802" spans="1:19" x14ac:dyDescent="0.45">
      <c r="A802" t="str">
        <f>"06801"</f>
        <v>06801</v>
      </c>
      <c r="B802" t="s">
        <v>1870</v>
      </c>
      <c r="C802" t="str">
        <f>"30303"</f>
        <v>30303</v>
      </c>
      <c r="D802" t="s">
        <v>4588</v>
      </c>
      <c r="E802" t="str">
        <f>"5581"</f>
        <v>5581</v>
      </c>
      <c r="F802" t="s">
        <v>4589</v>
      </c>
      <c r="G802">
        <v>9</v>
      </c>
      <c r="H802">
        <v>13</v>
      </c>
      <c r="I802" t="s">
        <v>4590</v>
      </c>
      <c r="K802" t="s">
        <v>4591</v>
      </c>
      <c r="L802" t="s">
        <v>25</v>
      </c>
      <c r="M802">
        <v>98648</v>
      </c>
      <c r="N802" t="s">
        <v>79</v>
      </c>
      <c r="Q802" t="s">
        <v>2264</v>
      </c>
      <c r="R802" t="s">
        <v>2265</v>
      </c>
      <c r="S802" t="s">
        <v>58</v>
      </c>
    </row>
    <row r="803" spans="1:19" x14ac:dyDescent="0.45">
      <c r="A803" t="str">
        <f>"17801"</f>
        <v>17801</v>
      </c>
      <c r="B803" t="s">
        <v>19</v>
      </c>
      <c r="C803" t="str">
        <f>"27417"</f>
        <v>27417</v>
      </c>
      <c r="D803" t="s">
        <v>4592</v>
      </c>
      <c r="E803" t="str">
        <f>"5582"</f>
        <v>5582</v>
      </c>
      <c r="F803" t="s">
        <v>4593</v>
      </c>
      <c r="G803">
        <v>10</v>
      </c>
      <c r="H803">
        <v>12</v>
      </c>
      <c r="I803" t="s">
        <v>4594</v>
      </c>
      <c r="K803" t="s">
        <v>2276</v>
      </c>
      <c r="L803" t="s">
        <v>25</v>
      </c>
      <c r="M803">
        <v>98424</v>
      </c>
      <c r="N803" t="s">
        <v>4595</v>
      </c>
      <c r="O803" t="s">
        <v>4596</v>
      </c>
      <c r="P803" t="s">
        <v>4597</v>
      </c>
      <c r="Q803" t="s">
        <v>2264</v>
      </c>
      <c r="R803" t="s">
        <v>2265</v>
      </c>
      <c r="S803" t="s">
        <v>58</v>
      </c>
    </row>
    <row r="804" spans="1:19" x14ac:dyDescent="0.45">
      <c r="A804" t="str">
        <f>"17801"</f>
        <v>17801</v>
      </c>
      <c r="B804" t="s">
        <v>19</v>
      </c>
      <c r="C804" t="str">
        <f>"17417"</f>
        <v>17417</v>
      </c>
      <c r="D804" t="s">
        <v>2386</v>
      </c>
      <c r="E804" t="str">
        <f>"5583"</f>
        <v>5583</v>
      </c>
      <c r="F804" t="s">
        <v>4598</v>
      </c>
      <c r="G804" t="s">
        <v>70</v>
      </c>
      <c r="H804">
        <v>8</v>
      </c>
      <c r="I804" t="s">
        <v>4599</v>
      </c>
      <c r="K804" t="s">
        <v>4600</v>
      </c>
      <c r="L804" t="s">
        <v>25</v>
      </c>
      <c r="M804">
        <v>98077</v>
      </c>
      <c r="N804" t="s">
        <v>79</v>
      </c>
      <c r="Q804" t="s">
        <v>30</v>
      </c>
      <c r="R804" t="s">
        <v>31</v>
      </c>
      <c r="S804" t="s">
        <v>159</v>
      </c>
    </row>
    <row r="805" spans="1:19" x14ac:dyDescent="0.45">
      <c r="A805" t="str">
        <f>"34801"</f>
        <v>34801</v>
      </c>
      <c r="B805" t="s">
        <v>2257</v>
      </c>
      <c r="C805" t="str">
        <f>"14400"</f>
        <v>14400</v>
      </c>
      <c r="D805" t="s">
        <v>4601</v>
      </c>
      <c r="E805" t="str">
        <f>"5584"</f>
        <v>5584</v>
      </c>
      <c r="F805" t="s">
        <v>4602</v>
      </c>
      <c r="G805">
        <v>3</v>
      </c>
      <c r="H805">
        <v>12</v>
      </c>
      <c r="I805" t="s">
        <v>4603</v>
      </c>
      <c r="K805" t="s">
        <v>4604</v>
      </c>
      <c r="L805" t="s">
        <v>25</v>
      </c>
      <c r="M805">
        <v>98568</v>
      </c>
      <c r="N805" t="s">
        <v>4605</v>
      </c>
      <c r="O805" t="s">
        <v>4606</v>
      </c>
      <c r="P805" t="s">
        <v>4607</v>
      </c>
      <c r="Q805" t="s">
        <v>157</v>
      </c>
      <c r="R805" t="s">
        <v>158</v>
      </c>
      <c r="S805" t="s">
        <v>159</v>
      </c>
    </row>
    <row r="806" spans="1:19" x14ac:dyDescent="0.45">
      <c r="A806" t="str">
        <f>"04801"</f>
        <v>04801</v>
      </c>
      <c r="B806" t="s">
        <v>1549</v>
      </c>
      <c r="C806" t="str">
        <f>"13144"</f>
        <v>13144</v>
      </c>
      <c r="D806" t="s">
        <v>4036</v>
      </c>
      <c r="E806" t="str">
        <f>"5585"</f>
        <v>5585</v>
      </c>
      <c r="F806" t="s">
        <v>4608</v>
      </c>
      <c r="G806" t="s">
        <v>70</v>
      </c>
      <c r="H806">
        <v>5</v>
      </c>
      <c r="I806" t="s">
        <v>4609</v>
      </c>
      <c r="K806" t="s">
        <v>4610</v>
      </c>
      <c r="L806" t="s">
        <v>25</v>
      </c>
      <c r="M806">
        <v>98848</v>
      </c>
      <c r="N806" t="s">
        <v>4611</v>
      </c>
      <c r="O806" t="s">
        <v>4612</v>
      </c>
      <c r="P806" t="s">
        <v>4613</v>
      </c>
      <c r="Q806" t="s">
        <v>30</v>
      </c>
      <c r="R806" t="s">
        <v>31</v>
      </c>
      <c r="S806" t="s">
        <v>32</v>
      </c>
    </row>
    <row r="807" spans="1:19" x14ac:dyDescent="0.45">
      <c r="A807" t="str">
        <f>"04801"</f>
        <v>04801</v>
      </c>
      <c r="B807" t="s">
        <v>1549</v>
      </c>
      <c r="C807" t="str">
        <f>"24404"</f>
        <v>24404</v>
      </c>
      <c r="D807" t="s">
        <v>4614</v>
      </c>
      <c r="E807" t="str">
        <f>"5586"</f>
        <v>5586</v>
      </c>
      <c r="F807" t="s">
        <v>4615</v>
      </c>
      <c r="G807">
        <v>9</v>
      </c>
      <c r="H807">
        <v>12</v>
      </c>
      <c r="I807" t="s">
        <v>4616</v>
      </c>
      <c r="K807" t="s">
        <v>4617</v>
      </c>
      <c r="L807" t="s">
        <v>25</v>
      </c>
      <c r="M807">
        <v>98855</v>
      </c>
      <c r="N807" t="s">
        <v>4618</v>
      </c>
      <c r="O807" t="s">
        <v>4619</v>
      </c>
      <c r="P807" t="s">
        <v>4620</v>
      </c>
      <c r="Q807" t="s">
        <v>30</v>
      </c>
      <c r="R807" t="s">
        <v>31</v>
      </c>
      <c r="S807" t="s">
        <v>58</v>
      </c>
    </row>
    <row r="808" spans="1:19" x14ac:dyDescent="0.45">
      <c r="A808" t="str">
        <f>"04801"</f>
        <v>04801</v>
      </c>
      <c r="B808" t="s">
        <v>1549</v>
      </c>
      <c r="C808" t="str">
        <f>"24404"</f>
        <v>24404</v>
      </c>
      <c r="D808" t="s">
        <v>4614</v>
      </c>
      <c r="E808" t="str">
        <f>"5587"</f>
        <v>5587</v>
      </c>
      <c r="F808" t="s">
        <v>4621</v>
      </c>
      <c r="G808" t="s">
        <v>70</v>
      </c>
      <c r="H808">
        <v>12</v>
      </c>
      <c r="I808" t="s">
        <v>4616</v>
      </c>
      <c r="K808" t="s">
        <v>4617</v>
      </c>
      <c r="L808" t="s">
        <v>25</v>
      </c>
      <c r="M808">
        <v>98855</v>
      </c>
      <c r="N808" t="s">
        <v>4622</v>
      </c>
      <c r="O808" t="s">
        <v>4623</v>
      </c>
      <c r="P808" t="s">
        <v>4624</v>
      </c>
      <c r="Q808" t="s">
        <v>157</v>
      </c>
      <c r="R808" t="s">
        <v>158</v>
      </c>
      <c r="S808" t="s">
        <v>330</v>
      </c>
    </row>
    <row r="809" spans="1:19" x14ac:dyDescent="0.45">
      <c r="A809" t="str">
        <f>"29801"</f>
        <v>29801</v>
      </c>
      <c r="B809" t="s">
        <v>2370</v>
      </c>
      <c r="C809" t="str">
        <f>"29103"</f>
        <v>29103</v>
      </c>
      <c r="D809" t="s">
        <v>4625</v>
      </c>
      <c r="E809" t="str">
        <f>"5588"</f>
        <v>5588</v>
      </c>
      <c r="F809" t="s">
        <v>4336</v>
      </c>
      <c r="G809">
        <v>9</v>
      </c>
      <c r="H809">
        <v>12</v>
      </c>
      <c r="I809" t="s">
        <v>4626</v>
      </c>
      <c r="K809" t="s">
        <v>3186</v>
      </c>
      <c r="L809" t="s">
        <v>25</v>
      </c>
      <c r="M809">
        <v>98221</v>
      </c>
      <c r="N809" t="s">
        <v>4627</v>
      </c>
      <c r="O809" t="s">
        <v>4628</v>
      </c>
      <c r="P809" t="s">
        <v>4629</v>
      </c>
      <c r="Q809" t="s">
        <v>2264</v>
      </c>
      <c r="R809" t="s">
        <v>2265</v>
      </c>
      <c r="S809" t="s">
        <v>58</v>
      </c>
    </row>
    <row r="810" spans="1:19" x14ac:dyDescent="0.45">
      <c r="A810" t="str">
        <f>"29801"</f>
        <v>29801</v>
      </c>
      <c r="B810" t="s">
        <v>2370</v>
      </c>
      <c r="C810" t="str">
        <f>"29320"</f>
        <v>29320</v>
      </c>
      <c r="D810" t="s">
        <v>2933</v>
      </c>
      <c r="E810" t="str">
        <f>"5589"</f>
        <v>5589</v>
      </c>
      <c r="F810" t="s">
        <v>4630</v>
      </c>
      <c r="G810" t="s">
        <v>70</v>
      </c>
      <c r="H810">
        <v>5</v>
      </c>
      <c r="I810" t="s">
        <v>4631</v>
      </c>
      <c r="K810" t="s">
        <v>2936</v>
      </c>
      <c r="L810" t="s">
        <v>25</v>
      </c>
      <c r="M810">
        <v>98273</v>
      </c>
      <c r="N810" t="s">
        <v>4632</v>
      </c>
      <c r="O810" t="s">
        <v>4633</v>
      </c>
      <c r="P810" t="s">
        <v>4634</v>
      </c>
      <c r="Q810" t="s">
        <v>30</v>
      </c>
      <c r="R810" t="s">
        <v>31</v>
      </c>
      <c r="S810" t="s">
        <v>32</v>
      </c>
    </row>
    <row r="811" spans="1:19" x14ac:dyDescent="0.45">
      <c r="A811" t="str">
        <f>"OSPI"</f>
        <v>OSPI</v>
      </c>
      <c r="B811" t="s">
        <v>1763</v>
      </c>
      <c r="C811" t="str">
        <f>"17941"</f>
        <v>17941</v>
      </c>
      <c r="D811" t="s">
        <v>4635</v>
      </c>
      <c r="E811" t="str">
        <f>"5590"</f>
        <v>5590</v>
      </c>
      <c r="F811" t="s">
        <v>4636</v>
      </c>
      <c r="G811">
        <v>11</v>
      </c>
      <c r="H811">
        <v>12</v>
      </c>
      <c r="I811" t="s">
        <v>4637</v>
      </c>
      <c r="K811" t="s">
        <v>951</v>
      </c>
      <c r="L811" t="s">
        <v>25</v>
      </c>
      <c r="M811">
        <v>98056</v>
      </c>
      <c r="N811" t="s">
        <v>79</v>
      </c>
      <c r="Q811" t="s">
        <v>2264</v>
      </c>
      <c r="R811" t="s">
        <v>2265</v>
      </c>
      <c r="S811" t="s">
        <v>58</v>
      </c>
    </row>
    <row r="812" spans="1:19" x14ac:dyDescent="0.45">
      <c r="A812" t="str">
        <f>"OSPI"</f>
        <v>OSPI</v>
      </c>
      <c r="B812" t="s">
        <v>1763</v>
      </c>
      <c r="C812" t="str">
        <f>"17941"</f>
        <v>17941</v>
      </c>
      <c r="D812" t="s">
        <v>4635</v>
      </c>
      <c r="E812" t="str">
        <f>"5591"</f>
        <v>5591</v>
      </c>
      <c r="F812" t="s">
        <v>4638</v>
      </c>
      <c r="G812">
        <v>11</v>
      </c>
      <c r="H812">
        <v>13</v>
      </c>
      <c r="I812" t="s">
        <v>4639</v>
      </c>
      <c r="K812" t="s">
        <v>347</v>
      </c>
      <c r="L812" t="s">
        <v>25</v>
      </c>
      <c r="M812">
        <v>98056</v>
      </c>
      <c r="N812" t="s">
        <v>79</v>
      </c>
      <c r="Q812" t="s">
        <v>30</v>
      </c>
      <c r="R812" t="s">
        <v>31</v>
      </c>
      <c r="S812" t="s">
        <v>58</v>
      </c>
    </row>
    <row r="813" spans="1:19" x14ac:dyDescent="0.45">
      <c r="A813" t="str">
        <f>"17801"</f>
        <v>17801</v>
      </c>
      <c r="B813" t="s">
        <v>19</v>
      </c>
      <c r="C813" t="str">
        <f>"17412"</f>
        <v>17412</v>
      </c>
      <c r="D813" t="s">
        <v>1040</v>
      </c>
      <c r="E813" t="str">
        <f>"5592"</f>
        <v>5592</v>
      </c>
      <c r="F813" t="s">
        <v>4640</v>
      </c>
      <c r="G813" t="s">
        <v>70</v>
      </c>
      <c r="H813" t="s">
        <v>70</v>
      </c>
      <c r="I813" t="s">
        <v>4641</v>
      </c>
      <c r="K813" t="s">
        <v>4642</v>
      </c>
      <c r="L813" t="s">
        <v>25</v>
      </c>
      <c r="M813">
        <v>98155</v>
      </c>
      <c r="N813" t="s">
        <v>4643</v>
      </c>
      <c r="O813" t="s">
        <v>4644</v>
      </c>
      <c r="P813" t="s">
        <v>4645</v>
      </c>
      <c r="Q813" t="s">
        <v>30</v>
      </c>
      <c r="R813" t="s">
        <v>31</v>
      </c>
      <c r="S813" t="s">
        <v>32</v>
      </c>
    </row>
    <row r="814" spans="1:19" x14ac:dyDescent="0.45">
      <c r="A814" t="str">
        <f>"17801"</f>
        <v>17801</v>
      </c>
      <c r="B814" t="s">
        <v>19</v>
      </c>
      <c r="C814" t="str">
        <f>"17412"</f>
        <v>17412</v>
      </c>
      <c r="D814" t="s">
        <v>1040</v>
      </c>
      <c r="E814" t="str">
        <f>"5593"</f>
        <v>5593</v>
      </c>
      <c r="F814" t="s">
        <v>4646</v>
      </c>
      <c r="G814" t="s">
        <v>22</v>
      </c>
      <c r="H814" t="s">
        <v>22</v>
      </c>
      <c r="I814" t="s">
        <v>4647</v>
      </c>
      <c r="K814" t="s">
        <v>1043</v>
      </c>
      <c r="L814" t="s">
        <v>25</v>
      </c>
      <c r="M814">
        <v>98133</v>
      </c>
      <c r="N814" t="s">
        <v>4648</v>
      </c>
      <c r="O814" t="s">
        <v>4649</v>
      </c>
      <c r="P814" t="s">
        <v>4650</v>
      </c>
      <c r="Q814" t="s">
        <v>2316</v>
      </c>
      <c r="R814" t="s">
        <v>31</v>
      </c>
      <c r="S814" t="s">
        <v>1248</v>
      </c>
    </row>
    <row r="815" spans="1:19" x14ac:dyDescent="0.45">
      <c r="A815" t="str">
        <f>"34801"</f>
        <v>34801</v>
      </c>
      <c r="B815" t="s">
        <v>2257</v>
      </c>
      <c r="C815" t="str">
        <f>"14400"</f>
        <v>14400</v>
      </c>
      <c r="D815" t="s">
        <v>4601</v>
      </c>
      <c r="E815" t="str">
        <f>"5594"</f>
        <v>5594</v>
      </c>
      <c r="F815" t="s">
        <v>4651</v>
      </c>
      <c r="G815" t="s">
        <v>22</v>
      </c>
      <c r="H815" t="s">
        <v>22</v>
      </c>
      <c r="I815" t="s">
        <v>4652</v>
      </c>
      <c r="J815" t="s">
        <v>4603</v>
      </c>
      <c r="K815" t="s">
        <v>4604</v>
      </c>
      <c r="L815" t="s">
        <v>25</v>
      </c>
      <c r="M815">
        <v>98568</v>
      </c>
      <c r="N815" t="s">
        <v>4605</v>
      </c>
      <c r="O815" t="s">
        <v>4606</v>
      </c>
      <c r="P815" t="s">
        <v>4653</v>
      </c>
      <c r="Q815" t="s">
        <v>2316</v>
      </c>
      <c r="R815" t="s">
        <v>31</v>
      </c>
      <c r="S815" t="s">
        <v>1248</v>
      </c>
    </row>
    <row r="816" spans="1:19" x14ac:dyDescent="0.45">
      <c r="A816" t="str">
        <f>"39801"</f>
        <v>39801</v>
      </c>
      <c r="B816" t="s">
        <v>2395</v>
      </c>
      <c r="C816" t="str">
        <f>"39207"</f>
        <v>39207</v>
      </c>
      <c r="D816" t="s">
        <v>4411</v>
      </c>
      <c r="E816" t="str">
        <f>"5595"</f>
        <v>5595</v>
      </c>
      <c r="F816" t="s">
        <v>4654</v>
      </c>
      <c r="G816">
        <v>9</v>
      </c>
      <c r="H816">
        <v>12</v>
      </c>
      <c r="I816" t="s">
        <v>4655</v>
      </c>
      <c r="K816" t="s">
        <v>4586</v>
      </c>
      <c r="L816" t="s">
        <v>25</v>
      </c>
      <c r="M816">
        <v>98902</v>
      </c>
      <c r="N816" t="s">
        <v>4568</v>
      </c>
      <c r="O816" t="s">
        <v>4569</v>
      </c>
      <c r="P816" t="s">
        <v>4570</v>
      </c>
      <c r="Q816" t="s">
        <v>2264</v>
      </c>
      <c r="R816" t="s">
        <v>2265</v>
      </c>
      <c r="S816" t="s">
        <v>58</v>
      </c>
    </row>
    <row r="817" spans="1:19" x14ac:dyDescent="0.45">
      <c r="A817" t="str">
        <f>"11801"</f>
        <v>11801</v>
      </c>
      <c r="B817" t="s">
        <v>1122</v>
      </c>
      <c r="C817" t="str">
        <f>"11001"</f>
        <v>11001</v>
      </c>
      <c r="D817" t="s">
        <v>2457</v>
      </c>
      <c r="E817" t="str">
        <f>"5596"</f>
        <v>5596</v>
      </c>
      <c r="F817" t="s">
        <v>4656</v>
      </c>
      <c r="G817">
        <v>9</v>
      </c>
      <c r="H817">
        <v>12</v>
      </c>
      <c r="I817" t="s">
        <v>4657</v>
      </c>
      <c r="K817" t="s">
        <v>2460</v>
      </c>
      <c r="L817" t="s">
        <v>25</v>
      </c>
      <c r="M817">
        <v>99301</v>
      </c>
      <c r="N817" t="s">
        <v>79</v>
      </c>
      <c r="Q817" t="s">
        <v>2264</v>
      </c>
      <c r="R817" t="s">
        <v>2265</v>
      </c>
      <c r="S817" t="s">
        <v>58</v>
      </c>
    </row>
    <row r="818" spans="1:19" x14ac:dyDescent="0.45">
      <c r="A818" t="str">
        <f>"17801"</f>
        <v>17801</v>
      </c>
      <c r="B818" t="s">
        <v>19</v>
      </c>
      <c r="C818" t="str">
        <f>"17414"</f>
        <v>17414</v>
      </c>
      <c r="D818" t="s">
        <v>4253</v>
      </c>
      <c r="E818" t="str">
        <f>"5597"</f>
        <v>5597</v>
      </c>
      <c r="F818" t="s">
        <v>4658</v>
      </c>
      <c r="G818">
        <v>6</v>
      </c>
      <c r="H818">
        <v>8</v>
      </c>
      <c r="I818" t="s">
        <v>4659</v>
      </c>
      <c r="K818" t="s">
        <v>4256</v>
      </c>
      <c r="L818" t="s">
        <v>25</v>
      </c>
      <c r="M818">
        <v>98053</v>
      </c>
      <c r="N818" t="s">
        <v>79</v>
      </c>
      <c r="Q818" t="s">
        <v>30</v>
      </c>
      <c r="R818" t="s">
        <v>31</v>
      </c>
      <c r="S818" t="s">
        <v>104</v>
      </c>
    </row>
    <row r="819" spans="1:19" x14ac:dyDescent="0.45">
      <c r="A819" t="str">
        <f>"06801"</f>
        <v>06801</v>
      </c>
      <c r="B819" t="s">
        <v>1870</v>
      </c>
      <c r="C819" t="str">
        <f>"08404"</f>
        <v>08404</v>
      </c>
      <c r="D819" t="s">
        <v>2761</v>
      </c>
      <c r="E819" t="str">
        <f>"5599"</f>
        <v>5599</v>
      </c>
      <c r="F819" t="s">
        <v>1682</v>
      </c>
      <c r="G819" t="s">
        <v>22</v>
      </c>
      <c r="H819">
        <v>4</v>
      </c>
      <c r="I819" t="s">
        <v>4660</v>
      </c>
      <c r="K819" t="s">
        <v>2764</v>
      </c>
      <c r="L819" t="s">
        <v>25</v>
      </c>
      <c r="M819">
        <v>98674</v>
      </c>
      <c r="N819" t="s">
        <v>4661</v>
      </c>
      <c r="O819" t="s">
        <v>4662</v>
      </c>
      <c r="P819" t="s">
        <v>4663</v>
      </c>
      <c r="Q819" t="s">
        <v>30</v>
      </c>
      <c r="R819" t="s">
        <v>31</v>
      </c>
      <c r="S819" t="s">
        <v>32</v>
      </c>
    </row>
    <row r="820" spans="1:19" x14ac:dyDescent="0.45">
      <c r="A820" t="str">
        <f>"06801"</f>
        <v>06801</v>
      </c>
      <c r="B820" t="s">
        <v>1870</v>
      </c>
      <c r="C820" t="str">
        <f>"08404"</f>
        <v>08404</v>
      </c>
      <c r="D820" t="s">
        <v>2761</v>
      </c>
      <c r="E820" t="str">
        <f>"5600"</f>
        <v>5600</v>
      </c>
      <c r="F820" t="s">
        <v>4664</v>
      </c>
      <c r="G820" t="s">
        <v>70</v>
      </c>
      <c r="H820">
        <v>4</v>
      </c>
      <c r="I820" t="s">
        <v>4665</v>
      </c>
      <c r="K820" t="s">
        <v>2764</v>
      </c>
      <c r="L820" t="s">
        <v>25</v>
      </c>
      <c r="M820">
        <v>98674</v>
      </c>
      <c r="N820" t="s">
        <v>4666</v>
      </c>
      <c r="O820" t="s">
        <v>4667</v>
      </c>
      <c r="P820" t="s">
        <v>4668</v>
      </c>
      <c r="Q820" t="s">
        <v>30</v>
      </c>
      <c r="R820" t="s">
        <v>31</v>
      </c>
      <c r="S820" t="s">
        <v>32</v>
      </c>
    </row>
    <row r="821" spans="1:19" x14ac:dyDescent="0.45">
      <c r="A821" t="str">
        <f>"04801"</f>
        <v>04801</v>
      </c>
      <c r="B821" t="s">
        <v>1549</v>
      </c>
      <c r="C821" t="str">
        <f>"13161"</f>
        <v>13161</v>
      </c>
      <c r="D821" t="s">
        <v>2348</v>
      </c>
      <c r="E821" t="str">
        <f>"5601"</f>
        <v>5601</v>
      </c>
      <c r="F821" t="s">
        <v>4669</v>
      </c>
      <c r="G821">
        <v>9</v>
      </c>
      <c r="H821">
        <v>12</v>
      </c>
      <c r="I821" t="s">
        <v>4670</v>
      </c>
      <c r="K821" t="s">
        <v>4671</v>
      </c>
      <c r="L821" t="s">
        <v>25</v>
      </c>
      <c r="M821">
        <v>98837</v>
      </c>
      <c r="N821" t="s">
        <v>4175</v>
      </c>
      <c r="O821" t="s">
        <v>4176</v>
      </c>
      <c r="P821" t="s">
        <v>4177</v>
      </c>
      <c r="Q821" t="s">
        <v>157</v>
      </c>
      <c r="R821" t="s">
        <v>158</v>
      </c>
      <c r="S821" t="s">
        <v>58</v>
      </c>
    </row>
    <row r="822" spans="1:19" x14ac:dyDescent="0.45">
      <c r="A822" t="str">
        <f>"34950"</f>
        <v>34950</v>
      </c>
      <c r="B822" t="s">
        <v>2626</v>
      </c>
      <c r="C822" t="str">
        <f>"17915"</f>
        <v>17915</v>
      </c>
      <c r="D822" t="s">
        <v>4672</v>
      </c>
      <c r="E822" t="str">
        <f>"5602"</f>
        <v>5602</v>
      </c>
      <c r="F822" t="s">
        <v>4672</v>
      </c>
      <c r="G822" t="s">
        <v>70</v>
      </c>
      <c r="H822">
        <v>8</v>
      </c>
      <c r="I822" t="s">
        <v>4673</v>
      </c>
      <c r="K822" t="s">
        <v>2887</v>
      </c>
      <c r="L822" t="s">
        <v>25</v>
      </c>
      <c r="M822">
        <v>98031</v>
      </c>
      <c r="N822" t="s">
        <v>4674</v>
      </c>
      <c r="O822" t="s">
        <v>4675</v>
      </c>
      <c r="P822" t="s">
        <v>4676</v>
      </c>
      <c r="Q822" t="s">
        <v>2436</v>
      </c>
      <c r="R822" t="s">
        <v>31</v>
      </c>
      <c r="S822" t="s">
        <v>159</v>
      </c>
    </row>
    <row r="823" spans="1:19" x14ac:dyDescent="0.45">
      <c r="A823" t="str">
        <f>"32801"</f>
        <v>32801</v>
      </c>
      <c r="B823" t="s">
        <v>1108</v>
      </c>
      <c r="C823" t="str">
        <f>"22207"</f>
        <v>22207</v>
      </c>
      <c r="D823" t="s">
        <v>4677</v>
      </c>
      <c r="E823" t="str">
        <f>"5603"</f>
        <v>5603</v>
      </c>
      <c r="F823" t="s">
        <v>4678</v>
      </c>
      <c r="G823">
        <v>11</v>
      </c>
      <c r="H823">
        <v>12</v>
      </c>
      <c r="I823" t="s">
        <v>4679</v>
      </c>
      <c r="K823" t="s">
        <v>4680</v>
      </c>
      <c r="L823" t="s">
        <v>25</v>
      </c>
      <c r="M823">
        <v>99122</v>
      </c>
      <c r="N823" t="s">
        <v>4681</v>
      </c>
      <c r="O823" t="s">
        <v>4682</v>
      </c>
      <c r="P823" t="s">
        <v>4683</v>
      </c>
      <c r="Q823" t="s">
        <v>172</v>
      </c>
      <c r="R823" t="s">
        <v>173</v>
      </c>
      <c r="S823" t="s">
        <v>58</v>
      </c>
    </row>
    <row r="824" spans="1:19" x14ac:dyDescent="0.45">
      <c r="A824" t="str">
        <f>"32801"</f>
        <v>32801</v>
      </c>
      <c r="B824" t="s">
        <v>1108</v>
      </c>
      <c r="C824" t="str">
        <f>"33115"</f>
        <v>33115</v>
      </c>
      <c r="D824" t="s">
        <v>4684</v>
      </c>
      <c r="E824" t="str">
        <f>"5604"</f>
        <v>5604</v>
      </c>
      <c r="F824" t="s">
        <v>4685</v>
      </c>
      <c r="G824">
        <v>7</v>
      </c>
      <c r="H824">
        <v>12</v>
      </c>
      <c r="I824" t="s">
        <v>4686</v>
      </c>
      <c r="K824" t="s">
        <v>4687</v>
      </c>
      <c r="L824" t="s">
        <v>25</v>
      </c>
      <c r="M824">
        <v>99114</v>
      </c>
      <c r="N824" t="s">
        <v>4688</v>
      </c>
      <c r="O824" t="s">
        <v>4689</v>
      </c>
      <c r="P824" t="s">
        <v>4690</v>
      </c>
      <c r="Q824" t="s">
        <v>172</v>
      </c>
      <c r="R824" t="s">
        <v>173</v>
      </c>
      <c r="S824" t="s">
        <v>159</v>
      </c>
    </row>
    <row r="825" spans="1:19" x14ac:dyDescent="0.45">
      <c r="A825" t="str">
        <f>"17801"</f>
        <v>17801</v>
      </c>
      <c r="B825" t="s">
        <v>19</v>
      </c>
      <c r="C825" t="str">
        <f>"17417"</f>
        <v>17417</v>
      </c>
      <c r="D825" t="s">
        <v>2386</v>
      </c>
      <c r="E825" t="str">
        <f>"5605"</f>
        <v>5605</v>
      </c>
      <c r="F825" t="s">
        <v>4691</v>
      </c>
      <c r="G825" t="s">
        <v>22</v>
      </c>
      <c r="H825">
        <v>5</v>
      </c>
      <c r="I825" t="s">
        <v>4692</v>
      </c>
      <c r="K825" t="s">
        <v>4600</v>
      </c>
      <c r="L825" t="s">
        <v>25</v>
      </c>
      <c r="M825">
        <v>98072</v>
      </c>
      <c r="N825" t="s">
        <v>4693</v>
      </c>
      <c r="O825" t="s">
        <v>4694</v>
      </c>
      <c r="P825" t="s">
        <v>4695</v>
      </c>
      <c r="Q825" t="s">
        <v>30</v>
      </c>
      <c r="R825" t="s">
        <v>31</v>
      </c>
      <c r="S825" t="s">
        <v>32</v>
      </c>
    </row>
    <row r="826" spans="1:19" x14ac:dyDescent="0.45">
      <c r="A826" t="str">
        <f>"17801"</f>
        <v>17801</v>
      </c>
      <c r="B826" t="s">
        <v>19</v>
      </c>
      <c r="C826" t="str">
        <f>"17417"</f>
        <v>17417</v>
      </c>
      <c r="D826" t="s">
        <v>2386</v>
      </c>
      <c r="E826" t="str">
        <f>"5606"</f>
        <v>5606</v>
      </c>
      <c r="F826" t="s">
        <v>4696</v>
      </c>
      <c r="G826">
        <v>9</v>
      </c>
      <c r="H826">
        <v>12</v>
      </c>
      <c r="I826" t="s">
        <v>4697</v>
      </c>
      <c r="K826" t="s">
        <v>2389</v>
      </c>
      <c r="L826" t="s">
        <v>25</v>
      </c>
      <c r="M826">
        <v>98021</v>
      </c>
      <c r="N826" t="s">
        <v>4698</v>
      </c>
      <c r="O826" t="s">
        <v>4699</v>
      </c>
      <c r="P826" t="s">
        <v>4695</v>
      </c>
      <c r="Q826" t="s">
        <v>30</v>
      </c>
      <c r="R826" t="s">
        <v>31</v>
      </c>
      <c r="S826" t="s">
        <v>58</v>
      </c>
    </row>
    <row r="827" spans="1:19" x14ac:dyDescent="0.45">
      <c r="A827" t="str">
        <f t="shared" ref="A827:A860" si="49">"34801"</f>
        <v>34801</v>
      </c>
      <c r="B827" t="s">
        <v>2257</v>
      </c>
      <c r="C827" t="str">
        <f t="shared" ref="C827:C834" si="50">"14005"</f>
        <v>14005</v>
      </c>
      <c r="D827" t="s">
        <v>4236</v>
      </c>
      <c r="E827" t="str">
        <f>"2763"</f>
        <v>2763</v>
      </c>
      <c r="F827" t="s">
        <v>3566</v>
      </c>
      <c r="G827" t="s">
        <v>22</v>
      </c>
      <c r="H827">
        <v>5</v>
      </c>
      <c r="I827" t="s">
        <v>4700</v>
      </c>
      <c r="K827" t="s">
        <v>4239</v>
      </c>
      <c r="L827" t="s">
        <v>25</v>
      </c>
      <c r="M827" t="s">
        <v>4701</v>
      </c>
      <c r="N827" t="s">
        <v>4702</v>
      </c>
      <c r="O827" t="s">
        <v>4703</v>
      </c>
      <c r="P827" t="s">
        <v>4704</v>
      </c>
      <c r="Q827" t="s">
        <v>30</v>
      </c>
      <c r="R827" t="s">
        <v>31</v>
      </c>
      <c r="S827" t="s">
        <v>32</v>
      </c>
    </row>
    <row r="828" spans="1:19" x14ac:dyDescent="0.45">
      <c r="A828" t="str">
        <f t="shared" si="49"/>
        <v>34801</v>
      </c>
      <c r="B828" t="s">
        <v>2257</v>
      </c>
      <c r="C828" t="str">
        <f t="shared" si="50"/>
        <v>14005</v>
      </c>
      <c r="D828" t="s">
        <v>4236</v>
      </c>
      <c r="E828" t="str">
        <f>"2834"</f>
        <v>2834</v>
      </c>
      <c r="F828" t="s">
        <v>4705</v>
      </c>
      <c r="G828" t="s">
        <v>22</v>
      </c>
      <c r="H828">
        <v>5</v>
      </c>
      <c r="I828" t="s">
        <v>4706</v>
      </c>
      <c r="K828" t="s">
        <v>4239</v>
      </c>
      <c r="L828" t="s">
        <v>25</v>
      </c>
      <c r="M828" t="s">
        <v>4707</v>
      </c>
      <c r="N828" t="s">
        <v>4708</v>
      </c>
      <c r="O828" t="s">
        <v>4709</v>
      </c>
      <c r="P828" t="s">
        <v>4710</v>
      </c>
      <c r="Q828" t="s">
        <v>30</v>
      </c>
      <c r="R828" t="s">
        <v>31</v>
      </c>
      <c r="S828" t="s">
        <v>32</v>
      </c>
    </row>
    <row r="829" spans="1:19" x14ac:dyDescent="0.45">
      <c r="A829" t="str">
        <f t="shared" si="49"/>
        <v>34801</v>
      </c>
      <c r="B829" t="s">
        <v>2257</v>
      </c>
      <c r="C829" t="str">
        <f t="shared" si="50"/>
        <v>14005</v>
      </c>
      <c r="D829" t="s">
        <v>4236</v>
      </c>
      <c r="E829" t="str">
        <f>"2971"</f>
        <v>2971</v>
      </c>
      <c r="F829" t="s">
        <v>4711</v>
      </c>
      <c r="G829" t="s">
        <v>22</v>
      </c>
      <c r="H829">
        <v>5</v>
      </c>
      <c r="I829" t="s">
        <v>4712</v>
      </c>
      <c r="K829" t="s">
        <v>4239</v>
      </c>
      <c r="L829" t="s">
        <v>25</v>
      </c>
      <c r="M829" t="s">
        <v>4713</v>
      </c>
      <c r="N829" t="s">
        <v>4714</v>
      </c>
      <c r="O829" t="s">
        <v>4715</v>
      </c>
      <c r="P829" t="s">
        <v>4716</v>
      </c>
      <c r="Q829" t="s">
        <v>30</v>
      </c>
      <c r="R829" t="s">
        <v>31</v>
      </c>
      <c r="S829" t="s">
        <v>32</v>
      </c>
    </row>
    <row r="830" spans="1:19" x14ac:dyDescent="0.45">
      <c r="A830" t="str">
        <f t="shared" si="49"/>
        <v>34801</v>
      </c>
      <c r="B830" t="s">
        <v>2257</v>
      </c>
      <c r="C830" t="str">
        <f t="shared" si="50"/>
        <v>14005</v>
      </c>
      <c r="D830" t="s">
        <v>4236</v>
      </c>
      <c r="E830" t="str">
        <f>"3154"</f>
        <v>3154</v>
      </c>
      <c r="F830" t="s">
        <v>4717</v>
      </c>
      <c r="G830" t="s">
        <v>22</v>
      </c>
      <c r="H830" t="s">
        <v>22</v>
      </c>
      <c r="I830" t="s">
        <v>4718</v>
      </c>
      <c r="K830" t="s">
        <v>4239</v>
      </c>
      <c r="L830" t="s">
        <v>25</v>
      </c>
      <c r="M830" t="s">
        <v>4707</v>
      </c>
      <c r="N830" t="s">
        <v>4719</v>
      </c>
      <c r="O830" t="s">
        <v>4720</v>
      </c>
      <c r="P830" t="s">
        <v>4721</v>
      </c>
      <c r="Q830" t="s">
        <v>30</v>
      </c>
      <c r="R830" t="s">
        <v>31</v>
      </c>
      <c r="S830" t="s">
        <v>1248</v>
      </c>
    </row>
    <row r="831" spans="1:19" x14ac:dyDescent="0.45">
      <c r="A831" t="str">
        <f t="shared" si="49"/>
        <v>34801</v>
      </c>
      <c r="B831" t="s">
        <v>2257</v>
      </c>
      <c r="C831" t="str">
        <f t="shared" si="50"/>
        <v>14005</v>
      </c>
      <c r="D831" t="s">
        <v>4236</v>
      </c>
      <c r="E831" t="str">
        <f>"3216"</f>
        <v>3216</v>
      </c>
      <c r="F831" t="s">
        <v>4722</v>
      </c>
      <c r="G831" t="s">
        <v>70</v>
      </c>
      <c r="H831">
        <v>5</v>
      </c>
      <c r="I831" t="s">
        <v>4723</v>
      </c>
      <c r="K831" t="s">
        <v>4239</v>
      </c>
      <c r="L831" t="s">
        <v>25</v>
      </c>
      <c r="M831" t="s">
        <v>4724</v>
      </c>
      <c r="N831" t="s">
        <v>4725</v>
      </c>
      <c r="O831" t="s">
        <v>4726</v>
      </c>
      <c r="P831" t="s">
        <v>4727</v>
      </c>
      <c r="Q831" t="s">
        <v>30</v>
      </c>
      <c r="R831" t="s">
        <v>31</v>
      </c>
      <c r="S831" t="s">
        <v>32</v>
      </c>
    </row>
    <row r="832" spans="1:19" x14ac:dyDescent="0.45">
      <c r="A832" t="str">
        <f t="shared" si="49"/>
        <v>34801</v>
      </c>
      <c r="B832" t="s">
        <v>2257</v>
      </c>
      <c r="C832" t="str">
        <f t="shared" si="50"/>
        <v>14005</v>
      </c>
      <c r="D832" t="s">
        <v>4236</v>
      </c>
      <c r="E832" t="str">
        <f>"3476"</f>
        <v>3476</v>
      </c>
      <c r="F832" t="s">
        <v>4728</v>
      </c>
      <c r="G832">
        <v>9</v>
      </c>
      <c r="H832">
        <v>12</v>
      </c>
      <c r="I832" t="s">
        <v>4729</v>
      </c>
      <c r="K832" t="s">
        <v>4239</v>
      </c>
      <c r="L832" t="s">
        <v>25</v>
      </c>
      <c r="M832">
        <v>98520</v>
      </c>
      <c r="N832" t="s">
        <v>4719</v>
      </c>
      <c r="O832" t="s">
        <v>4720</v>
      </c>
      <c r="P832" t="s">
        <v>4730</v>
      </c>
      <c r="Q832" t="s">
        <v>30</v>
      </c>
      <c r="R832" t="s">
        <v>31</v>
      </c>
      <c r="S832" t="s">
        <v>58</v>
      </c>
    </row>
    <row r="833" spans="1:19" x14ac:dyDescent="0.45">
      <c r="A833" t="str">
        <f t="shared" si="49"/>
        <v>34801</v>
      </c>
      <c r="B833" t="s">
        <v>2257</v>
      </c>
      <c r="C833" t="str">
        <f t="shared" si="50"/>
        <v>14005</v>
      </c>
      <c r="D833" t="s">
        <v>4236</v>
      </c>
      <c r="E833" t="str">
        <f>"3857"</f>
        <v>3857</v>
      </c>
      <c r="F833" t="s">
        <v>4731</v>
      </c>
      <c r="G833">
        <v>9</v>
      </c>
      <c r="H833">
        <v>12</v>
      </c>
      <c r="I833" t="s">
        <v>4732</v>
      </c>
      <c r="K833" t="s">
        <v>4239</v>
      </c>
      <c r="L833" t="s">
        <v>25</v>
      </c>
      <c r="M833" t="s">
        <v>4707</v>
      </c>
      <c r="N833" t="s">
        <v>4733</v>
      </c>
      <c r="O833" t="s">
        <v>4734</v>
      </c>
      <c r="P833" t="s">
        <v>4735</v>
      </c>
      <c r="Q833" t="s">
        <v>30</v>
      </c>
      <c r="R833" t="s">
        <v>31</v>
      </c>
      <c r="S833" t="s">
        <v>58</v>
      </c>
    </row>
    <row r="834" spans="1:19" x14ac:dyDescent="0.45">
      <c r="A834" t="str">
        <f t="shared" si="49"/>
        <v>34801</v>
      </c>
      <c r="B834" t="s">
        <v>2257</v>
      </c>
      <c r="C834" t="str">
        <f t="shared" si="50"/>
        <v>14005</v>
      </c>
      <c r="D834" t="s">
        <v>4236</v>
      </c>
      <c r="E834" t="str">
        <f>"4267"</f>
        <v>4267</v>
      </c>
      <c r="F834" t="s">
        <v>4736</v>
      </c>
      <c r="G834">
        <v>6</v>
      </c>
      <c r="H834">
        <v>12</v>
      </c>
      <c r="I834" t="s">
        <v>4737</v>
      </c>
      <c r="K834" t="s">
        <v>4239</v>
      </c>
      <c r="L834" t="s">
        <v>25</v>
      </c>
      <c r="M834" t="s">
        <v>4738</v>
      </c>
      <c r="N834" t="s">
        <v>4733</v>
      </c>
      <c r="O834" t="s">
        <v>4734</v>
      </c>
      <c r="P834" t="s">
        <v>4735</v>
      </c>
      <c r="Q834" t="s">
        <v>1312</v>
      </c>
      <c r="R834" t="s">
        <v>1313</v>
      </c>
      <c r="S834" t="s">
        <v>159</v>
      </c>
    </row>
    <row r="835" spans="1:19" x14ac:dyDescent="0.45">
      <c r="A835" t="str">
        <f t="shared" si="49"/>
        <v>34801</v>
      </c>
      <c r="B835" t="s">
        <v>2257</v>
      </c>
      <c r="C835" t="str">
        <f>"14028"</f>
        <v>14028</v>
      </c>
      <c r="D835" t="s">
        <v>4739</v>
      </c>
      <c r="E835" t="str">
        <f>"2268"</f>
        <v>2268</v>
      </c>
      <c r="F835" t="s">
        <v>3901</v>
      </c>
      <c r="G835" t="s">
        <v>70</v>
      </c>
      <c r="H835">
        <v>1</v>
      </c>
      <c r="I835" t="s">
        <v>4740</v>
      </c>
      <c r="K835" t="s">
        <v>4741</v>
      </c>
      <c r="L835" t="s">
        <v>25</v>
      </c>
      <c r="M835" t="s">
        <v>4742</v>
      </c>
      <c r="N835" t="s">
        <v>4743</v>
      </c>
      <c r="O835" t="s">
        <v>4744</v>
      </c>
      <c r="P835" t="s">
        <v>4745</v>
      </c>
      <c r="Q835" t="s">
        <v>30</v>
      </c>
      <c r="R835" t="s">
        <v>31</v>
      </c>
      <c r="S835" t="s">
        <v>32</v>
      </c>
    </row>
    <row r="836" spans="1:19" x14ac:dyDescent="0.45">
      <c r="A836" t="str">
        <f t="shared" si="49"/>
        <v>34801</v>
      </c>
      <c r="B836" t="s">
        <v>2257</v>
      </c>
      <c r="C836" t="str">
        <f>"14028"</f>
        <v>14028</v>
      </c>
      <c r="D836" t="s">
        <v>4739</v>
      </c>
      <c r="E836" t="str">
        <f>"2391"</f>
        <v>2391</v>
      </c>
      <c r="F836" t="s">
        <v>4746</v>
      </c>
      <c r="G836">
        <v>6</v>
      </c>
      <c r="H836">
        <v>8</v>
      </c>
      <c r="I836" t="s">
        <v>4747</v>
      </c>
      <c r="K836" t="s">
        <v>4741</v>
      </c>
      <c r="L836" t="s">
        <v>25</v>
      </c>
      <c r="M836" t="s">
        <v>4742</v>
      </c>
      <c r="N836" t="s">
        <v>4733</v>
      </c>
      <c r="O836" t="s">
        <v>4748</v>
      </c>
      <c r="P836" t="s">
        <v>4749</v>
      </c>
      <c r="Q836" t="s">
        <v>30</v>
      </c>
      <c r="R836" t="s">
        <v>31</v>
      </c>
      <c r="S836" t="s">
        <v>104</v>
      </c>
    </row>
    <row r="837" spans="1:19" x14ac:dyDescent="0.45">
      <c r="A837" t="str">
        <f t="shared" si="49"/>
        <v>34801</v>
      </c>
      <c r="B837" t="s">
        <v>2257</v>
      </c>
      <c r="C837" t="str">
        <f>"14028"</f>
        <v>14028</v>
      </c>
      <c r="D837" t="s">
        <v>4739</v>
      </c>
      <c r="E837" t="str">
        <f>"2972"</f>
        <v>2972</v>
      </c>
      <c r="F837" t="s">
        <v>4750</v>
      </c>
      <c r="G837">
        <v>4</v>
      </c>
      <c r="H837">
        <v>5</v>
      </c>
      <c r="I837" t="s">
        <v>4751</v>
      </c>
      <c r="K837" t="s">
        <v>4741</v>
      </c>
      <c r="L837" t="s">
        <v>25</v>
      </c>
      <c r="M837" t="s">
        <v>4742</v>
      </c>
      <c r="N837" t="s">
        <v>4752</v>
      </c>
      <c r="O837" t="s">
        <v>4753</v>
      </c>
      <c r="P837" t="s">
        <v>4754</v>
      </c>
      <c r="Q837" t="s">
        <v>30</v>
      </c>
      <c r="R837" t="s">
        <v>31</v>
      </c>
      <c r="S837" t="s">
        <v>32</v>
      </c>
    </row>
    <row r="838" spans="1:19" x14ac:dyDescent="0.45">
      <c r="A838" t="str">
        <f t="shared" si="49"/>
        <v>34801</v>
      </c>
      <c r="B838" t="s">
        <v>2257</v>
      </c>
      <c r="C838" t="str">
        <f>"14028"</f>
        <v>14028</v>
      </c>
      <c r="D838" t="s">
        <v>4739</v>
      </c>
      <c r="E838" t="str">
        <f>"3621"</f>
        <v>3621</v>
      </c>
      <c r="F838" t="s">
        <v>4755</v>
      </c>
      <c r="G838" t="s">
        <v>22</v>
      </c>
      <c r="H838">
        <v>3</v>
      </c>
      <c r="I838" t="s">
        <v>4756</v>
      </c>
      <c r="K838" t="s">
        <v>4741</v>
      </c>
      <c r="L838" t="s">
        <v>25</v>
      </c>
      <c r="M838" t="s">
        <v>4742</v>
      </c>
      <c r="N838" t="s">
        <v>4757</v>
      </c>
      <c r="O838" t="s">
        <v>4758</v>
      </c>
      <c r="P838" t="s">
        <v>4759</v>
      </c>
      <c r="Q838" t="s">
        <v>30</v>
      </c>
      <c r="R838" t="s">
        <v>31</v>
      </c>
      <c r="S838" t="s">
        <v>32</v>
      </c>
    </row>
    <row r="839" spans="1:19" x14ac:dyDescent="0.45">
      <c r="A839" t="str">
        <f t="shared" si="49"/>
        <v>34801</v>
      </c>
      <c r="B839" t="s">
        <v>2257</v>
      </c>
      <c r="C839" t="str">
        <f>"14028"</f>
        <v>14028</v>
      </c>
      <c r="D839" t="s">
        <v>4739</v>
      </c>
      <c r="E839" t="str">
        <f>"3622"</f>
        <v>3622</v>
      </c>
      <c r="F839" t="s">
        <v>4760</v>
      </c>
      <c r="G839">
        <v>9</v>
      </c>
      <c r="H839">
        <v>12</v>
      </c>
      <c r="I839" t="s">
        <v>4761</v>
      </c>
      <c r="K839" t="s">
        <v>4741</v>
      </c>
      <c r="L839" t="s">
        <v>25</v>
      </c>
      <c r="M839" t="s">
        <v>4742</v>
      </c>
      <c r="N839" t="s">
        <v>4762</v>
      </c>
      <c r="O839" t="s">
        <v>4763</v>
      </c>
      <c r="P839" t="s">
        <v>4764</v>
      </c>
      <c r="Q839" t="s">
        <v>30</v>
      </c>
      <c r="R839" t="s">
        <v>31</v>
      </c>
      <c r="S839" t="s">
        <v>58</v>
      </c>
    </row>
    <row r="840" spans="1:19" x14ac:dyDescent="0.45">
      <c r="A840" t="str">
        <f t="shared" si="49"/>
        <v>34801</v>
      </c>
      <c r="B840" t="s">
        <v>2257</v>
      </c>
      <c r="C840" t="str">
        <f>"14064"</f>
        <v>14064</v>
      </c>
      <c r="D840" t="s">
        <v>4765</v>
      </c>
      <c r="E840" t="str">
        <f>"2728"</f>
        <v>2728</v>
      </c>
      <c r="F840" t="s">
        <v>4766</v>
      </c>
      <c r="G840">
        <v>9</v>
      </c>
      <c r="H840">
        <v>12</v>
      </c>
      <c r="I840" t="s">
        <v>4767</v>
      </c>
      <c r="K840" t="s">
        <v>4768</v>
      </c>
      <c r="L840" t="s">
        <v>25</v>
      </c>
      <c r="M840" t="s">
        <v>4769</v>
      </c>
      <c r="N840" t="s">
        <v>4770</v>
      </c>
      <c r="O840" t="s">
        <v>4771</v>
      </c>
      <c r="P840" t="s">
        <v>4772</v>
      </c>
      <c r="Q840" t="s">
        <v>30</v>
      </c>
      <c r="R840" t="s">
        <v>31</v>
      </c>
      <c r="S840" t="s">
        <v>58</v>
      </c>
    </row>
    <row r="841" spans="1:19" x14ac:dyDescent="0.45">
      <c r="A841" t="str">
        <f t="shared" si="49"/>
        <v>34801</v>
      </c>
      <c r="B841" t="s">
        <v>2257</v>
      </c>
      <c r="C841" t="str">
        <f>"14064"</f>
        <v>14064</v>
      </c>
      <c r="D841" t="s">
        <v>4765</v>
      </c>
      <c r="E841" t="str">
        <f>"3155"</f>
        <v>3155</v>
      </c>
      <c r="F841" t="s">
        <v>4773</v>
      </c>
      <c r="G841" t="s">
        <v>22</v>
      </c>
      <c r="H841">
        <v>6</v>
      </c>
      <c r="I841" t="s">
        <v>4774</v>
      </c>
      <c r="K841" t="s">
        <v>4775</v>
      </c>
      <c r="L841" t="s">
        <v>25</v>
      </c>
      <c r="M841" t="s">
        <v>4776</v>
      </c>
      <c r="N841" t="s">
        <v>4777</v>
      </c>
      <c r="O841" t="s">
        <v>4778</v>
      </c>
      <c r="P841" t="s">
        <v>4779</v>
      </c>
      <c r="Q841" t="s">
        <v>30</v>
      </c>
      <c r="R841" t="s">
        <v>31</v>
      </c>
      <c r="S841" t="s">
        <v>32</v>
      </c>
    </row>
    <row r="842" spans="1:19" x14ac:dyDescent="0.45">
      <c r="A842" t="str">
        <f t="shared" si="49"/>
        <v>34801</v>
      </c>
      <c r="B842" t="s">
        <v>2257</v>
      </c>
      <c r="C842" t="str">
        <f>"14064"</f>
        <v>14064</v>
      </c>
      <c r="D842" t="s">
        <v>4765</v>
      </c>
      <c r="E842" t="str">
        <f>"3787"</f>
        <v>3787</v>
      </c>
      <c r="F842" t="s">
        <v>4780</v>
      </c>
      <c r="G842" t="s">
        <v>22</v>
      </c>
      <c r="H842">
        <v>6</v>
      </c>
      <c r="I842" t="s">
        <v>4781</v>
      </c>
      <c r="K842" t="s">
        <v>4768</v>
      </c>
      <c r="L842" t="s">
        <v>25</v>
      </c>
      <c r="M842" t="s">
        <v>4769</v>
      </c>
      <c r="N842" t="s">
        <v>4782</v>
      </c>
      <c r="O842" t="s">
        <v>4783</v>
      </c>
      <c r="P842" t="s">
        <v>4784</v>
      </c>
      <c r="Q842" t="s">
        <v>30</v>
      </c>
      <c r="R842" t="s">
        <v>31</v>
      </c>
      <c r="S842" t="s">
        <v>32</v>
      </c>
    </row>
    <row r="843" spans="1:19" x14ac:dyDescent="0.45">
      <c r="A843" t="str">
        <f t="shared" si="49"/>
        <v>34801</v>
      </c>
      <c r="B843" t="s">
        <v>2257</v>
      </c>
      <c r="C843" t="str">
        <f>"14064"</f>
        <v>14064</v>
      </c>
      <c r="D843" t="s">
        <v>4765</v>
      </c>
      <c r="E843" t="str">
        <f>"3788"</f>
        <v>3788</v>
      </c>
      <c r="F843" t="s">
        <v>4785</v>
      </c>
      <c r="G843">
        <v>7</v>
      </c>
      <c r="H843">
        <v>8</v>
      </c>
      <c r="I843" t="s">
        <v>4786</v>
      </c>
      <c r="K843" t="s">
        <v>4768</v>
      </c>
      <c r="L843" t="s">
        <v>25</v>
      </c>
      <c r="M843" t="s">
        <v>4769</v>
      </c>
      <c r="N843" t="s">
        <v>4770</v>
      </c>
      <c r="O843" t="s">
        <v>4771</v>
      </c>
      <c r="P843" t="s">
        <v>4772</v>
      </c>
      <c r="Q843" t="s">
        <v>30</v>
      </c>
      <c r="R843" t="s">
        <v>31</v>
      </c>
      <c r="S843" t="s">
        <v>104</v>
      </c>
    </row>
    <row r="844" spans="1:19" x14ac:dyDescent="0.45">
      <c r="A844" t="str">
        <f t="shared" si="49"/>
        <v>34801</v>
      </c>
      <c r="B844" t="s">
        <v>2257</v>
      </c>
      <c r="C844" t="str">
        <f>"14065"</f>
        <v>14065</v>
      </c>
      <c r="D844" t="s">
        <v>4787</v>
      </c>
      <c r="E844" t="str">
        <f>"2835"</f>
        <v>2835</v>
      </c>
      <c r="F844" t="s">
        <v>4788</v>
      </c>
      <c r="G844" t="s">
        <v>22</v>
      </c>
      <c r="H844">
        <v>8</v>
      </c>
      <c r="I844" t="s">
        <v>4789</v>
      </c>
      <c r="K844" t="s">
        <v>4790</v>
      </c>
      <c r="L844" t="s">
        <v>25</v>
      </c>
      <c r="M844" t="s">
        <v>4791</v>
      </c>
      <c r="N844" t="s">
        <v>4792</v>
      </c>
      <c r="O844" t="s">
        <v>4793</v>
      </c>
      <c r="P844" t="s">
        <v>4794</v>
      </c>
      <c r="Q844" t="s">
        <v>30</v>
      </c>
      <c r="R844" t="s">
        <v>31</v>
      </c>
      <c r="S844" t="s">
        <v>159</v>
      </c>
    </row>
    <row r="845" spans="1:19" x14ac:dyDescent="0.45">
      <c r="A845" t="str">
        <f t="shared" si="49"/>
        <v>34801</v>
      </c>
      <c r="B845" t="s">
        <v>2257</v>
      </c>
      <c r="C845" t="str">
        <f>"14066"</f>
        <v>14066</v>
      </c>
      <c r="D845" t="s">
        <v>4795</v>
      </c>
      <c r="E845" t="str">
        <f>"2180"</f>
        <v>2180</v>
      </c>
      <c r="F845" t="s">
        <v>4796</v>
      </c>
      <c r="G845">
        <v>7</v>
      </c>
      <c r="H845">
        <v>12</v>
      </c>
      <c r="I845" t="s">
        <v>4797</v>
      </c>
      <c r="K845" t="s">
        <v>4798</v>
      </c>
      <c r="L845" t="s">
        <v>25</v>
      </c>
      <c r="M845" t="s">
        <v>4799</v>
      </c>
      <c r="N845" t="s">
        <v>4800</v>
      </c>
      <c r="O845" t="s">
        <v>4801</v>
      </c>
      <c r="P845" t="s">
        <v>4802</v>
      </c>
      <c r="Q845" t="s">
        <v>30</v>
      </c>
      <c r="R845" t="s">
        <v>31</v>
      </c>
      <c r="S845" t="s">
        <v>159</v>
      </c>
    </row>
    <row r="846" spans="1:19" x14ac:dyDescent="0.45">
      <c r="A846" t="str">
        <f t="shared" si="49"/>
        <v>34801</v>
      </c>
      <c r="B846" t="s">
        <v>2257</v>
      </c>
      <c r="C846" t="str">
        <f>"14066"</f>
        <v>14066</v>
      </c>
      <c r="D846" t="s">
        <v>4795</v>
      </c>
      <c r="E846" t="str">
        <f>"3374"</f>
        <v>3374</v>
      </c>
      <c r="F846" t="s">
        <v>4803</v>
      </c>
      <c r="G846">
        <v>3</v>
      </c>
      <c r="H846">
        <v>6</v>
      </c>
      <c r="I846" t="s">
        <v>4804</v>
      </c>
      <c r="K846" t="s">
        <v>4798</v>
      </c>
      <c r="L846" t="s">
        <v>25</v>
      </c>
      <c r="M846" t="s">
        <v>4805</v>
      </c>
      <c r="N846" t="s">
        <v>4806</v>
      </c>
      <c r="O846" t="s">
        <v>4807</v>
      </c>
      <c r="P846" t="s">
        <v>4808</v>
      </c>
      <c r="Q846" t="s">
        <v>30</v>
      </c>
      <c r="R846" t="s">
        <v>31</v>
      </c>
      <c r="S846" t="s">
        <v>32</v>
      </c>
    </row>
    <row r="847" spans="1:19" x14ac:dyDescent="0.45">
      <c r="A847" t="str">
        <f t="shared" si="49"/>
        <v>34801</v>
      </c>
      <c r="B847" t="s">
        <v>2257</v>
      </c>
      <c r="C847" t="str">
        <f>"14066"</f>
        <v>14066</v>
      </c>
      <c r="D847" t="s">
        <v>4795</v>
      </c>
      <c r="E847" t="str">
        <f>"3661"</f>
        <v>3661</v>
      </c>
      <c r="F847" t="s">
        <v>4809</v>
      </c>
      <c r="G847" t="s">
        <v>22</v>
      </c>
      <c r="H847">
        <v>2</v>
      </c>
      <c r="I847" t="s">
        <v>4810</v>
      </c>
      <c r="K847" t="s">
        <v>4798</v>
      </c>
      <c r="L847" t="s">
        <v>25</v>
      </c>
      <c r="M847" t="s">
        <v>4811</v>
      </c>
      <c r="N847" t="s">
        <v>4812</v>
      </c>
      <c r="O847" t="s">
        <v>4813</v>
      </c>
      <c r="P847" t="s">
        <v>4814</v>
      </c>
      <c r="Q847" t="s">
        <v>30</v>
      </c>
      <c r="R847" t="s">
        <v>31</v>
      </c>
      <c r="S847" t="s">
        <v>32</v>
      </c>
    </row>
    <row r="848" spans="1:19" x14ac:dyDescent="0.45">
      <c r="A848" t="str">
        <f t="shared" si="49"/>
        <v>34801</v>
      </c>
      <c r="B848" t="s">
        <v>2257</v>
      </c>
      <c r="C848" t="str">
        <f>"14068"</f>
        <v>14068</v>
      </c>
      <c r="D848" t="s">
        <v>2805</v>
      </c>
      <c r="E848" t="str">
        <f>"1629"</f>
        <v>1629</v>
      </c>
      <c r="F848" t="s">
        <v>4815</v>
      </c>
      <c r="G848">
        <v>9</v>
      </c>
      <c r="H848">
        <v>12</v>
      </c>
      <c r="I848" t="s">
        <v>4816</v>
      </c>
      <c r="K848" t="s">
        <v>2808</v>
      </c>
      <c r="L848" t="s">
        <v>25</v>
      </c>
      <c r="M848" t="s">
        <v>4817</v>
      </c>
      <c r="N848" t="s">
        <v>2809</v>
      </c>
      <c r="O848" t="s">
        <v>2810</v>
      </c>
      <c r="P848" t="s">
        <v>2811</v>
      </c>
      <c r="Q848" t="s">
        <v>157</v>
      </c>
      <c r="R848" t="s">
        <v>158</v>
      </c>
      <c r="S848" t="s">
        <v>58</v>
      </c>
    </row>
    <row r="849" spans="1:19" x14ac:dyDescent="0.45">
      <c r="A849" t="str">
        <f t="shared" si="49"/>
        <v>34801</v>
      </c>
      <c r="B849" t="s">
        <v>2257</v>
      </c>
      <c r="C849" t="str">
        <f>"14068"</f>
        <v>14068</v>
      </c>
      <c r="D849" t="s">
        <v>2805</v>
      </c>
      <c r="E849" t="str">
        <f>"2137"</f>
        <v>2137</v>
      </c>
      <c r="F849" t="s">
        <v>4818</v>
      </c>
      <c r="G849">
        <v>9</v>
      </c>
      <c r="H849">
        <v>12</v>
      </c>
      <c r="I849" t="s">
        <v>4819</v>
      </c>
      <c r="K849" t="s">
        <v>2808</v>
      </c>
      <c r="L849" t="s">
        <v>25</v>
      </c>
      <c r="M849" t="s">
        <v>4817</v>
      </c>
      <c r="N849" t="s">
        <v>4820</v>
      </c>
      <c r="O849" t="s">
        <v>4821</v>
      </c>
      <c r="P849" t="s">
        <v>4822</v>
      </c>
      <c r="Q849" t="s">
        <v>30</v>
      </c>
      <c r="R849" t="s">
        <v>31</v>
      </c>
      <c r="S849" t="s">
        <v>58</v>
      </c>
    </row>
    <row r="850" spans="1:19" x14ac:dyDescent="0.45">
      <c r="A850" t="str">
        <f t="shared" si="49"/>
        <v>34801</v>
      </c>
      <c r="B850" t="s">
        <v>2257</v>
      </c>
      <c r="C850" t="str">
        <f>"14068"</f>
        <v>14068</v>
      </c>
      <c r="D850" t="s">
        <v>2805</v>
      </c>
      <c r="E850" t="str">
        <f>"3217"</f>
        <v>3217</v>
      </c>
      <c r="F850" t="s">
        <v>4823</v>
      </c>
      <c r="G850" t="s">
        <v>22</v>
      </c>
      <c r="H850">
        <v>5</v>
      </c>
      <c r="I850" t="s">
        <v>4816</v>
      </c>
      <c r="K850" t="s">
        <v>2808</v>
      </c>
      <c r="L850" t="s">
        <v>25</v>
      </c>
      <c r="M850" t="s">
        <v>4817</v>
      </c>
      <c r="N850" t="s">
        <v>4824</v>
      </c>
      <c r="O850" t="s">
        <v>4825</v>
      </c>
      <c r="P850" t="s">
        <v>4826</v>
      </c>
      <c r="Q850" t="s">
        <v>30</v>
      </c>
      <c r="R850" t="s">
        <v>31</v>
      </c>
      <c r="S850" t="s">
        <v>32</v>
      </c>
    </row>
    <row r="851" spans="1:19" x14ac:dyDescent="0.45">
      <c r="A851" t="str">
        <f t="shared" si="49"/>
        <v>34801</v>
      </c>
      <c r="B851" t="s">
        <v>2257</v>
      </c>
      <c r="C851" t="str">
        <f>"14068"</f>
        <v>14068</v>
      </c>
      <c r="D851" t="s">
        <v>2805</v>
      </c>
      <c r="E851" t="str">
        <f>"4245"</f>
        <v>4245</v>
      </c>
      <c r="F851" t="s">
        <v>4827</v>
      </c>
      <c r="G851">
        <v>6</v>
      </c>
      <c r="H851">
        <v>8</v>
      </c>
      <c r="I851" t="s">
        <v>4828</v>
      </c>
      <c r="K851" t="s">
        <v>2808</v>
      </c>
      <c r="L851" t="s">
        <v>25</v>
      </c>
      <c r="M851" t="s">
        <v>4817</v>
      </c>
      <c r="N851" t="s">
        <v>4829</v>
      </c>
      <c r="O851" t="s">
        <v>4830</v>
      </c>
      <c r="P851" t="s">
        <v>4831</v>
      </c>
      <c r="Q851" t="s">
        <v>30</v>
      </c>
      <c r="R851" t="s">
        <v>31</v>
      </c>
      <c r="S851" t="s">
        <v>104</v>
      </c>
    </row>
    <row r="852" spans="1:19" x14ac:dyDescent="0.45">
      <c r="A852" t="str">
        <f t="shared" si="49"/>
        <v>34801</v>
      </c>
      <c r="B852" t="s">
        <v>2257</v>
      </c>
      <c r="C852" t="str">
        <f>"14077"</f>
        <v>14077</v>
      </c>
      <c r="D852" t="s">
        <v>4832</v>
      </c>
      <c r="E852" t="str">
        <f>"3580"</f>
        <v>3580</v>
      </c>
      <c r="F852" t="s">
        <v>4833</v>
      </c>
      <c r="G852">
        <v>9</v>
      </c>
      <c r="H852">
        <v>12</v>
      </c>
      <c r="I852" t="s">
        <v>4834</v>
      </c>
      <c r="K852" t="s">
        <v>4835</v>
      </c>
      <c r="L852" t="s">
        <v>25</v>
      </c>
      <c r="M852" t="s">
        <v>4836</v>
      </c>
      <c r="N852" t="s">
        <v>4837</v>
      </c>
      <c r="O852" t="s">
        <v>4838</v>
      </c>
      <c r="P852" t="s">
        <v>4839</v>
      </c>
      <c r="Q852" t="s">
        <v>30</v>
      </c>
      <c r="R852" t="s">
        <v>31</v>
      </c>
      <c r="S852" t="s">
        <v>58</v>
      </c>
    </row>
    <row r="853" spans="1:19" x14ac:dyDescent="0.45">
      <c r="A853" t="str">
        <f t="shared" si="49"/>
        <v>34801</v>
      </c>
      <c r="B853" t="s">
        <v>2257</v>
      </c>
      <c r="C853" t="str">
        <f>"14097"</f>
        <v>14097</v>
      </c>
      <c r="D853" t="s">
        <v>4840</v>
      </c>
      <c r="E853" t="str">
        <f>"2921"</f>
        <v>2921</v>
      </c>
      <c r="F853" t="s">
        <v>4841</v>
      </c>
      <c r="G853" t="s">
        <v>70</v>
      </c>
      <c r="H853">
        <v>12</v>
      </c>
      <c r="I853" t="s">
        <v>4842</v>
      </c>
      <c r="K853" t="s">
        <v>4843</v>
      </c>
      <c r="L853" t="s">
        <v>25</v>
      </c>
      <c r="M853" t="s">
        <v>4844</v>
      </c>
      <c r="N853" t="s">
        <v>4845</v>
      </c>
      <c r="O853" t="s">
        <v>4846</v>
      </c>
      <c r="P853" t="s">
        <v>4847</v>
      </c>
      <c r="Q853" t="s">
        <v>30</v>
      </c>
      <c r="R853" t="s">
        <v>31</v>
      </c>
      <c r="S853" t="s">
        <v>330</v>
      </c>
    </row>
    <row r="854" spans="1:19" x14ac:dyDescent="0.45">
      <c r="A854" t="str">
        <f t="shared" si="49"/>
        <v>34801</v>
      </c>
      <c r="B854" t="s">
        <v>2257</v>
      </c>
      <c r="C854" t="str">
        <f>"14099"</f>
        <v>14099</v>
      </c>
      <c r="D854" t="s">
        <v>4848</v>
      </c>
      <c r="E854" t="str">
        <f>"3326"</f>
        <v>3326</v>
      </c>
      <c r="F854" t="s">
        <v>4849</v>
      </c>
      <c r="G854" t="s">
        <v>70</v>
      </c>
      <c r="H854">
        <v>6</v>
      </c>
      <c r="I854" t="s">
        <v>4850</v>
      </c>
      <c r="K854" t="s">
        <v>4851</v>
      </c>
      <c r="L854" t="s">
        <v>25</v>
      </c>
      <c r="M854" t="s">
        <v>4852</v>
      </c>
      <c r="N854" t="s">
        <v>4853</v>
      </c>
      <c r="O854" t="s">
        <v>4854</v>
      </c>
      <c r="P854" t="s">
        <v>4855</v>
      </c>
      <c r="Q854" t="s">
        <v>30</v>
      </c>
      <c r="R854" t="s">
        <v>31</v>
      </c>
      <c r="S854" t="s">
        <v>32</v>
      </c>
    </row>
    <row r="855" spans="1:19" x14ac:dyDescent="0.45">
      <c r="A855" t="str">
        <f t="shared" si="49"/>
        <v>34801</v>
      </c>
      <c r="B855" t="s">
        <v>2257</v>
      </c>
      <c r="C855" t="str">
        <f>"14104"</f>
        <v>14104</v>
      </c>
      <c r="D855" t="s">
        <v>4856</v>
      </c>
      <c r="E855" t="str">
        <f>"2010"</f>
        <v>2010</v>
      </c>
      <c r="F855" t="s">
        <v>4857</v>
      </c>
      <c r="G855" t="s">
        <v>70</v>
      </c>
      <c r="H855">
        <v>6</v>
      </c>
      <c r="I855" t="s">
        <v>4858</v>
      </c>
      <c r="J855" t="s">
        <v>4859</v>
      </c>
      <c r="K855" t="s">
        <v>4860</v>
      </c>
      <c r="L855" t="s">
        <v>25</v>
      </c>
      <c r="M855" t="s">
        <v>4861</v>
      </c>
      <c r="N855" t="s">
        <v>4862</v>
      </c>
      <c r="O855" t="s">
        <v>4863</v>
      </c>
      <c r="P855" t="s">
        <v>4864</v>
      </c>
      <c r="Q855" t="s">
        <v>30</v>
      </c>
      <c r="R855" t="s">
        <v>31</v>
      </c>
      <c r="S855" t="s">
        <v>32</v>
      </c>
    </row>
    <row r="856" spans="1:19" x14ac:dyDescent="0.45">
      <c r="A856" t="str">
        <f t="shared" si="49"/>
        <v>34801</v>
      </c>
      <c r="B856" t="s">
        <v>2257</v>
      </c>
      <c r="C856" t="str">
        <f>"14117"</f>
        <v>14117</v>
      </c>
      <c r="D856" t="s">
        <v>4865</v>
      </c>
      <c r="E856" t="str">
        <f>"3375"</f>
        <v>3375</v>
      </c>
      <c r="F856" t="s">
        <v>4866</v>
      </c>
      <c r="G856" t="s">
        <v>70</v>
      </c>
      <c r="H856">
        <v>12</v>
      </c>
      <c r="I856" t="s">
        <v>4867</v>
      </c>
      <c r="K856" t="s">
        <v>4239</v>
      </c>
      <c r="L856" t="s">
        <v>25</v>
      </c>
      <c r="M856" t="s">
        <v>4868</v>
      </c>
      <c r="N856" t="s">
        <v>4869</v>
      </c>
      <c r="O856" t="s">
        <v>4870</v>
      </c>
      <c r="P856" t="s">
        <v>4871</v>
      </c>
      <c r="Q856" t="s">
        <v>30</v>
      </c>
      <c r="R856" t="s">
        <v>31</v>
      </c>
      <c r="S856" t="s">
        <v>330</v>
      </c>
    </row>
    <row r="857" spans="1:19" x14ac:dyDescent="0.45">
      <c r="A857" t="str">
        <f t="shared" si="49"/>
        <v>34801</v>
      </c>
      <c r="B857" t="s">
        <v>2257</v>
      </c>
      <c r="C857" t="str">
        <f>"14172"</f>
        <v>14172</v>
      </c>
      <c r="D857" t="s">
        <v>4872</v>
      </c>
      <c r="E857" t="str">
        <f>"3024"</f>
        <v>3024</v>
      </c>
      <c r="F857" t="s">
        <v>4873</v>
      </c>
      <c r="G857">
        <v>7</v>
      </c>
      <c r="H857">
        <v>12</v>
      </c>
      <c r="I857" t="s">
        <v>4874</v>
      </c>
      <c r="K857" t="s">
        <v>4875</v>
      </c>
      <c r="L857" t="s">
        <v>25</v>
      </c>
      <c r="M857" t="s">
        <v>4876</v>
      </c>
      <c r="N857" t="s">
        <v>4877</v>
      </c>
      <c r="O857" t="s">
        <v>4878</v>
      </c>
      <c r="P857" t="s">
        <v>4879</v>
      </c>
      <c r="Q857" t="s">
        <v>30</v>
      </c>
      <c r="R857" t="s">
        <v>31</v>
      </c>
      <c r="S857" t="s">
        <v>159</v>
      </c>
    </row>
    <row r="858" spans="1:19" x14ac:dyDescent="0.45">
      <c r="A858" t="str">
        <f t="shared" si="49"/>
        <v>34801</v>
      </c>
      <c r="B858" t="s">
        <v>2257</v>
      </c>
      <c r="C858" t="str">
        <f>"14172"</f>
        <v>14172</v>
      </c>
      <c r="D858" t="s">
        <v>4872</v>
      </c>
      <c r="E858" t="str">
        <f>"3025"</f>
        <v>3025</v>
      </c>
      <c r="F858" t="s">
        <v>4880</v>
      </c>
      <c r="G858" t="s">
        <v>22</v>
      </c>
      <c r="H858">
        <v>6</v>
      </c>
      <c r="I858" t="s">
        <v>4874</v>
      </c>
      <c r="K858" t="s">
        <v>4875</v>
      </c>
      <c r="L858" t="s">
        <v>25</v>
      </c>
      <c r="M858" t="s">
        <v>4876</v>
      </c>
      <c r="N858" t="s">
        <v>4881</v>
      </c>
      <c r="O858" t="s">
        <v>4882</v>
      </c>
      <c r="P858" t="s">
        <v>4883</v>
      </c>
      <c r="Q858" t="s">
        <v>30</v>
      </c>
      <c r="R858" t="s">
        <v>31</v>
      </c>
      <c r="S858" t="s">
        <v>32</v>
      </c>
    </row>
    <row r="859" spans="1:19" x14ac:dyDescent="0.45">
      <c r="A859" t="str">
        <f t="shared" si="49"/>
        <v>34801</v>
      </c>
      <c r="B859" t="s">
        <v>2257</v>
      </c>
      <c r="C859" t="str">
        <f>"14400"</f>
        <v>14400</v>
      </c>
      <c r="D859" t="s">
        <v>4601</v>
      </c>
      <c r="E859" t="str">
        <f>"2283"</f>
        <v>2283</v>
      </c>
      <c r="F859" t="s">
        <v>4884</v>
      </c>
      <c r="G859">
        <v>6</v>
      </c>
      <c r="H859">
        <v>12</v>
      </c>
      <c r="I859" t="s">
        <v>4885</v>
      </c>
      <c r="K859" t="s">
        <v>4886</v>
      </c>
      <c r="L859" t="s">
        <v>25</v>
      </c>
      <c r="M859" t="s">
        <v>4887</v>
      </c>
      <c r="N859" t="s">
        <v>4888</v>
      </c>
      <c r="O859" t="s">
        <v>4889</v>
      </c>
      <c r="P859" t="s">
        <v>4890</v>
      </c>
      <c r="Q859" t="s">
        <v>30</v>
      </c>
      <c r="R859" t="s">
        <v>31</v>
      </c>
      <c r="S859" t="s">
        <v>159</v>
      </c>
    </row>
    <row r="860" spans="1:19" x14ac:dyDescent="0.45">
      <c r="A860" t="str">
        <f t="shared" si="49"/>
        <v>34801</v>
      </c>
      <c r="B860" t="s">
        <v>2257</v>
      </c>
      <c r="C860" t="str">
        <f>"14400"</f>
        <v>14400</v>
      </c>
      <c r="D860" t="s">
        <v>4601</v>
      </c>
      <c r="E860" t="str">
        <f>"2922"</f>
        <v>2922</v>
      </c>
      <c r="F860" t="s">
        <v>4891</v>
      </c>
      <c r="G860" t="s">
        <v>70</v>
      </c>
      <c r="H860">
        <v>6</v>
      </c>
      <c r="I860" t="s">
        <v>4885</v>
      </c>
      <c r="K860" t="s">
        <v>4886</v>
      </c>
      <c r="L860" t="s">
        <v>25</v>
      </c>
      <c r="M860" t="s">
        <v>4887</v>
      </c>
      <c r="N860" t="s">
        <v>4892</v>
      </c>
      <c r="O860" t="s">
        <v>4893</v>
      </c>
      <c r="P860" t="s">
        <v>4894</v>
      </c>
      <c r="Q860" t="s">
        <v>30</v>
      </c>
      <c r="R860" t="s">
        <v>31</v>
      </c>
      <c r="S860" t="s">
        <v>32</v>
      </c>
    </row>
    <row r="861" spans="1:19" x14ac:dyDescent="0.45">
      <c r="A861" t="str">
        <f t="shared" ref="A861:A878" si="51">"29801"</f>
        <v>29801</v>
      </c>
      <c r="B861" t="s">
        <v>2370</v>
      </c>
      <c r="C861" t="str">
        <f t="shared" ref="C861:C870" si="52">"15201"</f>
        <v>15201</v>
      </c>
      <c r="D861" t="s">
        <v>2445</v>
      </c>
      <c r="E861" t="str">
        <f>"1758"</f>
        <v>1758</v>
      </c>
      <c r="F861" t="s">
        <v>4895</v>
      </c>
      <c r="G861" t="s">
        <v>70</v>
      </c>
      <c r="H861">
        <v>12</v>
      </c>
      <c r="I861" t="s">
        <v>4896</v>
      </c>
      <c r="K861" t="s">
        <v>2448</v>
      </c>
      <c r="L861" t="s">
        <v>25</v>
      </c>
      <c r="M861" t="s">
        <v>4897</v>
      </c>
      <c r="N861" t="s">
        <v>4898</v>
      </c>
      <c r="O861" t="s">
        <v>4899</v>
      </c>
      <c r="P861" t="s">
        <v>4900</v>
      </c>
      <c r="Q861" t="s">
        <v>157</v>
      </c>
      <c r="R861" t="s">
        <v>158</v>
      </c>
      <c r="S861" t="s">
        <v>330</v>
      </c>
    </row>
    <row r="862" spans="1:19" x14ac:dyDescent="0.45">
      <c r="A862" t="str">
        <f t="shared" si="51"/>
        <v>29801</v>
      </c>
      <c r="B862" t="s">
        <v>2370</v>
      </c>
      <c r="C862" t="str">
        <f t="shared" si="52"/>
        <v>15201</v>
      </c>
      <c r="D862" t="s">
        <v>2445</v>
      </c>
      <c r="E862" t="str">
        <f>"2696"</f>
        <v>2696</v>
      </c>
      <c r="F862" t="s">
        <v>4901</v>
      </c>
      <c r="G862" t="s">
        <v>22</v>
      </c>
      <c r="H862">
        <v>4</v>
      </c>
      <c r="I862" t="s">
        <v>4902</v>
      </c>
      <c r="K862" t="s">
        <v>2448</v>
      </c>
      <c r="L862" t="s">
        <v>25</v>
      </c>
      <c r="M862" t="s">
        <v>4897</v>
      </c>
      <c r="N862" t="s">
        <v>4903</v>
      </c>
      <c r="O862" t="s">
        <v>4904</v>
      </c>
      <c r="P862" t="s">
        <v>4905</v>
      </c>
      <c r="Q862" t="s">
        <v>30</v>
      </c>
      <c r="R862" t="s">
        <v>31</v>
      </c>
      <c r="S862" t="s">
        <v>32</v>
      </c>
    </row>
    <row r="863" spans="1:19" x14ac:dyDescent="0.45">
      <c r="A863" t="str">
        <f t="shared" si="51"/>
        <v>29801</v>
      </c>
      <c r="B863" t="s">
        <v>2370</v>
      </c>
      <c r="C863" t="str">
        <f t="shared" si="52"/>
        <v>15201</v>
      </c>
      <c r="D863" t="s">
        <v>2445</v>
      </c>
      <c r="E863" t="str">
        <f>"2974"</f>
        <v>2974</v>
      </c>
      <c r="F863" t="s">
        <v>4906</v>
      </c>
      <c r="G863">
        <v>9</v>
      </c>
      <c r="H863">
        <v>12</v>
      </c>
      <c r="I863" t="s">
        <v>4907</v>
      </c>
      <c r="K863" t="s">
        <v>2448</v>
      </c>
      <c r="L863" t="s">
        <v>25</v>
      </c>
      <c r="M863" t="s">
        <v>4897</v>
      </c>
      <c r="N863" t="s">
        <v>4908</v>
      </c>
      <c r="O863" t="s">
        <v>4909</v>
      </c>
      <c r="P863" t="s">
        <v>4910</v>
      </c>
      <c r="Q863" t="s">
        <v>30</v>
      </c>
      <c r="R863" t="s">
        <v>31</v>
      </c>
      <c r="S863" t="s">
        <v>58</v>
      </c>
    </row>
    <row r="864" spans="1:19" x14ac:dyDescent="0.45">
      <c r="A864" t="str">
        <f t="shared" si="51"/>
        <v>29801</v>
      </c>
      <c r="B864" t="s">
        <v>2370</v>
      </c>
      <c r="C864" t="str">
        <f t="shared" si="52"/>
        <v>15201</v>
      </c>
      <c r="D864" t="s">
        <v>2445</v>
      </c>
      <c r="E864" t="str">
        <f>"3274"</f>
        <v>3274</v>
      </c>
      <c r="F864" t="s">
        <v>4911</v>
      </c>
      <c r="G864">
        <v>5</v>
      </c>
      <c r="H864">
        <v>6</v>
      </c>
      <c r="I864" t="s">
        <v>4912</v>
      </c>
      <c r="K864" t="s">
        <v>2448</v>
      </c>
      <c r="L864" t="s">
        <v>25</v>
      </c>
      <c r="M864" t="s">
        <v>4897</v>
      </c>
      <c r="N864" t="s">
        <v>4913</v>
      </c>
      <c r="O864" t="s">
        <v>4914</v>
      </c>
      <c r="P864" t="s">
        <v>4915</v>
      </c>
      <c r="Q864" t="s">
        <v>30</v>
      </c>
      <c r="R864" t="s">
        <v>31</v>
      </c>
      <c r="S864" t="s">
        <v>32</v>
      </c>
    </row>
    <row r="865" spans="1:19" x14ac:dyDescent="0.45">
      <c r="A865" t="str">
        <f t="shared" si="51"/>
        <v>29801</v>
      </c>
      <c r="B865" t="s">
        <v>2370</v>
      </c>
      <c r="C865" t="str">
        <f t="shared" si="52"/>
        <v>15201</v>
      </c>
      <c r="D865" t="s">
        <v>2445</v>
      </c>
      <c r="E865" t="str">
        <f>"3377"</f>
        <v>3377</v>
      </c>
      <c r="F865" t="s">
        <v>4916</v>
      </c>
      <c r="G865" t="s">
        <v>70</v>
      </c>
      <c r="H865">
        <v>4</v>
      </c>
      <c r="I865" t="s">
        <v>4917</v>
      </c>
      <c r="K865" t="s">
        <v>2448</v>
      </c>
      <c r="L865" t="s">
        <v>25</v>
      </c>
      <c r="M865" t="s">
        <v>4897</v>
      </c>
      <c r="N865" t="s">
        <v>4918</v>
      </c>
      <c r="O865" t="s">
        <v>4919</v>
      </c>
      <c r="P865" t="s">
        <v>4920</v>
      </c>
      <c r="Q865" t="s">
        <v>30</v>
      </c>
      <c r="R865" t="s">
        <v>31</v>
      </c>
      <c r="S865" t="s">
        <v>32</v>
      </c>
    </row>
    <row r="866" spans="1:19" x14ac:dyDescent="0.45">
      <c r="A866" t="str">
        <f t="shared" si="51"/>
        <v>29801</v>
      </c>
      <c r="B866" t="s">
        <v>2370</v>
      </c>
      <c r="C866" t="str">
        <f t="shared" si="52"/>
        <v>15201</v>
      </c>
      <c r="D866" t="s">
        <v>2445</v>
      </c>
      <c r="E866" t="str">
        <f>"3477"</f>
        <v>3477</v>
      </c>
      <c r="F866" t="s">
        <v>4921</v>
      </c>
      <c r="G866" t="s">
        <v>70</v>
      </c>
      <c r="H866">
        <v>4</v>
      </c>
      <c r="I866" t="s">
        <v>4922</v>
      </c>
      <c r="K866" t="s">
        <v>2448</v>
      </c>
      <c r="L866" t="s">
        <v>25</v>
      </c>
      <c r="M866" t="s">
        <v>4897</v>
      </c>
      <c r="N866" t="s">
        <v>4923</v>
      </c>
      <c r="O866" t="s">
        <v>4924</v>
      </c>
      <c r="P866" t="s">
        <v>4925</v>
      </c>
      <c r="Q866" t="s">
        <v>30</v>
      </c>
      <c r="R866" t="s">
        <v>31</v>
      </c>
      <c r="S866" t="s">
        <v>32</v>
      </c>
    </row>
    <row r="867" spans="1:19" x14ac:dyDescent="0.45">
      <c r="A867" t="str">
        <f t="shared" si="51"/>
        <v>29801</v>
      </c>
      <c r="B867" t="s">
        <v>2370</v>
      </c>
      <c r="C867" t="str">
        <f t="shared" si="52"/>
        <v>15201</v>
      </c>
      <c r="D867" t="s">
        <v>2445</v>
      </c>
      <c r="E867" t="str">
        <f>"3566"</f>
        <v>3566</v>
      </c>
      <c r="F867" t="s">
        <v>4926</v>
      </c>
      <c r="G867" t="s">
        <v>70</v>
      </c>
      <c r="H867">
        <v>4</v>
      </c>
      <c r="I867" t="s">
        <v>4927</v>
      </c>
      <c r="K867" t="s">
        <v>2448</v>
      </c>
      <c r="L867" t="s">
        <v>25</v>
      </c>
      <c r="M867" t="s">
        <v>4897</v>
      </c>
      <c r="N867" t="s">
        <v>4928</v>
      </c>
      <c r="O867" t="s">
        <v>4929</v>
      </c>
      <c r="P867" t="s">
        <v>4930</v>
      </c>
      <c r="Q867" t="s">
        <v>30</v>
      </c>
      <c r="R867" t="s">
        <v>31</v>
      </c>
      <c r="S867" t="s">
        <v>32</v>
      </c>
    </row>
    <row r="868" spans="1:19" x14ac:dyDescent="0.45">
      <c r="A868" t="str">
        <f t="shared" si="51"/>
        <v>29801</v>
      </c>
      <c r="B868" t="s">
        <v>2370</v>
      </c>
      <c r="C868" t="str">
        <f t="shared" si="52"/>
        <v>15201</v>
      </c>
      <c r="D868" t="s">
        <v>2445</v>
      </c>
      <c r="E868" t="str">
        <f>"3662"</f>
        <v>3662</v>
      </c>
      <c r="F868" t="s">
        <v>1733</v>
      </c>
      <c r="G868" t="s">
        <v>22</v>
      </c>
      <c r="H868" t="s">
        <v>22</v>
      </c>
      <c r="I868" t="s">
        <v>4896</v>
      </c>
      <c r="K868" t="s">
        <v>2448</v>
      </c>
      <c r="L868" t="s">
        <v>25</v>
      </c>
      <c r="M868" t="s">
        <v>4897</v>
      </c>
      <c r="N868" t="s">
        <v>4931</v>
      </c>
      <c r="O868" t="s">
        <v>4932</v>
      </c>
      <c r="P868" t="s">
        <v>4933</v>
      </c>
      <c r="Q868" t="s">
        <v>66</v>
      </c>
      <c r="R868" t="s">
        <v>67</v>
      </c>
      <c r="S868" t="s">
        <v>1248</v>
      </c>
    </row>
    <row r="869" spans="1:19" x14ac:dyDescent="0.45">
      <c r="A869" t="str">
        <f t="shared" si="51"/>
        <v>29801</v>
      </c>
      <c r="B869" t="s">
        <v>2370</v>
      </c>
      <c r="C869" t="str">
        <f t="shared" si="52"/>
        <v>15201</v>
      </c>
      <c r="D869" t="s">
        <v>2445</v>
      </c>
      <c r="E869" t="str">
        <f>"3939"</f>
        <v>3939</v>
      </c>
      <c r="F869" t="s">
        <v>4934</v>
      </c>
      <c r="G869">
        <v>7</v>
      </c>
      <c r="H869">
        <v>8</v>
      </c>
      <c r="I869" t="s">
        <v>4935</v>
      </c>
      <c r="K869" t="s">
        <v>2448</v>
      </c>
      <c r="L869" t="s">
        <v>25</v>
      </c>
      <c r="M869" t="s">
        <v>4897</v>
      </c>
      <c r="N869" t="s">
        <v>4936</v>
      </c>
      <c r="O869" t="s">
        <v>4937</v>
      </c>
      <c r="P869" t="s">
        <v>4938</v>
      </c>
      <c r="Q869" t="s">
        <v>30</v>
      </c>
      <c r="R869" t="s">
        <v>31</v>
      </c>
      <c r="S869" t="s">
        <v>104</v>
      </c>
    </row>
    <row r="870" spans="1:19" x14ac:dyDescent="0.45">
      <c r="A870" t="str">
        <f t="shared" si="51"/>
        <v>29801</v>
      </c>
      <c r="B870" t="s">
        <v>2370</v>
      </c>
      <c r="C870" t="str">
        <f t="shared" si="52"/>
        <v>15201</v>
      </c>
      <c r="D870" t="s">
        <v>2445</v>
      </c>
      <c r="E870" t="str">
        <f>"4328"</f>
        <v>4328</v>
      </c>
      <c r="F870" t="s">
        <v>4939</v>
      </c>
      <c r="G870" t="s">
        <v>70</v>
      </c>
      <c r="H870">
        <v>4</v>
      </c>
      <c r="I870" t="s">
        <v>4940</v>
      </c>
      <c r="K870" t="s">
        <v>2448</v>
      </c>
      <c r="L870" t="s">
        <v>25</v>
      </c>
      <c r="M870" t="s">
        <v>4897</v>
      </c>
      <c r="N870" t="s">
        <v>4941</v>
      </c>
      <c r="O870" t="s">
        <v>4942</v>
      </c>
      <c r="P870" t="s">
        <v>4943</v>
      </c>
      <c r="Q870" t="s">
        <v>30</v>
      </c>
      <c r="R870" t="s">
        <v>31</v>
      </c>
      <c r="S870" t="s">
        <v>32</v>
      </c>
    </row>
    <row r="871" spans="1:19" x14ac:dyDescent="0.45">
      <c r="A871" t="str">
        <f t="shared" si="51"/>
        <v>29801</v>
      </c>
      <c r="B871" t="s">
        <v>2370</v>
      </c>
      <c r="C871" t="str">
        <f>"15204"</f>
        <v>15204</v>
      </c>
      <c r="D871" t="s">
        <v>2775</v>
      </c>
      <c r="E871" t="str">
        <f>"2625"</f>
        <v>2625</v>
      </c>
      <c r="F871" t="s">
        <v>4944</v>
      </c>
      <c r="G871">
        <v>9</v>
      </c>
      <c r="H871">
        <v>12</v>
      </c>
      <c r="I871" t="s">
        <v>4945</v>
      </c>
      <c r="K871" t="s">
        <v>2778</v>
      </c>
      <c r="L871" t="s">
        <v>25</v>
      </c>
      <c r="M871" t="s">
        <v>4946</v>
      </c>
      <c r="N871" t="s">
        <v>4947</v>
      </c>
      <c r="O871" t="s">
        <v>4948</v>
      </c>
      <c r="P871" t="s">
        <v>4949</v>
      </c>
      <c r="Q871" t="s">
        <v>30</v>
      </c>
      <c r="R871" t="s">
        <v>31</v>
      </c>
      <c r="S871" t="s">
        <v>58</v>
      </c>
    </row>
    <row r="872" spans="1:19" x14ac:dyDescent="0.45">
      <c r="A872" t="str">
        <f t="shared" si="51"/>
        <v>29801</v>
      </c>
      <c r="B872" t="s">
        <v>2370</v>
      </c>
      <c r="C872" t="str">
        <f>"15204"</f>
        <v>15204</v>
      </c>
      <c r="D872" t="s">
        <v>2775</v>
      </c>
      <c r="E872" t="str">
        <f>"3664"</f>
        <v>3664</v>
      </c>
      <c r="F872" t="s">
        <v>4950</v>
      </c>
      <c r="G872" t="s">
        <v>22</v>
      </c>
      <c r="H872">
        <v>5</v>
      </c>
      <c r="I872" t="s">
        <v>4951</v>
      </c>
      <c r="K872" t="s">
        <v>2778</v>
      </c>
      <c r="L872" t="s">
        <v>25</v>
      </c>
      <c r="M872">
        <v>98239</v>
      </c>
      <c r="N872" t="s">
        <v>4952</v>
      </c>
      <c r="O872" t="s">
        <v>4953</v>
      </c>
      <c r="P872" t="s">
        <v>4954</v>
      </c>
      <c r="Q872" t="s">
        <v>30</v>
      </c>
      <c r="R872" t="s">
        <v>31</v>
      </c>
      <c r="S872" t="s">
        <v>32</v>
      </c>
    </row>
    <row r="873" spans="1:19" x14ac:dyDescent="0.45">
      <c r="A873" t="str">
        <f t="shared" si="51"/>
        <v>29801</v>
      </c>
      <c r="B873" t="s">
        <v>2370</v>
      </c>
      <c r="C873" t="str">
        <f>"15204"</f>
        <v>15204</v>
      </c>
      <c r="D873" t="s">
        <v>2775</v>
      </c>
      <c r="E873" t="str">
        <f>"4004"</f>
        <v>4004</v>
      </c>
      <c r="F873" t="s">
        <v>4955</v>
      </c>
      <c r="G873">
        <v>6</v>
      </c>
      <c r="H873">
        <v>8</v>
      </c>
      <c r="I873" t="s">
        <v>4945</v>
      </c>
      <c r="K873" t="s">
        <v>2778</v>
      </c>
      <c r="L873" t="s">
        <v>25</v>
      </c>
      <c r="M873" t="s">
        <v>4946</v>
      </c>
      <c r="N873" t="s">
        <v>4956</v>
      </c>
      <c r="O873" t="s">
        <v>4957</v>
      </c>
      <c r="P873" t="s">
        <v>4958</v>
      </c>
      <c r="Q873" t="s">
        <v>30</v>
      </c>
      <c r="R873" t="s">
        <v>31</v>
      </c>
      <c r="S873" t="s">
        <v>104</v>
      </c>
    </row>
    <row r="874" spans="1:19" x14ac:dyDescent="0.45">
      <c r="A874" t="str">
        <f t="shared" si="51"/>
        <v>29801</v>
      </c>
      <c r="B874" t="s">
        <v>2370</v>
      </c>
      <c r="C874" t="str">
        <f>"15206"</f>
        <v>15206</v>
      </c>
      <c r="D874" t="s">
        <v>4959</v>
      </c>
      <c r="E874" t="str">
        <f>"1682"</f>
        <v>1682</v>
      </c>
      <c r="F874" t="s">
        <v>4960</v>
      </c>
      <c r="G874">
        <v>10</v>
      </c>
      <c r="H874">
        <v>12</v>
      </c>
      <c r="I874" t="s">
        <v>4961</v>
      </c>
      <c r="K874" t="s">
        <v>4962</v>
      </c>
      <c r="L874" t="s">
        <v>25</v>
      </c>
      <c r="M874">
        <v>98260</v>
      </c>
      <c r="N874" t="s">
        <v>4963</v>
      </c>
      <c r="O874" t="s">
        <v>4964</v>
      </c>
      <c r="P874" t="s">
        <v>4965</v>
      </c>
      <c r="Q874" t="s">
        <v>157</v>
      </c>
      <c r="R874" t="s">
        <v>158</v>
      </c>
      <c r="S874" t="s">
        <v>159</v>
      </c>
    </row>
    <row r="875" spans="1:19" x14ac:dyDescent="0.45">
      <c r="A875" t="str">
        <f t="shared" si="51"/>
        <v>29801</v>
      </c>
      <c r="B875" t="s">
        <v>2370</v>
      </c>
      <c r="C875" t="str">
        <f>"15206"</f>
        <v>15206</v>
      </c>
      <c r="D875" t="s">
        <v>4959</v>
      </c>
      <c r="E875" t="str">
        <f>"1683"</f>
        <v>1683</v>
      </c>
      <c r="F875" t="s">
        <v>4966</v>
      </c>
      <c r="G875" t="s">
        <v>22</v>
      </c>
      <c r="H875">
        <v>1</v>
      </c>
      <c r="I875" t="s">
        <v>4967</v>
      </c>
      <c r="K875" t="s">
        <v>4962</v>
      </c>
      <c r="L875" t="s">
        <v>25</v>
      </c>
      <c r="M875" t="s">
        <v>4968</v>
      </c>
      <c r="N875" t="s">
        <v>4969</v>
      </c>
      <c r="O875" t="s">
        <v>4970</v>
      </c>
      <c r="P875" t="s">
        <v>4971</v>
      </c>
      <c r="Q875" t="s">
        <v>66</v>
      </c>
      <c r="R875" t="s">
        <v>67</v>
      </c>
      <c r="S875" t="s">
        <v>32</v>
      </c>
    </row>
    <row r="876" spans="1:19" x14ac:dyDescent="0.45">
      <c r="A876" t="str">
        <f t="shared" si="51"/>
        <v>29801</v>
      </c>
      <c r="B876" t="s">
        <v>2370</v>
      </c>
      <c r="C876" t="str">
        <f>"15206"</f>
        <v>15206</v>
      </c>
      <c r="D876" t="s">
        <v>4959</v>
      </c>
      <c r="E876" t="str">
        <f>"2511"</f>
        <v>2511</v>
      </c>
      <c r="F876" t="s">
        <v>4972</v>
      </c>
      <c r="G876">
        <v>7</v>
      </c>
      <c r="H876">
        <v>8</v>
      </c>
      <c r="I876" t="s">
        <v>4961</v>
      </c>
      <c r="K876" t="s">
        <v>4962</v>
      </c>
      <c r="L876" t="s">
        <v>25</v>
      </c>
      <c r="M876" t="s">
        <v>4973</v>
      </c>
      <c r="N876" t="s">
        <v>4974</v>
      </c>
      <c r="O876" t="s">
        <v>4975</v>
      </c>
      <c r="P876" t="s">
        <v>4976</v>
      </c>
      <c r="Q876" t="s">
        <v>30</v>
      </c>
      <c r="R876" t="s">
        <v>31</v>
      </c>
      <c r="S876" t="s">
        <v>104</v>
      </c>
    </row>
    <row r="877" spans="1:19" x14ac:dyDescent="0.45">
      <c r="A877" t="str">
        <f t="shared" si="51"/>
        <v>29801</v>
      </c>
      <c r="B877" t="s">
        <v>2370</v>
      </c>
      <c r="C877" t="str">
        <f>"15206"</f>
        <v>15206</v>
      </c>
      <c r="D877" t="s">
        <v>4959</v>
      </c>
      <c r="E877" t="str">
        <f>"4149"</f>
        <v>4149</v>
      </c>
      <c r="F877" t="s">
        <v>4977</v>
      </c>
      <c r="G877">
        <v>9</v>
      </c>
      <c r="H877">
        <v>12</v>
      </c>
      <c r="I877" t="s">
        <v>4978</v>
      </c>
      <c r="K877" t="s">
        <v>4962</v>
      </c>
      <c r="L877" t="s">
        <v>25</v>
      </c>
      <c r="M877" t="s">
        <v>4979</v>
      </c>
      <c r="N877" t="s">
        <v>4980</v>
      </c>
      <c r="O877" t="s">
        <v>4964</v>
      </c>
      <c r="P877" t="s">
        <v>4965</v>
      </c>
      <c r="Q877" t="s">
        <v>30</v>
      </c>
      <c r="R877" t="s">
        <v>31</v>
      </c>
      <c r="S877" t="s">
        <v>58</v>
      </c>
    </row>
    <row r="878" spans="1:19" x14ac:dyDescent="0.45">
      <c r="A878" t="str">
        <f t="shared" si="51"/>
        <v>29801</v>
      </c>
      <c r="B878" t="s">
        <v>2370</v>
      </c>
      <c r="C878" t="str">
        <f>"15206"</f>
        <v>15206</v>
      </c>
      <c r="D878" t="s">
        <v>4959</v>
      </c>
      <c r="E878" t="str">
        <f>"4321"</f>
        <v>4321</v>
      </c>
      <c r="F878" t="s">
        <v>4981</v>
      </c>
      <c r="G878" t="s">
        <v>70</v>
      </c>
      <c r="H878">
        <v>6</v>
      </c>
      <c r="I878" t="s">
        <v>4982</v>
      </c>
      <c r="K878" t="s">
        <v>4962</v>
      </c>
      <c r="L878" t="s">
        <v>25</v>
      </c>
      <c r="M878" t="s">
        <v>4983</v>
      </c>
      <c r="N878" t="s">
        <v>4984</v>
      </c>
      <c r="O878" t="s">
        <v>4985</v>
      </c>
      <c r="P878" t="s">
        <v>4986</v>
      </c>
      <c r="Q878" t="s">
        <v>30</v>
      </c>
      <c r="R878" t="s">
        <v>31</v>
      </c>
      <c r="S878" t="s">
        <v>32</v>
      </c>
    </row>
    <row r="879" spans="1:19" x14ac:dyDescent="0.45">
      <c r="A879" t="str">
        <f t="shared" ref="A879:A889" si="53">"18801"</f>
        <v>18801</v>
      </c>
      <c r="B879" t="s">
        <v>1731</v>
      </c>
      <c r="C879" t="str">
        <f>"16020"</f>
        <v>16020</v>
      </c>
      <c r="D879" t="s">
        <v>4987</v>
      </c>
      <c r="E879" t="str">
        <f>"2491"</f>
        <v>2491</v>
      </c>
      <c r="F879" t="s">
        <v>4988</v>
      </c>
      <c r="G879" t="s">
        <v>70</v>
      </c>
      <c r="H879">
        <v>8</v>
      </c>
      <c r="I879" t="s">
        <v>4989</v>
      </c>
      <c r="K879" t="s">
        <v>4990</v>
      </c>
      <c r="L879" t="s">
        <v>25</v>
      </c>
      <c r="M879" t="s">
        <v>1855</v>
      </c>
      <c r="N879" t="s">
        <v>4991</v>
      </c>
      <c r="O879" t="s">
        <v>4992</v>
      </c>
      <c r="P879" t="s">
        <v>4993</v>
      </c>
      <c r="Q879" t="s">
        <v>30</v>
      </c>
      <c r="R879" t="s">
        <v>31</v>
      </c>
      <c r="S879" t="s">
        <v>159</v>
      </c>
    </row>
    <row r="880" spans="1:19" x14ac:dyDescent="0.45">
      <c r="A880" t="str">
        <f t="shared" si="53"/>
        <v>18801</v>
      </c>
      <c r="B880" t="s">
        <v>1731</v>
      </c>
      <c r="C880" t="str">
        <f>"16046"</f>
        <v>16046</v>
      </c>
      <c r="D880" t="s">
        <v>4994</v>
      </c>
      <c r="E880" t="str">
        <f>"2836"</f>
        <v>2836</v>
      </c>
      <c r="F880" t="s">
        <v>4995</v>
      </c>
      <c r="G880" t="s">
        <v>22</v>
      </c>
      <c r="H880">
        <v>8</v>
      </c>
      <c r="I880" t="s">
        <v>4996</v>
      </c>
      <c r="K880" t="s">
        <v>4997</v>
      </c>
      <c r="L880" t="s">
        <v>25</v>
      </c>
      <c r="M880">
        <v>98320</v>
      </c>
      <c r="N880" t="s">
        <v>4998</v>
      </c>
      <c r="O880" t="s">
        <v>4999</v>
      </c>
      <c r="P880" t="s">
        <v>5000</v>
      </c>
      <c r="Q880" t="s">
        <v>30</v>
      </c>
      <c r="R880" t="s">
        <v>31</v>
      </c>
      <c r="S880" t="s">
        <v>159</v>
      </c>
    </row>
    <row r="881" spans="1:19" x14ac:dyDescent="0.45">
      <c r="A881" t="str">
        <f t="shared" si="53"/>
        <v>18801</v>
      </c>
      <c r="B881" t="s">
        <v>1731</v>
      </c>
      <c r="C881" t="str">
        <f>"16048"</f>
        <v>16048</v>
      </c>
      <c r="D881" t="s">
        <v>5001</v>
      </c>
      <c r="E881" t="str">
        <f>"2474"</f>
        <v>2474</v>
      </c>
      <c r="F881" t="s">
        <v>5002</v>
      </c>
      <c r="G881" t="s">
        <v>22</v>
      </c>
      <c r="H881">
        <v>12</v>
      </c>
      <c r="I881" t="s">
        <v>5003</v>
      </c>
      <c r="K881" t="s">
        <v>5004</v>
      </c>
      <c r="L881" t="s">
        <v>25</v>
      </c>
      <c r="M881" t="s">
        <v>5005</v>
      </c>
      <c r="N881" t="s">
        <v>5006</v>
      </c>
      <c r="O881" t="s">
        <v>5007</v>
      </c>
      <c r="P881" t="s">
        <v>5008</v>
      </c>
      <c r="Q881" t="s">
        <v>30</v>
      </c>
      <c r="R881" t="s">
        <v>31</v>
      </c>
      <c r="S881" t="s">
        <v>68</v>
      </c>
    </row>
    <row r="882" spans="1:19" x14ac:dyDescent="0.45">
      <c r="A882" t="str">
        <f t="shared" si="53"/>
        <v>18801</v>
      </c>
      <c r="B882" t="s">
        <v>1731</v>
      </c>
      <c r="C882" t="str">
        <f>"16049"</f>
        <v>16049</v>
      </c>
      <c r="D882" t="s">
        <v>2782</v>
      </c>
      <c r="E882" t="str">
        <f>"1724"</f>
        <v>1724</v>
      </c>
      <c r="F882" t="s">
        <v>5009</v>
      </c>
      <c r="G882" t="s">
        <v>70</v>
      </c>
      <c r="H882">
        <v>12</v>
      </c>
      <c r="I882" t="s">
        <v>2784</v>
      </c>
      <c r="K882" t="s">
        <v>2785</v>
      </c>
      <c r="L882" t="s">
        <v>25</v>
      </c>
      <c r="M882" t="s">
        <v>5010</v>
      </c>
      <c r="N882" t="s">
        <v>5011</v>
      </c>
      <c r="O882" t="s">
        <v>5012</v>
      </c>
      <c r="P882" t="s">
        <v>5013</v>
      </c>
      <c r="Q882" t="s">
        <v>157</v>
      </c>
      <c r="R882" t="s">
        <v>158</v>
      </c>
      <c r="S882" t="s">
        <v>330</v>
      </c>
    </row>
    <row r="883" spans="1:19" x14ac:dyDescent="0.45">
      <c r="A883" t="str">
        <f t="shared" si="53"/>
        <v>18801</v>
      </c>
      <c r="B883" t="s">
        <v>1731</v>
      </c>
      <c r="C883" t="str">
        <f>"16049"</f>
        <v>16049</v>
      </c>
      <c r="D883" t="s">
        <v>2782</v>
      </c>
      <c r="E883" t="str">
        <f>"2697"</f>
        <v>2697</v>
      </c>
      <c r="F883" t="s">
        <v>5014</v>
      </c>
      <c r="G883">
        <v>3</v>
      </c>
      <c r="H883">
        <v>6</v>
      </c>
      <c r="I883" t="s">
        <v>2784</v>
      </c>
      <c r="K883" t="s">
        <v>2785</v>
      </c>
      <c r="L883" t="s">
        <v>25</v>
      </c>
      <c r="M883" t="s">
        <v>5010</v>
      </c>
      <c r="N883" t="s">
        <v>5011</v>
      </c>
      <c r="O883" t="s">
        <v>5012</v>
      </c>
      <c r="P883" t="s">
        <v>5013</v>
      </c>
      <c r="Q883" t="s">
        <v>30</v>
      </c>
      <c r="R883" t="s">
        <v>31</v>
      </c>
      <c r="S883" t="s">
        <v>32</v>
      </c>
    </row>
    <row r="884" spans="1:19" x14ac:dyDescent="0.45">
      <c r="A884" t="str">
        <f t="shared" si="53"/>
        <v>18801</v>
      </c>
      <c r="B884" t="s">
        <v>1731</v>
      </c>
      <c r="C884" t="str">
        <f>"16049"</f>
        <v>16049</v>
      </c>
      <c r="D884" t="s">
        <v>2782</v>
      </c>
      <c r="E884" t="str">
        <f>"3275"</f>
        <v>3275</v>
      </c>
      <c r="F884" t="s">
        <v>5015</v>
      </c>
      <c r="G884">
        <v>7</v>
      </c>
      <c r="H884">
        <v>12</v>
      </c>
      <c r="I884" t="s">
        <v>2784</v>
      </c>
      <c r="K884" t="s">
        <v>2785</v>
      </c>
      <c r="L884" t="s">
        <v>25</v>
      </c>
      <c r="M884" t="s">
        <v>5010</v>
      </c>
      <c r="N884" t="s">
        <v>2786</v>
      </c>
      <c r="O884" t="s">
        <v>2787</v>
      </c>
      <c r="P884" t="s">
        <v>2788</v>
      </c>
      <c r="Q884" t="s">
        <v>30</v>
      </c>
      <c r="R884" t="s">
        <v>31</v>
      </c>
      <c r="S884" t="s">
        <v>159</v>
      </c>
    </row>
    <row r="885" spans="1:19" x14ac:dyDescent="0.45">
      <c r="A885" t="str">
        <f t="shared" si="53"/>
        <v>18801</v>
      </c>
      <c r="B885" t="s">
        <v>1731</v>
      </c>
      <c r="C885" t="str">
        <f>"16049"</f>
        <v>16049</v>
      </c>
      <c r="D885" t="s">
        <v>2782</v>
      </c>
      <c r="E885" t="str">
        <f>"4552"</f>
        <v>4552</v>
      </c>
      <c r="F885" t="s">
        <v>5016</v>
      </c>
      <c r="G885" t="s">
        <v>22</v>
      </c>
      <c r="H885">
        <v>2</v>
      </c>
      <c r="I885" t="s">
        <v>2784</v>
      </c>
      <c r="K885" t="s">
        <v>2785</v>
      </c>
      <c r="L885" t="s">
        <v>25</v>
      </c>
      <c r="M885" t="s">
        <v>5010</v>
      </c>
      <c r="N885" t="s">
        <v>5017</v>
      </c>
      <c r="O885" t="s">
        <v>5018</v>
      </c>
      <c r="P885" t="s">
        <v>5019</v>
      </c>
      <c r="Q885" t="s">
        <v>30</v>
      </c>
      <c r="R885" t="s">
        <v>31</v>
      </c>
      <c r="S885" t="s">
        <v>32</v>
      </c>
    </row>
    <row r="886" spans="1:19" x14ac:dyDescent="0.45">
      <c r="A886" t="str">
        <f t="shared" si="53"/>
        <v>18801</v>
      </c>
      <c r="B886" t="s">
        <v>1731</v>
      </c>
      <c r="C886" t="str">
        <f>"16050"</f>
        <v>16050</v>
      </c>
      <c r="D886" t="s">
        <v>5020</v>
      </c>
      <c r="E886" t="str">
        <f>"1798"</f>
        <v>1798</v>
      </c>
      <c r="F886" t="s">
        <v>5021</v>
      </c>
      <c r="G886" t="s">
        <v>70</v>
      </c>
      <c r="H886">
        <v>12</v>
      </c>
      <c r="I886" t="s">
        <v>5022</v>
      </c>
      <c r="K886" t="s">
        <v>5023</v>
      </c>
      <c r="L886" t="s">
        <v>25</v>
      </c>
      <c r="M886" t="s">
        <v>5024</v>
      </c>
      <c r="N886" t="s">
        <v>5025</v>
      </c>
      <c r="O886" t="s">
        <v>5026</v>
      </c>
      <c r="P886" t="s">
        <v>5027</v>
      </c>
      <c r="Q886" t="s">
        <v>157</v>
      </c>
      <c r="R886" t="s">
        <v>158</v>
      </c>
      <c r="S886" t="s">
        <v>330</v>
      </c>
    </row>
    <row r="887" spans="1:19" x14ac:dyDescent="0.45">
      <c r="A887" t="str">
        <f t="shared" si="53"/>
        <v>18801</v>
      </c>
      <c r="B887" t="s">
        <v>1731</v>
      </c>
      <c r="C887" t="str">
        <f>"16050"</f>
        <v>16050</v>
      </c>
      <c r="D887" t="s">
        <v>5020</v>
      </c>
      <c r="E887" t="str">
        <f>"2503"</f>
        <v>2503</v>
      </c>
      <c r="F887" t="s">
        <v>5028</v>
      </c>
      <c r="G887">
        <v>9</v>
      </c>
      <c r="H887">
        <v>12</v>
      </c>
      <c r="I887" t="s">
        <v>5029</v>
      </c>
      <c r="K887" t="s">
        <v>5023</v>
      </c>
      <c r="L887" t="s">
        <v>25</v>
      </c>
      <c r="M887" t="s">
        <v>5030</v>
      </c>
      <c r="N887" t="s">
        <v>5031</v>
      </c>
      <c r="O887" t="s">
        <v>5032</v>
      </c>
      <c r="P887" t="s">
        <v>5033</v>
      </c>
      <c r="Q887" t="s">
        <v>30</v>
      </c>
      <c r="R887" t="s">
        <v>31</v>
      </c>
      <c r="S887" t="s">
        <v>58</v>
      </c>
    </row>
    <row r="888" spans="1:19" x14ac:dyDescent="0.45">
      <c r="A888" t="str">
        <f t="shared" si="53"/>
        <v>18801</v>
      </c>
      <c r="B888" t="s">
        <v>1731</v>
      </c>
      <c r="C888" t="str">
        <f>"16050"</f>
        <v>16050</v>
      </c>
      <c r="D888" t="s">
        <v>5020</v>
      </c>
      <c r="E888" t="str">
        <f>"3094"</f>
        <v>3094</v>
      </c>
      <c r="F888" t="s">
        <v>5034</v>
      </c>
      <c r="G888" t="s">
        <v>22</v>
      </c>
      <c r="H888">
        <v>5</v>
      </c>
      <c r="I888" t="s">
        <v>5035</v>
      </c>
      <c r="K888" t="s">
        <v>5023</v>
      </c>
      <c r="L888" t="s">
        <v>25</v>
      </c>
      <c r="M888" t="s">
        <v>5024</v>
      </c>
      <c r="N888" t="s">
        <v>5036</v>
      </c>
      <c r="O888" t="s">
        <v>5037</v>
      </c>
      <c r="P888" t="s">
        <v>5038</v>
      </c>
      <c r="Q888" t="s">
        <v>30</v>
      </c>
      <c r="R888" t="s">
        <v>31</v>
      </c>
      <c r="S888" t="s">
        <v>32</v>
      </c>
    </row>
    <row r="889" spans="1:19" x14ac:dyDescent="0.45">
      <c r="A889" t="str">
        <f t="shared" si="53"/>
        <v>18801</v>
      </c>
      <c r="B889" t="s">
        <v>1731</v>
      </c>
      <c r="C889" t="str">
        <f>"16050"</f>
        <v>16050</v>
      </c>
      <c r="D889" t="s">
        <v>5020</v>
      </c>
      <c r="E889" t="str">
        <f>"4475"</f>
        <v>4475</v>
      </c>
      <c r="F889" t="s">
        <v>5039</v>
      </c>
      <c r="G889">
        <v>6</v>
      </c>
      <c r="H889">
        <v>8</v>
      </c>
      <c r="I889" t="s">
        <v>5040</v>
      </c>
      <c r="K889" t="s">
        <v>5023</v>
      </c>
      <c r="L889" t="s">
        <v>25</v>
      </c>
      <c r="M889" t="s">
        <v>5041</v>
      </c>
      <c r="N889" t="s">
        <v>5025</v>
      </c>
      <c r="O889" t="s">
        <v>5026</v>
      </c>
      <c r="P889" t="s">
        <v>5027</v>
      </c>
      <c r="Q889" t="s">
        <v>30</v>
      </c>
      <c r="R889" t="s">
        <v>31</v>
      </c>
      <c r="S889" t="s">
        <v>104</v>
      </c>
    </row>
    <row r="890" spans="1:19" x14ac:dyDescent="0.45">
      <c r="A890" t="str">
        <f t="shared" ref="A890:A953" si="54">"17801"</f>
        <v>17801</v>
      </c>
      <c r="B890" t="s">
        <v>19</v>
      </c>
      <c r="C890" t="str">
        <f t="shared" ref="C890:C921" si="55">"17001"</f>
        <v>17001</v>
      </c>
      <c r="D890" t="s">
        <v>2209</v>
      </c>
      <c r="E890" t="str">
        <f>"1547"</f>
        <v>1547</v>
      </c>
      <c r="F890" t="s">
        <v>5042</v>
      </c>
      <c r="G890">
        <v>9</v>
      </c>
      <c r="H890">
        <v>12</v>
      </c>
      <c r="I890" t="s">
        <v>5043</v>
      </c>
      <c r="J890" t="s">
        <v>5044</v>
      </c>
      <c r="K890" t="s">
        <v>5045</v>
      </c>
      <c r="L890" t="s">
        <v>25</v>
      </c>
      <c r="M890">
        <v>98125</v>
      </c>
      <c r="N890" t="s">
        <v>5046</v>
      </c>
      <c r="O890" t="s">
        <v>5047</v>
      </c>
      <c r="P890" t="s">
        <v>5048</v>
      </c>
      <c r="Q890" t="s">
        <v>30</v>
      </c>
      <c r="R890" t="s">
        <v>31</v>
      </c>
      <c r="S890" t="s">
        <v>58</v>
      </c>
    </row>
    <row r="891" spans="1:19" x14ac:dyDescent="0.45">
      <c r="A891" t="str">
        <f t="shared" si="54"/>
        <v>17801</v>
      </c>
      <c r="B891" t="s">
        <v>19</v>
      </c>
      <c r="C891" t="str">
        <f t="shared" si="55"/>
        <v>17001</v>
      </c>
      <c r="D891" t="s">
        <v>2209</v>
      </c>
      <c r="E891" t="str">
        <f>"1579"</f>
        <v>1579</v>
      </c>
      <c r="F891" t="s">
        <v>5049</v>
      </c>
      <c r="G891" t="s">
        <v>22</v>
      </c>
      <c r="H891">
        <v>8</v>
      </c>
      <c r="I891" t="s">
        <v>5050</v>
      </c>
      <c r="K891" t="s">
        <v>5045</v>
      </c>
      <c r="L891" t="s">
        <v>25</v>
      </c>
      <c r="M891" t="s">
        <v>5051</v>
      </c>
      <c r="N891" t="s">
        <v>5052</v>
      </c>
      <c r="O891" t="s">
        <v>5053</v>
      </c>
      <c r="P891" t="s">
        <v>5054</v>
      </c>
      <c r="Q891" t="s">
        <v>157</v>
      </c>
      <c r="R891" t="s">
        <v>158</v>
      </c>
      <c r="S891" t="s">
        <v>159</v>
      </c>
    </row>
    <row r="892" spans="1:19" x14ac:dyDescent="0.45">
      <c r="A892" t="str">
        <f t="shared" si="54"/>
        <v>17801</v>
      </c>
      <c r="B892" t="s">
        <v>19</v>
      </c>
      <c r="C892" t="str">
        <f t="shared" si="55"/>
        <v>17001</v>
      </c>
      <c r="D892" t="s">
        <v>2209</v>
      </c>
      <c r="E892" t="str">
        <f>"1596"</f>
        <v>1596</v>
      </c>
      <c r="F892" t="s">
        <v>5055</v>
      </c>
      <c r="G892">
        <v>6</v>
      </c>
      <c r="H892">
        <v>12</v>
      </c>
      <c r="I892" t="s">
        <v>5056</v>
      </c>
      <c r="K892" t="s">
        <v>5045</v>
      </c>
      <c r="L892" t="s">
        <v>25</v>
      </c>
      <c r="M892">
        <v>98122</v>
      </c>
      <c r="N892" t="s">
        <v>5057</v>
      </c>
      <c r="O892" t="s">
        <v>5058</v>
      </c>
      <c r="P892" t="s">
        <v>5059</v>
      </c>
      <c r="Q892" t="s">
        <v>157</v>
      </c>
      <c r="R892" t="s">
        <v>158</v>
      </c>
      <c r="S892" t="s">
        <v>159</v>
      </c>
    </row>
    <row r="893" spans="1:19" x14ac:dyDescent="0.45">
      <c r="A893" t="str">
        <f t="shared" si="54"/>
        <v>17801</v>
      </c>
      <c r="B893" t="s">
        <v>19</v>
      </c>
      <c r="C893" t="str">
        <f t="shared" si="55"/>
        <v>17001</v>
      </c>
      <c r="D893" t="s">
        <v>2209</v>
      </c>
      <c r="E893" t="str">
        <f>"1620"</f>
        <v>1620</v>
      </c>
      <c r="F893" t="s">
        <v>5060</v>
      </c>
      <c r="G893" t="s">
        <v>70</v>
      </c>
      <c r="H893">
        <v>8</v>
      </c>
      <c r="I893" t="s">
        <v>5061</v>
      </c>
      <c r="K893" t="s">
        <v>5045</v>
      </c>
      <c r="L893" t="s">
        <v>25</v>
      </c>
      <c r="M893" t="s">
        <v>5062</v>
      </c>
      <c r="N893" t="s">
        <v>5063</v>
      </c>
      <c r="O893" t="s">
        <v>5064</v>
      </c>
      <c r="P893" t="s">
        <v>5065</v>
      </c>
      <c r="Q893" t="s">
        <v>157</v>
      </c>
      <c r="R893" t="s">
        <v>158</v>
      </c>
      <c r="S893" t="s">
        <v>159</v>
      </c>
    </row>
    <row r="894" spans="1:19" x14ac:dyDescent="0.45">
      <c r="A894" t="str">
        <f t="shared" si="54"/>
        <v>17801</v>
      </c>
      <c r="B894" t="s">
        <v>19</v>
      </c>
      <c r="C894" t="str">
        <f t="shared" si="55"/>
        <v>17001</v>
      </c>
      <c r="D894" t="s">
        <v>2209</v>
      </c>
      <c r="E894" t="str">
        <f>"1635"</f>
        <v>1635</v>
      </c>
      <c r="F894" t="s">
        <v>5066</v>
      </c>
      <c r="G894">
        <v>6</v>
      </c>
      <c r="H894">
        <v>12</v>
      </c>
      <c r="I894" t="s">
        <v>5067</v>
      </c>
      <c r="J894" t="s">
        <v>5068</v>
      </c>
      <c r="K894" t="s">
        <v>5045</v>
      </c>
      <c r="L894" t="s">
        <v>25</v>
      </c>
      <c r="M894" t="s">
        <v>5069</v>
      </c>
      <c r="N894" t="s">
        <v>2753</v>
      </c>
      <c r="O894" t="s">
        <v>2754</v>
      </c>
      <c r="P894" t="s">
        <v>2755</v>
      </c>
      <c r="Q894" t="s">
        <v>157</v>
      </c>
      <c r="R894" t="s">
        <v>158</v>
      </c>
      <c r="S894" t="s">
        <v>159</v>
      </c>
    </row>
    <row r="895" spans="1:19" x14ac:dyDescent="0.45">
      <c r="A895" t="str">
        <f t="shared" si="54"/>
        <v>17801</v>
      </c>
      <c r="B895" t="s">
        <v>19</v>
      </c>
      <c r="C895" t="str">
        <f t="shared" si="55"/>
        <v>17001</v>
      </c>
      <c r="D895" t="s">
        <v>2209</v>
      </c>
      <c r="E895" t="str">
        <f>"1751"</f>
        <v>1751</v>
      </c>
      <c r="F895" t="s">
        <v>5070</v>
      </c>
      <c r="G895" t="s">
        <v>70</v>
      </c>
      <c r="H895">
        <v>12</v>
      </c>
      <c r="I895" t="s">
        <v>5071</v>
      </c>
      <c r="K895" t="s">
        <v>5045</v>
      </c>
      <c r="L895" t="s">
        <v>25</v>
      </c>
      <c r="M895">
        <v>98119</v>
      </c>
      <c r="N895" t="s">
        <v>5072</v>
      </c>
      <c r="O895" t="s">
        <v>5073</v>
      </c>
      <c r="P895" t="s">
        <v>5074</v>
      </c>
      <c r="Q895" t="s">
        <v>157</v>
      </c>
      <c r="R895" t="s">
        <v>158</v>
      </c>
      <c r="S895" t="s">
        <v>330</v>
      </c>
    </row>
    <row r="896" spans="1:19" x14ac:dyDescent="0.45">
      <c r="A896" t="str">
        <f t="shared" si="54"/>
        <v>17801</v>
      </c>
      <c r="B896" t="s">
        <v>19</v>
      </c>
      <c r="C896" t="str">
        <f t="shared" si="55"/>
        <v>17001</v>
      </c>
      <c r="D896" t="s">
        <v>2209</v>
      </c>
      <c r="E896" t="str">
        <f>"1796"</f>
        <v>1796</v>
      </c>
      <c r="F896" t="s">
        <v>5075</v>
      </c>
      <c r="G896" t="s">
        <v>70</v>
      </c>
      <c r="H896">
        <v>8</v>
      </c>
      <c r="I896" t="s">
        <v>5076</v>
      </c>
      <c r="K896" t="s">
        <v>5045</v>
      </c>
      <c r="L896" t="s">
        <v>25</v>
      </c>
      <c r="M896" t="s">
        <v>5077</v>
      </c>
      <c r="N896" t="s">
        <v>5078</v>
      </c>
      <c r="O896" t="s">
        <v>5079</v>
      </c>
      <c r="P896" t="s">
        <v>5080</v>
      </c>
      <c r="Q896" t="s">
        <v>157</v>
      </c>
      <c r="R896" t="s">
        <v>158</v>
      </c>
      <c r="S896" t="s">
        <v>159</v>
      </c>
    </row>
    <row r="897" spans="1:19" x14ac:dyDescent="0.45">
      <c r="A897" t="str">
        <f t="shared" si="54"/>
        <v>17801</v>
      </c>
      <c r="B897" t="s">
        <v>19</v>
      </c>
      <c r="C897" t="str">
        <f t="shared" si="55"/>
        <v>17001</v>
      </c>
      <c r="D897" t="s">
        <v>2209</v>
      </c>
      <c r="E897" t="str">
        <f>"1856"</f>
        <v>1856</v>
      </c>
      <c r="F897" t="s">
        <v>5081</v>
      </c>
      <c r="G897">
        <v>9</v>
      </c>
      <c r="H897">
        <v>12</v>
      </c>
      <c r="I897" t="s">
        <v>5082</v>
      </c>
      <c r="K897" t="s">
        <v>5045</v>
      </c>
      <c r="L897" t="s">
        <v>25</v>
      </c>
      <c r="M897" t="s">
        <v>5083</v>
      </c>
      <c r="N897" t="s">
        <v>5084</v>
      </c>
      <c r="O897" t="s">
        <v>5085</v>
      </c>
      <c r="P897" t="s">
        <v>5086</v>
      </c>
      <c r="Q897" t="s">
        <v>30</v>
      </c>
      <c r="R897" t="s">
        <v>31</v>
      </c>
      <c r="S897" t="s">
        <v>58</v>
      </c>
    </row>
    <row r="898" spans="1:19" x14ac:dyDescent="0.45">
      <c r="A898" t="str">
        <f t="shared" si="54"/>
        <v>17801</v>
      </c>
      <c r="B898" t="s">
        <v>19</v>
      </c>
      <c r="C898" t="str">
        <f t="shared" si="55"/>
        <v>17001</v>
      </c>
      <c r="D898" t="s">
        <v>2209</v>
      </c>
      <c r="E898" t="str">
        <f>"2061"</f>
        <v>2061</v>
      </c>
      <c r="F898" t="s">
        <v>5087</v>
      </c>
      <c r="G898" t="s">
        <v>22</v>
      </c>
      <c r="H898">
        <v>5</v>
      </c>
      <c r="I898" t="s">
        <v>5088</v>
      </c>
      <c r="K898" t="s">
        <v>5045</v>
      </c>
      <c r="L898" t="s">
        <v>25</v>
      </c>
      <c r="M898" t="s">
        <v>5089</v>
      </c>
      <c r="N898" t="s">
        <v>5090</v>
      </c>
      <c r="O898" t="s">
        <v>5091</v>
      </c>
      <c r="P898" t="s">
        <v>5092</v>
      </c>
      <c r="Q898" t="s">
        <v>30</v>
      </c>
      <c r="R898" t="s">
        <v>31</v>
      </c>
      <c r="S898" t="s">
        <v>32</v>
      </c>
    </row>
    <row r="899" spans="1:19" x14ac:dyDescent="0.45">
      <c r="A899" t="str">
        <f t="shared" si="54"/>
        <v>17801</v>
      </c>
      <c r="B899" t="s">
        <v>19</v>
      </c>
      <c r="C899" t="str">
        <f t="shared" si="55"/>
        <v>17001</v>
      </c>
      <c r="D899" t="s">
        <v>2209</v>
      </c>
      <c r="E899" t="str">
        <f>"2063"</f>
        <v>2063</v>
      </c>
      <c r="F899" t="s">
        <v>5093</v>
      </c>
      <c r="G899" t="s">
        <v>70</v>
      </c>
      <c r="H899">
        <v>5</v>
      </c>
      <c r="I899" t="s">
        <v>5094</v>
      </c>
      <c r="K899" t="s">
        <v>5045</v>
      </c>
      <c r="L899" t="s">
        <v>25</v>
      </c>
      <c r="M899" t="s">
        <v>5095</v>
      </c>
      <c r="N899" t="s">
        <v>5096</v>
      </c>
      <c r="O899" t="s">
        <v>5097</v>
      </c>
      <c r="P899" t="s">
        <v>5098</v>
      </c>
      <c r="Q899" t="s">
        <v>30</v>
      </c>
      <c r="R899" t="s">
        <v>31</v>
      </c>
      <c r="S899" t="s">
        <v>32</v>
      </c>
    </row>
    <row r="900" spans="1:19" x14ac:dyDescent="0.45">
      <c r="A900" t="str">
        <f t="shared" si="54"/>
        <v>17801</v>
      </c>
      <c r="B900" t="s">
        <v>19</v>
      </c>
      <c r="C900" t="str">
        <f t="shared" si="55"/>
        <v>17001</v>
      </c>
      <c r="D900" t="s">
        <v>2209</v>
      </c>
      <c r="E900" t="str">
        <f>"2069"</f>
        <v>2069</v>
      </c>
      <c r="F900" t="s">
        <v>5099</v>
      </c>
      <c r="G900" t="s">
        <v>70</v>
      </c>
      <c r="H900">
        <v>5</v>
      </c>
      <c r="I900" t="s">
        <v>5100</v>
      </c>
      <c r="K900" t="s">
        <v>5045</v>
      </c>
      <c r="L900" t="s">
        <v>25</v>
      </c>
      <c r="M900" t="s">
        <v>5101</v>
      </c>
      <c r="N900" t="s">
        <v>5102</v>
      </c>
      <c r="O900" t="s">
        <v>5103</v>
      </c>
      <c r="P900" t="s">
        <v>5104</v>
      </c>
      <c r="Q900" t="s">
        <v>30</v>
      </c>
      <c r="R900" t="s">
        <v>31</v>
      </c>
      <c r="S900" t="s">
        <v>159</v>
      </c>
    </row>
    <row r="901" spans="1:19" x14ac:dyDescent="0.45">
      <c r="A901" t="str">
        <f t="shared" si="54"/>
        <v>17801</v>
      </c>
      <c r="B901" t="s">
        <v>19</v>
      </c>
      <c r="C901" t="str">
        <f t="shared" si="55"/>
        <v>17001</v>
      </c>
      <c r="D901" t="s">
        <v>2209</v>
      </c>
      <c r="E901" t="str">
        <f>"2070"</f>
        <v>2070</v>
      </c>
      <c r="F901" t="s">
        <v>5105</v>
      </c>
      <c r="G901" t="s">
        <v>70</v>
      </c>
      <c r="H901">
        <v>5</v>
      </c>
      <c r="I901" t="s">
        <v>5106</v>
      </c>
      <c r="K901" t="s">
        <v>5045</v>
      </c>
      <c r="L901" t="s">
        <v>25</v>
      </c>
      <c r="M901" t="s">
        <v>5107</v>
      </c>
      <c r="N901" t="s">
        <v>5108</v>
      </c>
      <c r="O901" t="s">
        <v>5109</v>
      </c>
      <c r="P901" t="s">
        <v>5110</v>
      </c>
      <c r="Q901" t="s">
        <v>30</v>
      </c>
      <c r="R901" t="s">
        <v>31</v>
      </c>
      <c r="S901" t="s">
        <v>32</v>
      </c>
    </row>
    <row r="902" spans="1:19" x14ac:dyDescent="0.45">
      <c r="A902" t="str">
        <f t="shared" si="54"/>
        <v>17801</v>
      </c>
      <c r="B902" t="s">
        <v>19</v>
      </c>
      <c r="C902" t="str">
        <f t="shared" si="55"/>
        <v>17001</v>
      </c>
      <c r="D902" t="s">
        <v>2209</v>
      </c>
      <c r="E902" t="str">
        <f>"2080"</f>
        <v>2080</v>
      </c>
      <c r="F902" t="s">
        <v>4711</v>
      </c>
      <c r="G902" t="s">
        <v>70</v>
      </c>
      <c r="H902">
        <v>5</v>
      </c>
      <c r="I902" t="s">
        <v>5111</v>
      </c>
      <c r="K902" t="s">
        <v>5045</v>
      </c>
      <c r="L902" t="s">
        <v>25</v>
      </c>
      <c r="M902" t="s">
        <v>5112</v>
      </c>
      <c r="N902" t="s">
        <v>5113</v>
      </c>
      <c r="O902" t="s">
        <v>5114</v>
      </c>
      <c r="P902" t="s">
        <v>5115</v>
      </c>
      <c r="Q902" t="s">
        <v>30</v>
      </c>
      <c r="R902" t="s">
        <v>31</v>
      </c>
      <c r="S902" t="s">
        <v>32</v>
      </c>
    </row>
    <row r="903" spans="1:19" x14ac:dyDescent="0.45">
      <c r="A903" t="str">
        <f t="shared" si="54"/>
        <v>17801</v>
      </c>
      <c r="B903" t="s">
        <v>19</v>
      </c>
      <c r="C903" t="str">
        <f t="shared" si="55"/>
        <v>17001</v>
      </c>
      <c r="D903" t="s">
        <v>2209</v>
      </c>
      <c r="E903" t="str">
        <f>"2081"</f>
        <v>2081</v>
      </c>
      <c r="F903" t="s">
        <v>5116</v>
      </c>
      <c r="G903" t="s">
        <v>70</v>
      </c>
      <c r="H903">
        <v>5</v>
      </c>
      <c r="I903" t="s">
        <v>5117</v>
      </c>
      <c r="K903" t="s">
        <v>5045</v>
      </c>
      <c r="L903" t="s">
        <v>25</v>
      </c>
      <c r="M903" t="s">
        <v>5118</v>
      </c>
      <c r="N903" t="s">
        <v>5119</v>
      </c>
      <c r="O903" t="s">
        <v>5120</v>
      </c>
      <c r="P903" t="s">
        <v>5121</v>
      </c>
      <c r="Q903" t="s">
        <v>30</v>
      </c>
      <c r="R903" t="s">
        <v>31</v>
      </c>
      <c r="S903" t="s">
        <v>32</v>
      </c>
    </row>
    <row r="904" spans="1:19" x14ac:dyDescent="0.45">
      <c r="A904" t="str">
        <f t="shared" si="54"/>
        <v>17801</v>
      </c>
      <c r="B904" t="s">
        <v>19</v>
      </c>
      <c r="C904" t="str">
        <f t="shared" si="55"/>
        <v>17001</v>
      </c>
      <c r="D904" t="s">
        <v>2209</v>
      </c>
      <c r="E904" t="str">
        <f>"2089"</f>
        <v>2089</v>
      </c>
      <c r="F904" t="s">
        <v>5122</v>
      </c>
      <c r="G904" t="s">
        <v>22</v>
      </c>
      <c r="H904">
        <v>5</v>
      </c>
      <c r="I904" t="s">
        <v>5123</v>
      </c>
      <c r="K904" t="s">
        <v>5045</v>
      </c>
      <c r="L904" t="s">
        <v>25</v>
      </c>
      <c r="M904">
        <v>98118</v>
      </c>
      <c r="N904" t="s">
        <v>5124</v>
      </c>
      <c r="O904" t="s">
        <v>5125</v>
      </c>
      <c r="P904" t="s">
        <v>5126</v>
      </c>
      <c r="Q904" t="s">
        <v>30</v>
      </c>
      <c r="R904" t="s">
        <v>31</v>
      </c>
      <c r="S904" t="s">
        <v>32</v>
      </c>
    </row>
    <row r="905" spans="1:19" x14ac:dyDescent="0.45">
      <c r="A905" t="str">
        <f t="shared" si="54"/>
        <v>17801</v>
      </c>
      <c r="B905" t="s">
        <v>19</v>
      </c>
      <c r="C905" t="str">
        <f t="shared" si="55"/>
        <v>17001</v>
      </c>
      <c r="D905" t="s">
        <v>2209</v>
      </c>
      <c r="E905" t="str">
        <f>"2090"</f>
        <v>2090</v>
      </c>
      <c r="F905" t="s">
        <v>5127</v>
      </c>
      <c r="G905" t="s">
        <v>70</v>
      </c>
      <c r="H905">
        <v>5</v>
      </c>
      <c r="I905" t="s">
        <v>5128</v>
      </c>
      <c r="K905" t="s">
        <v>5045</v>
      </c>
      <c r="L905" t="s">
        <v>25</v>
      </c>
      <c r="M905" t="s">
        <v>5129</v>
      </c>
      <c r="N905" t="s">
        <v>5130</v>
      </c>
      <c r="O905" t="s">
        <v>5131</v>
      </c>
      <c r="P905" t="s">
        <v>5132</v>
      </c>
      <c r="Q905" t="s">
        <v>30</v>
      </c>
      <c r="R905" t="s">
        <v>31</v>
      </c>
      <c r="S905" t="s">
        <v>32</v>
      </c>
    </row>
    <row r="906" spans="1:19" x14ac:dyDescent="0.45">
      <c r="A906" t="str">
        <f t="shared" si="54"/>
        <v>17801</v>
      </c>
      <c r="B906" t="s">
        <v>19</v>
      </c>
      <c r="C906" t="str">
        <f t="shared" si="55"/>
        <v>17001</v>
      </c>
      <c r="D906" t="s">
        <v>2209</v>
      </c>
      <c r="E906" t="str">
        <f>"2092"</f>
        <v>2092</v>
      </c>
      <c r="F906" t="s">
        <v>5133</v>
      </c>
      <c r="G906" t="s">
        <v>70</v>
      </c>
      <c r="H906">
        <v>5</v>
      </c>
      <c r="I906" t="s">
        <v>5134</v>
      </c>
      <c r="K906" t="s">
        <v>5045</v>
      </c>
      <c r="L906" t="s">
        <v>25</v>
      </c>
      <c r="M906" t="s">
        <v>5135</v>
      </c>
      <c r="N906" t="s">
        <v>5136</v>
      </c>
      <c r="O906" t="s">
        <v>5137</v>
      </c>
      <c r="P906" t="s">
        <v>5138</v>
      </c>
      <c r="Q906" t="s">
        <v>30</v>
      </c>
      <c r="R906" t="s">
        <v>31</v>
      </c>
      <c r="S906" t="s">
        <v>32</v>
      </c>
    </row>
    <row r="907" spans="1:19" x14ac:dyDescent="0.45">
      <c r="A907" t="str">
        <f t="shared" si="54"/>
        <v>17801</v>
      </c>
      <c r="B907" t="s">
        <v>19</v>
      </c>
      <c r="C907" t="str">
        <f t="shared" si="55"/>
        <v>17001</v>
      </c>
      <c r="D907" t="s">
        <v>2209</v>
      </c>
      <c r="E907" t="str">
        <f>"2118"</f>
        <v>2118</v>
      </c>
      <c r="F907" t="s">
        <v>5139</v>
      </c>
      <c r="G907" t="s">
        <v>22</v>
      </c>
      <c r="H907">
        <v>5</v>
      </c>
      <c r="I907" t="s">
        <v>5140</v>
      </c>
      <c r="K907" t="s">
        <v>5045</v>
      </c>
      <c r="L907" t="s">
        <v>25</v>
      </c>
      <c r="M907" t="s">
        <v>5141</v>
      </c>
      <c r="N907" t="s">
        <v>5142</v>
      </c>
      <c r="O907" t="s">
        <v>5143</v>
      </c>
      <c r="P907" t="s">
        <v>5144</v>
      </c>
      <c r="Q907" t="s">
        <v>30</v>
      </c>
      <c r="R907" t="s">
        <v>31</v>
      </c>
      <c r="S907" t="s">
        <v>32</v>
      </c>
    </row>
    <row r="908" spans="1:19" x14ac:dyDescent="0.45">
      <c r="A908" t="str">
        <f t="shared" si="54"/>
        <v>17801</v>
      </c>
      <c r="B908" t="s">
        <v>19</v>
      </c>
      <c r="C908" t="str">
        <f t="shared" si="55"/>
        <v>17001</v>
      </c>
      <c r="D908" t="s">
        <v>2209</v>
      </c>
      <c r="E908" t="str">
        <f>"2120"</f>
        <v>2120</v>
      </c>
      <c r="F908" t="s">
        <v>5145</v>
      </c>
      <c r="G908" t="s">
        <v>22</v>
      </c>
      <c r="H908">
        <v>5</v>
      </c>
      <c r="I908" t="s">
        <v>5146</v>
      </c>
      <c r="K908" t="s">
        <v>5045</v>
      </c>
      <c r="L908" t="s">
        <v>25</v>
      </c>
      <c r="M908" t="s">
        <v>5147</v>
      </c>
      <c r="N908" t="s">
        <v>5148</v>
      </c>
      <c r="O908" t="s">
        <v>5149</v>
      </c>
      <c r="P908" t="s">
        <v>5150</v>
      </c>
      <c r="Q908" t="s">
        <v>30</v>
      </c>
      <c r="R908" t="s">
        <v>31</v>
      </c>
      <c r="S908" t="s">
        <v>32</v>
      </c>
    </row>
    <row r="909" spans="1:19" x14ac:dyDescent="0.45">
      <c r="A909" t="str">
        <f t="shared" si="54"/>
        <v>17801</v>
      </c>
      <c r="B909" t="s">
        <v>19</v>
      </c>
      <c r="C909" t="str">
        <f t="shared" si="55"/>
        <v>17001</v>
      </c>
      <c r="D909" t="s">
        <v>2209</v>
      </c>
      <c r="E909" t="str">
        <f>"2121"</f>
        <v>2121</v>
      </c>
      <c r="F909" t="s">
        <v>5151</v>
      </c>
      <c r="G909" t="s">
        <v>70</v>
      </c>
      <c r="H909">
        <v>5</v>
      </c>
      <c r="I909" t="s">
        <v>5152</v>
      </c>
      <c r="K909" t="s">
        <v>5045</v>
      </c>
      <c r="L909" t="s">
        <v>25</v>
      </c>
      <c r="M909" t="s">
        <v>5153</v>
      </c>
      <c r="N909" t="s">
        <v>5154</v>
      </c>
      <c r="O909" t="s">
        <v>5155</v>
      </c>
      <c r="P909" t="s">
        <v>5156</v>
      </c>
      <c r="Q909" t="s">
        <v>30</v>
      </c>
      <c r="R909" t="s">
        <v>31</v>
      </c>
      <c r="S909" t="s">
        <v>32</v>
      </c>
    </row>
    <row r="910" spans="1:19" x14ac:dyDescent="0.45">
      <c r="A910" t="str">
        <f t="shared" si="54"/>
        <v>17801</v>
      </c>
      <c r="B910" t="s">
        <v>19</v>
      </c>
      <c r="C910" t="str">
        <f t="shared" si="55"/>
        <v>17001</v>
      </c>
      <c r="D910" t="s">
        <v>2209</v>
      </c>
      <c r="E910" t="str">
        <f>"2123"</f>
        <v>2123</v>
      </c>
      <c r="F910" t="s">
        <v>5157</v>
      </c>
      <c r="G910" t="s">
        <v>22</v>
      </c>
      <c r="H910">
        <v>5</v>
      </c>
      <c r="I910" t="s">
        <v>5158</v>
      </c>
      <c r="K910" t="s">
        <v>5045</v>
      </c>
      <c r="L910" t="s">
        <v>25</v>
      </c>
      <c r="M910" t="s">
        <v>5159</v>
      </c>
      <c r="N910" t="s">
        <v>5160</v>
      </c>
      <c r="O910" t="s">
        <v>5161</v>
      </c>
      <c r="P910" t="s">
        <v>5162</v>
      </c>
      <c r="Q910" t="s">
        <v>30</v>
      </c>
      <c r="R910" t="s">
        <v>31</v>
      </c>
      <c r="S910" t="s">
        <v>32</v>
      </c>
    </row>
    <row r="911" spans="1:19" x14ac:dyDescent="0.45">
      <c r="A911" t="str">
        <f t="shared" si="54"/>
        <v>17801</v>
      </c>
      <c r="B911" t="s">
        <v>19</v>
      </c>
      <c r="C911" t="str">
        <f t="shared" si="55"/>
        <v>17001</v>
      </c>
      <c r="D911" t="s">
        <v>2209</v>
      </c>
      <c r="E911" t="str">
        <f>"2138"</f>
        <v>2138</v>
      </c>
      <c r="F911" t="s">
        <v>5163</v>
      </c>
      <c r="G911" t="s">
        <v>70</v>
      </c>
      <c r="H911">
        <v>5</v>
      </c>
      <c r="I911" t="s">
        <v>5164</v>
      </c>
      <c r="K911" t="s">
        <v>5045</v>
      </c>
      <c r="L911" t="s">
        <v>25</v>
      </c>
      <c r="M911" t="s">
        <v>5165</v>
      </c>
      <c r="N911" t="s">
        <v>5166</v>
      </c>
      <c r="O911" t="s">
        <v>5167</v>
      </c>
      <c r="P911" t="s">
        <v>5168</v>
      </c>
      <c r="Q911" t="s">
        <v>30</v>
      </c>
      <c r="R911" t="s">
        <v>31</v>
      </c>
      <c r="S911" t="s">
        <v>32</v>
      </c>
    </row>
    <row r="912" spans="1:19" x14ac:dyDescent="0.45">
      <c r="A912" t="str">
        <f t="shared" si="54"/>
        <v>17801</v>
      </c>
      <c r="B912" t="s">
        <v>19</v>
      </c>
      <c r="C912" t="str">
        <f t="shared" si="55"/>
        <v>17001</v>
      </c>
      <c r="D912" t="s">
        <v>2209</v>
      </c>
      <c r="E912" t="str">
        <f>"2139"</f>
        <v>2139</v>
      </c>
      <c r="F912" t="s">
        <v>5169</v>
      </c>
      <c r="G912" t="s">
        <v>70</v>
      </c>
      <c r="H912">
        <v>5</v>
      </c>
      <c r="I912" t="s">
        <v>5170</v>
      </c>
      <c r="K912" t="s">
        <v>5045</v>
      </c>
      <c r="L912" t="s">
        <v>25</v>
      </c>
      <c r="M912" t="s">
        <v>5171</v>
      </c>
      <c r="N912" t="s">
        <v>5172</v>
      </c>
      <c r="O912" t="s">
        <v>5173</v>
      </c>
      <c r="P912" t="s">
        <v>5174</v>
      </c>
      <c r="Q912" t="s">
        <v>30</v>
      </c>
      <c r="R912" t="s">
        <v>31</v>
      </c>
      <c r="S912" t="s">
        <v>32</v>
      </c>
    </row>
    <row r="913" spans="1:19" x14ac:dyDescent="0.45">
      <c r="A913" t="str">
        <f t="shared" si="54"/>
        <v>17801</v>
      </c>
      <c r="B913" t="s">
        <v>19</v>
      </c>
      <c r="C913" t="str">
        <f t="shared" si="55"/>
        <v>17001</v>
      </c>
      <c r="D913" t="s">
        <v>2209</v>
      </c>
      <c r="E913" t="str">
        <f>"2141"</f>
        <v>2141</v>
      </c>
      <c r="F913" t="s">
        <v>5175</v>
      </c>
      <c r="G913" t="s">
        <v>22</v>
      </c>
      <c r="H913">
        <v>5</v>
      </c>
      <c r="I913" t="s">
        <v>5176</v>
      </c>
      <c r="K913" t="s">
        <v>5045</v>
      </c>
      <c r="L913" t="s">
        <v>25</v>
      </c>
      <c r="M913" t="s">
        <v>5177</v>
      </c>
      <c r="N913" t="s">
        <v>5178</v>
      </c>
      <c r="O913" t="s">
        <v>5179</v>
      </c>
      <c r="P913" t="s">
        <v>5180</v>
      </c>
      <c r="Q913" t="s">
        <v>30</v>
      </c>
      <c r="R913" t="s">
        <v>31</v>
      </c>
      <c r="S913" t="s">
        <v>32</v>
      </c>
    </row>
    <row r="914" spans="1:19" x14ac:dyDescent="0.45">
      <c r="A914" t="str">
        <f t="shared" si="54"/>
        <v>17801</v>
      </c>
      <c r="B914" t="s">
        <v>19</v>
      </c>
      <c r="C914" t="str">
        <f t="shared" si="55"/>
        <v>17001</v>
      </c>
      <c r="D914" t="s">
        <v>2209</v>
      </c>
      <c r="E914" t="str">
        <f>"2142"</f>
        <v>2142</v>
      </c>
      <c r="F914" t="s">
        <v>5181</v>
      </c>
      <c r="G914" t="s">
        <v>70</v>
      </c>
      <c r="H914">
        <v>5</v>
      </c>
      <c r="I914" t="s">
        <v>5182</v>
      </c>
      <c r="K914" t="s">
        <v>5045</v>
      </c>
      <c r="L914" t="s">
        <v>25</v>
      </c>
      <c r="M914" t="s">
        <v>5183</v>
      </c>
      <c r="N914" t="s">
        <v>5184</v>
      </c>
      <c r="O914" t="s">
        <v>5185</v>
      </c>
      <c r="P914" t="s">
        <v>5186</v>
      </c>
      <c r="Q914" t="s">
        <v>30</v>
      </c>
      <c r="R914" t="s">
        <v>31</v>
      </c>
      <c r="S914" t="s">
        <v>32</v>
      </c>
    </row>
    <row r="915" spans="1:19" x14ac:dyDescent="0.45">
      <c r="A915" t="str">
        <f t="shared" si="54"/>
        <v>17801</v>
      </c>
      <c r="B915" t="s">
        <v>19</v>
      </c>
      <c r="C915" t="str">
        <f t="shared" si="55"/>
        <v>17001</v>
      </c>
      <c r="D915" t="s">
        <v>2209</v>
      </c>
      <c r="E915" t="str">
        <f>"2143"</f>
        <v>2143</v>
      </c>
      <c r="F915" t="s">
        <v>5187</v>
      </c>
      <c r="G915" t="s">
        <v>70</v>
      </c>
      <c r="H915">
        <v>5</v>
      </c>
      <c r="I915" t="s">
        <v>5188</v>
      </c>
      <c r="K915" t="s">
        <v>5045</v>
      </c>
      <c r="L915" t="s">
        <v>25</v>
      </c>
      <c r="M915" t="s">
        <v>5189</v>
      </c>
      <c r="N915" t="s">
        <v>5190</v>
      </c>
      <c r="O915" t="s">
        <v>5191</v>
      </c>
      <c r="P915" t="s">
        <v>5192</v>
      </c>
      <c r="Q915" t="s">
        <v>30</v>
      </c>
      <c r="R915" t="s">
        <v>31</v>
      </c>
      <c r="S915" t="s">
        <v>32</v>
      </c>
    </row>
    <row r="916" spans="1:19" x14ac:dyDescent="0.45">
      <c r="A916" t="str">
        <f t="shared" si="54"/>
        <v>17801</v>
      </c>
      <c r="B916" t="s">
        <v>19</v>
      </c>
      <c r="C916" t="str">
        <f t="shared" si="55"/>
        <v>17001</v>
      </c>
      <c r="D916" t="s">
        <v>2209</v>
      </c>
      <c r="E916" t="str">
        <f>"2181"</f>
        <v>2181</v>
      </c>
      <c r="F916" t="s">
        <v>5193</v>
      </c>
      <c r="G916" t="s">
        <v>22</v>
      </c>
      <c r="H916">
        <v>5</v>
      </c>
      <c r="I916" t="s">
        <v>5194</v>
      </c>
      <c r="K916" t="s">
        <v>5045</v>
      </c>
      <c r="L916" t="s">
        <v>25</v>
      </c>
      <c r="M916" t="s">
        <v>5195</v>
      </c>
      <c r="N916" t="s">
        <v>5196</v>
      </c>
      <c r="O916" t="s">
        <v>5197</v>
      </c>
      <c r="P916" t="s">
        <v>5198</v>
      </c>
      <c r="Q916" t="s">
        <v>30</v>
      </c>
      <c r="R916" t="s">
        <v>31</v>
      </c>
      <c r="S916" t="s">
        <v>32</v>
      </c>
    </row>
    <row r="917" spans="1:19" x14ac:dyDescent="0.45">
      <c r="A917" t="str">
        <f t="shared" si="54"/>
        <v>17801</v>
      </c>
      <c r="B917" t="s">
        <v>19</v>
      </c>
      <c r="C917" t="str">
        <f t="shared" si="55"/>
        <v>17001</v>
      </c>
      <c r="D917" t="s">
        <v>2209</v>
      </c>
      <c r="E917" t="str">
        <f>"2182"</f>
        <v>2182</v>
      </c>
      <c r="F917" t="s">
        <v>5199</v>
      </c>
      <c r="G917">
        <v>9</v>
      </c>
      <c r="H917">
        <v>12</v>
      </c>
      <c r="I917" t="s">
        <v>5200</v>
      </c>
      <c r="K917" t="s">
        <v>5045</v>
      </c>
      <c r="L917" t="s">
        <v>25</v>
      </c>
      <c r="M917" t="s">
        <v>5201</v>
      </c>
      <c r="N917" t="s">
        <v>5202</v>
      </c>
      <c r="O917" t="s">
        <v>5203</v>
      </c>
      <c r="P917" t="s">
        <v>5204</v>
      </c>
      <c r="Q917" t="s">
        <v>30</v>
      </c>
      <c r="R917" t="s">
        <v>31</v>
      </c>
      <c r="S917" t="s">
        <v>58</v>
      </c>
    </row>
    <row r="918" spans="1:19" x14ac:dyDescent="0.45">
      <c r="A918" t="str">
        <f t="shared" si="54"/>
        <v>17801</v>
      </c>
      <c r="B918" t="s">
        <v>19</v>
      </c>
      <c r="C918" t="str">
        <f t="shared" si="55"/>
        <v>17001</v>
      </c>
      <c r="D918" t="s">
        <v>2209</v>
      </c>
      <c r="E918" t="str">
        <f>"2183"</f>
        <v>2183</v>
      </c>
      <c r="F918" t="s">
        <v>5205</v>
      </c>
      <c r="G918" t="s">
        <v>70</v>
      </c>
      <c r="H918">
        <v>5</v>
      </c>
      <c r="I918" t="s">
        <v>5206</v>
      </c>
      <c r="K918" t="s">
        <v>5045</v>
      </c>
      <c r="L918" t="s">
        <v>25</v>
      </c>
      <c r="M918" t="s">
        <v>5207</v>
      </c>
      <c r="N918" t="s">
        <v>5208</v>
      </c>
      <c r="O918" t="s">
        <v>5209</v>
      </c>
      <c r="P918" t="s">
        <v>5210</v>
      </c>
      <c r="Q918" t="s">
        <v>30</v>
      </c>
      <c r="R918" t="s">
        <v>31</v>
      </c>
      <c r="S918" t="s">
        <v>32</v>
      </c>
    </row>
    <row r="919" spans="1:19" x14ac:dyDescent="0.45">
      <c r="A919" t="str">
        <f t="shared" si="54"/>
        <v>17801</v>
      </c>
      <c r="B919" t="s">
        <v>19</v>
      </c>
      <c r="C919" t="str">
        <f t="shared" si="55"/>
        <v>17001</v>
      </c>
      <c r="D919" t="s">
        <v>2209</v>
      </c>
      <c r="E919" t="str">
        <f>"2199"</f>
        <v>2199</v>
      </c>
      <c r="F919" t="s">
        <v>5211</v>
      </c>
      <c r="G919" t="s">
        <v>22</v>
      </c>
      <c r="H919">
        <v>5</v>
      </c>
      <c r="I919" t="s">
        <v>5212</v>
      </c>
      <c r="K919" t="s">
        <v>5045</v>
      </c>
      <c r="L919" t="s">
        <v>25</v>
      </c>
      <c r="M919" t="s">
        <v>5213</v>
      </c>
      <c r="N919" t="s">
        <v>5214</v>
      </c>
      <c r="O919" t="s">
        <v>5215</v>
      </c>
      <c r="P919" t="s">
        <v>5216</v>
      </c>
      <c r="Q919" t="s">
        <v>30</v>
      </c>
      <c r="R919" t="s">
        <v>31</v>
      </c>
      <c r="S919" t="s">
        <v>32</v>
      </c>
    </row>
    <row r="920" spans="1:19" x14ac:dyDescent="0.45">
      <c r="A920" t="str">
        <f t="shared" si="54"/>
        <v>17801</v>
      </c>
      <c r="B920" t="s">
        <v>19</v>
      </c>
      <c r="C920" t="str">
        <f t="shared" si="55"/>
        <v>17001</v>
      </c>
      <c r="D920" t="s">
        <v>2209</v>
      </c>
      <c r="E920" t="str">
        <f>"2201"</f>
        <v>2201</v>
      </c>
      <c r="F920" t="s">
        <v>5217</v>
      </c>
      <c r="G920" t="s">
        <v>70</v>
      </c>
      <c r="H920">
        <v>5</v>
      </c>
      <c r="I920" t="s">
        <v>5218</v>
      </c>
      <c r="K920" t="s">
        <v>5045</v>
      </c>
      <c r="L920" t="s">
        <v>25</v>
      </c>
      <c r="M920" t="s">
        <v>5219</v>
      </c>
      <c r="N920" t="s">
        <v>5220</v>
      </c>
      <c r="O920" t="s">
        <v>5221</v>
      </c>
      <c r="P920" t="s">
        <v>5222</v>
      </c>
      <c r="Q920" t="s">
        <v>30</v>
      </c>
      <c r="R920" t="s">
        <v>31</v>
      </c>
      <c r="S920" t="s">
        <v>32</v>
      </c>
    </row>
    <row r="921" spans="1:19" x14ac:dyDescent="0.45">
      <c r="A921" t="str">
        <f t="shared" si="54"/>
        <v>17801</v>
      </c>
      <c r="B921" t="s">
        <v>19</v>
      </c>
      <c r="C921" t="str">
        <f t="shared" si="55"/>
        <v>17001</v>
      </c>
      <c r="D921" t="s">
        <v>2209</v>
      </c>
      <c r="E921" t="str">
        <f>"2209"</f>
        <v>2209</v>
      </c>
      <c r="F921" t="s">
        <v>5223</v>
      </c>
      <c r="G921" t="s">
        <v>22</v>
      </c>
      <c r="H921">
        <v>8</v>
      </c>
      <c r="I921" t="s">
        <v>5224</v>
      </c>
      <c r="K921" t="s">
        <v>5045</v>
      </c>
      <c r="L921" t="s">
        <v>25</v>
      </c>
      <c r="M921" t="s">
        <v>5225</v>
      </c>
      <c r="N921" t="s">
        <v>5226</v>
      </c>
      <c r="O921" t="s">
        <v>5227</v>
      </c>
      <c r="P921" t="s">
        <v>5228</v>
      </c>
      <c r="Q921" t="s">
        <v>30</v>
      </c>
      <c r="R921" t="s">
        <v>31</v>
      </c>
      <c r="S921" t="s">
        <v>159</v>
      </c>
    </row>
    <row r="922" spans="1:19" x14ac:dyDescent="0.45">
      <c r="A922" t="str">
        <f t="shared" si="54"/>
        <v>17801</v>
      </c>
      <c r="B922" t="s">
        <v>19</v>
      </c>
      <c r="C922" t="str">
        <f t="shared" ref="C922:C953" si="56">"17001"</f>
        <v>17001</v>
      </c>
      <c r="D922" t="s">
        <v>2209</v>
      </c>
      <c r="E922" t="str">
        <f>"2220"</f>
        <v>2220</v>
      </c>
      <c r="F922" t="s">
        <v>5229</v>
      </c>
      <c r="G922">
        <v>9</v>
      </c>
      <c r="H922">
        <v>12</v>
      </c>
      <c r="I922" t="s">
        <v>5230</v>
      </c>
      <c r="K922" t="s">
        <v>5045</v>
      </c>
      <c r="L922" t="s">
        <v>25</v>
      </c>
      <c r="M922" t="s">
        <v>5231</v>
      </c>
      <c r="N922" t="s">
        <v>5232</v>
      </c>
      <c r="O922" t="s">
        <v>5233</v>
      </c>
      <c r="P922" t="s">
        <v>5234</v>
      </c>
      <c r="Q922" t="s">
        <v>30</v>
      </c>
      <c r="R922" t="s">
        <v>31</v>
      </c>
      <c r="S922" t="s">
        <v>58</v>
      </c>
    </row>
    <row r="923" spans="1:19" x14ac:dyDescent="0.45">
      <c r="A923" t="str">
        <f t="shared" si="54"/>
        <v>17801</v>
      </c>
      <c r="B923" t="s">
        <v>19</v>
      </c>
      <c r="C923" t="str">
        <f t="shared" si="56"/>
        <v>17001</v>
      </c>
      <c r="D923" t="s">
        <v>2209</v>
      </c>
      <c r="E923" t="str">
        <f>"2234"</f>
        <v>2234</v>
      </c>
      <c r="F923" t="s">
        <v>5235</v>
      </c>
      <c r="G923">
        <v>9</v>
      </c>
      <c r="H923">
        <v>12</v>
      </c>
      <c r="I923" t="s">
        <v>5236</v>
      </c>
      <c r="K923" t="s">
        <v>5045</v>
      </c>
      <c r="L923" t="s">
        <v>25</v>
      </c>
      <c r="M923" t="s">
        <v>5237</v>
      </c>
      <c r="N923" t="s">
        <v>5238</v>
      </c>
      <c r="O923" t="s">
        <v>5239</v>
      </c>
      <c r="P923" t="s">
        <v>5240</v>
      </c>
      <c r="Q923" t="s">
        <v>30</v>
      </c>
      <c r="R923" t="s">
        <v>31</v>
      </c>
      <c r="S923" t="s">
        <v>58</v>
      </c>
    </row>
    <row r="924" spans="1:19" x14ac:dyDescent="0.45">
      <c r="A924" t="str">
        <f t="shared" si="54"/>
        <v>17801</v>
      </c>
      <c r="B924" t="s">
        <v>19</v>
      </c>
      <c r="C924" t="str">
        <f t="shared" si="56"/>
        <v>17001</v>
      </c>
      <c r="D924" t="s">
        <v>2209</v>
      </c>
      <c r="E924" t="str">
        <f>"2256"</f>
        <v>2256</v>
      </c>
      <c r="F924" t="s">
        <v>5241</v>
      </c>
      <c r="G924" t="s">
        <v>70</v>
      </c>
      <c r="H924">
        <v>5</v>
      </c>
      <c r="I924" t="s">
        <v>5242</v>
      </c>
      <c r="K924" t="s">
        <v>5045</v>
      </c>
      <c r="L924" t="s">
        <v>25</v>
      </c>
      <c r="M924" t="s">
        <v>5243</v>
      </c>
      <c r="N924" t="s">
        <v>5244</v>
      </c>
      <c r="O924" t="s">
        <v>5245</v>
      </c>
      <c r="P924" t="s">
        <v>5246</v>
      </c>
      <c r="Q924" t="s">
        <v>30</v>
      </c>
      <c r="R924" t="s">
        <v>31</v>
      </c>
      <c r="S924" t="s">
        <v>32</v>
      </c>
    </row>
    <row r="925" spans="1:19" x14ac:dyDescent="0.45">
      <c r="A925" t="str">
        <f t="shared" si="54"/>
        <v>17801</v>
      </c>
      <c r="B925" t="s">
        <v>19</v>
      </c>
      <c r="C925" t="str">
        <f t="shared" si="56"/>
        <v>17001</v>
      </c>
      <c r="D925" t="s">
        <v>2209</v>
      </c>
      <c r="E925" t="str">
        <f>"2269"</f>
        <v>2269</v>
      </c>
      <c r="F925" t="s">
        <v>5247</v>
      </c>
      <c r="G925" t="s">
        <v>22</v>
      </c>
      <c r="H925">
        <v>5</v>
      </c>
      <c r="I925" t="s">
        <v>5248</v>
      </c>
      <c r="K925" t="s">
        <v>5045</v>
      </c>
      <c r="L925" t="s">
        <v>25</v>
      </c>
      <c r="M925" t="s">
        <v>5249</v>
      </c>
      <c r="N925" t="s">
        <v>5250</v>
      </c>
      <c r="O925" t="s">
        <v>5251</v>
      </c>
      <c r="P925" t="s">
        <v>5252</v>
      </c>
      <c r="Q925" t="s">
        <v>30</v>
      </c>
      <c r="R925" t="s">
        <v>31</v>
      </c>
      <c r="S925" t="s">
        <v>32</v>
      </c>
    </row>
    <row r="926" spans="1:19" x14ac:dyDescent="0.45">
      <c r="A926" t="str">
        <f t="shared" si="54"/>
        <v>17801</v>
      </c>
      <c r="B926" t="s">
        <v>19</v>
      </c>
      <c r="C926" t="str">
        <f t="shared" si="56"/>
        <v>17001</v>
      </c>
      <c r="D926" t="s">
        <v>2209</v>
      </c>
      <c r="E926" t="str">
        <f>"2285"</f>
        <v>2285</v>
      </c>
      <c r="F926" t="s">
        <v>5253</v>
      </c>
      <c r="G926">
        <v>9</v>
      </c>
      <c r="H926">
        <v>12</v>
      </c>
      <c r="I926" t="s">
        <v>5254</v>
      </c>
      <c r="K926" t="s">
        <v>5045</v>
      </c>
      <c r="L926" t="s">
        <v>25</v>
      </c>
      <c r="M926" t="s">
        <v>5255</v>
      </c>
      <c r="N926" t="s">
        <v>5256</v>
      </c>
      <c r="O926" t="s">
        <v>5257</v>
      </c>
      <c r="P926" t="s">
        <v>5258</v>
      </c>
      <c r="Q926" t="s">
        <v>30</v>
      </c>
      <c r="R926" t="s">
        <v>31</v>
      </c>
      <c r="S926" t="s">
        <v>58</v>
      </c>
    </row>
    <row r="927" spans="1:19" x14ac:dyDescent="0.45">
      <c r="A927" t="str">
        <f t="shared" si="54"/>
        <v>17801</v>
      </c>
      <c r="B927" t="s">
        <v>19</v>
      </c>
      <c r="C927" t="str">
        <f t="shared" si="56"/>
        <v>17001</v>
      </c>
      <c r="D927" t="s">
        <v>2209</v>
      </c>
      <c r="E927" t="str">
        <f>"2306"</f>
        <v>2306</v>
      </c>
      <c r="F927" t="s">
        <v>5259</v>
      </c>
      <c r="G927">
        <v>9</v>
      </c>
      <c r="H927">
        <v>12</v>
      </c>
      <c r="I927" t="s">
        <v>5260</v>
      </c>
      <c r="K927" t="s">
        <v>5045</v>
      </c>
      <c r="L927" t="s">
        <v>25</v>
      </c>
      <c r="M927" t="s">
        <v>5261</v>
      </c>
      <c r="N927" t="s">
        <v>5262</v>
      </c>
      <c r="O927" t="s">
        <v>5263</v>
      </c>
      <c r="P927" t="s">
        <v>5264</v>
      </c>
      <c r="Q927" t="s">
        <v>30</v>
      </c>
      <c r="R927" t="s">
        <v>31</v>
      </c>
      <c r="S927" t="s">
        <v>58</v>
      </c>
    </row>
    <row r="928" spans="1:19" x14ac:dyDescent="0.45">
      <c r="A928" t="str">
        <f t="shared" si="54"/>
        <v>17801</v>
      </c>
      <c r="B928" t="s">
        <v>19</v>
      </c>
      <c r="C928" t="str">
        <f t="shared" si="56"/>
        <v>17001</v>
      </c>
      <c r="D928" t="s">
        <v>2209</v>
      </c>
      <c r="E928" t="str">
        <f>"2307"</f>
        <v>2307</v>
      </c>
      <c r="F928" t="s">
        <v>5265</v>
      </c>
      <c r="G928" t="s">
        <v>22</v>
      </c>
      <c r="H928">
        <v>5</v>
      </c>
      <c r="I928" t="s">
        <v>5266</v>
      </c>
      <c r="K928" t="s">
        <v>5045</v>
      </c>
      <c r="L928" t="s">
        <v>25</v>
      </c>
      <c r="M928" t="s">
        <v>5267</v>
      </c>
      <c r="N928" t="s">
        <v>5268</v>
      </c>
      <c r="O928" t="s">
        <v>5269</v>
      </c>
      <c r="P928" t="s">
        <v>5270</v>
      </c>
      <c r="Q928" t="s">
        <v>30</v>
      </c>
      <c r="R928" t="s">
        <v>31</v>
      </c>
      <c r="S928" t="s">
        <v>32</v>
      </c>
    </row>
    <row r="929" spans="1:19" x14ac:dyDescent="0.45">
      <c r="A929" t="str">
        <f t="shared" si="54"/>
        <v>17801</v>
      </c>
      <c r="B929" t="s">
        <v>19</v>
      </c>
      <c r="C929" t="str">
        <f t="shared" si="56"/>
        <v>17001</v>
      </c>
      <c r="D929" t="s">
        <v>2209</v>
      </c>
      <c r="E929" t="str">
        <f>"2321"</f>
        <v>2321</v>
      </c>
      <c r="F929" t="s">
        <v>5271</v>
      </c>
      <c r="G929" t="s">
        <v>22</v>
      </c>
      <c r="H929">
        <v>5</v>
      </c>
      <c r="I929" t="s">
        <v>5272</v>
      </c>
      <c r="K929" t="s">
        <v>5045</v>
      </c>
      <c r="L929" t="s">
        <v>25</v>
      </c>
      <c r="M929" t="s">
        <v>5273</v>
      </c>
      <c r="N929" t="s">
        <v>5274</v>
      </c>
      <c r="O929" t="s">
        <v>5275</v>
      </c>
      <c r="P929" t="s">
        <v>5276</v>
      </c>
      <c r="Q929" t="s">
        <v>30</v>
      </c>
      <c r="R929" t="s">
        <v>31</v>
      </c>
      <c r="S929" t="s">
        <v>32</v>
      </c>
    </row>
    <row r="930" spans="1:19" x14ac:dyDescent="0.45">
      <c r="A930" t="str">
        <f t="shared" si="54"/>
        <v>17801</v>
      </c>
      <c r="B930" t="s">
        <v>19</v>
      </c>
      <c r="C930" t="str">
        <f t="shared" si="56"/>
        <v>17001</v>
      </c>
      <c r="D930" t="s">
        <v>2209</v>
      </c>
      <c r="E930" t="str">
        <f>"2322"</f>
        <v>2322</v>
      </c>
      <c r="F930" t="s">
        <v>5277</v>
      </c>
      <c r="G930" t="s">
        <v>70</v>
      </c>
      <c r="H930">
        <v>5</v>
      </c>
      <c r="I930" t="s">
        <v>5278</v>
      </c>
      <c r="K930" t="s">
        <v>5045</v>
      </c>
      <c r="L930" t="s">
        <v>25</v>
      </c>
      <c r="M930" t="s">
        <v>5279</v>
      </c>
      <c r="N930" t="s">
        <v>5280</v>
      </c>
      <c r="O930" t="s">
        <v>5281</v>
      </c>
      <c r="P930" t="s">
        <v>5282</v>
      </c>
      <c r="Q930" t="s">
        <v>30</v>
      </c>
      <c r="R930" t="s">
        <v>31</v>
      </c>
      <c r="S930" t="s">
        <v>32</v>
      </c>
    </row>
    <row r="931" spans="1:19" x14ac:dyDescent="0.45">
      <c r="A931" t="str">
        <f t="shared" si="54"/>
        <v>17801</v>
      </c>
      <c r="B931" t="s">
        <v>19</v>
      </c>
      <c r="C931" t="str">
        <f t="shared" si="56"/>
        <v>17001</v>
      </c>
      <c r="D931" t="s">
        <v>2209</v>
      </c>
      <c r="E931" t="str">
        <f>"2353"</f>
        <v>2353</v>
      </c>
      <c r="F931" t="s">
        <v>5283</v>
      </c>
      <c r="G931" t="s">
        <v>70</v>
      </c>
      <c r="H931">
        <v>5</v>
      </c>
      <c r="I931" t="s">
        <v>5284</v>
      </c>
      <c r="K931" t="s">
        <v>5045</v>
      </c>
      <c r="L931" t="s">
        <v>25</v>
      </c>
      <c r="M931" t="s">
        <v>5285</v>
      </c>
      <c r="N931" t="s">
        <v>5286</v>
      </c>
      <c r="O931" t="s">
        <v>5287</v>
      </c>
      <c r="P931" t="s">
        <v>5288</v>
      </c>
      <c r="Q931" t="s">
        <v>30</v>
      </c>
      <c r="R931" t="s">
        <v>31</v>
      </c>
      <c r="S931" t="s">
        <v>32</v>
      </c>
    </row>
    <row r="932" spans="1:19" x14ac:dyDescent="0.45">
      <c r="A932" t="str">
        <f t="shared" si="54"/>
        <v>17801</v>
      </c>
      <c r="B932" t="s">
        <v>19</v>
      </c>
      <c r="C932" t="str">
        <f t="shared" si="56"/>
        <v>17001</v>
      </c>
      <c r="D932" t="s">
        <v>2209</v>
      </c>
      <c r="E932" t="str">
        <f>"2371"</f>
        <v>2371</v>
      </c>
      <c r="F932" t="s">
        <v>5289</v>
      </c>
      <c r="G932">
        <v>6</v>
      </c>
      <c r="H932">
        <v>8</v>
      </c>
      <c r="I932" t="s">
        <v>5290</v>
      </c>
      <c r="K932" t="s">
        <v>5045</v>
      </c>
      <c r="L932" t="s">
        <v>25</v>
      </c>
      <c r="M932" t="s">
        <v>5291</v>
      </c>
      <c r="N932" t="s">
        <v>5292</v>
      </c>
      <c r="O932" t="s">
        <v>5293</v>
      </c>
      <c r="P932" t="s">
        <v>5294</v>
      </c>
      <c r="Q932" t="s">
        <v>30</v>
      </c>
      <c r="R932" t="s">
        <v>31</v>
      </c>
      <c r="S932" t="s">
        <v>104</v>
      </c>
    </row>
    <row r="933" spans="1:19" x14ac:dyDescent="0.45">
      <c r="A933" t="str">
        <f t="shared" si="54"/>
        <v>17801</v>
      </c>
      <c r="B933" t="s">
        <v>19</v>
      </c>
      <c r="C933" t="str">
        <f t="shared" si="56"/>
        <v>17001</v>
      </c>
      <c r="D933" t="s">
        <v>2209</v>
      </c>
      <c r="E933" t="str">
        <f>"2372"</f>
        <v>2372</v>
      </c>
      <c r="F933" t="s">
        <v>5295</v>
      </c>
      <c r="G933" t="s">
        <v>70</v>
      </c>
      <c r="H933">
        <v>5</v>
      </c>
      <c r="I933" t="s">
        <v>5296</v>
      </c>
      <c r="K933" t="s">
        <v>5045</v>
      </c>
      <c r="L933" t="s">
        <v>25</v>
      </c>
      <c r="M933" t="s">
        <v>5297</v>
      </c>
      <c r="N933" t="s">
        <v>5298</v>
      </c>
      <c r="O933" t="s">
        <v>5299</v>
      </c>
      <c r="P933" t="s">
        <v>5300</v>
      </c>
      <c r="Q933" t="s">
        <v>30</v>
      </c>
      <c r="R933" t="s">
        <v>31</v>
      </c>
      <c r="S933" t="s">
        <v>32</v>
      </c>
    </row>
    <row r="934" spans="1:19" x14ac:dyDescent="0.45">
      <c r="A934" t="str">
        <f t="shared" si="54"/>
        <v>17801</v>
      </c>
      <c r="B934" t="s">
        <v>19</v>
      </c>
      <c r="C934" t="str">
        <f t="shared" si="56"/>
        <v>17001</v>
      </c>
      <c r="D934" t="s">
        <v>2209</v>
      </c>
      <c r="E934" t="str">
        <f>"2392"</f>
        <v>2392</v>
      </c>
      <c r="F934" t="s">
        <v>5301</v>
      </c>
      <c r="G934">
        <v>9</v>
      </c>
      <c r="H934">
        <v>12</v>
      </c>
      <c r="I934" t="s">
        <v>5302</v>
      </c>
      <c r="K934" t="s">
        <v>5045</v>
      </c>
      <c r="L934" t="s">
        <v>25</v>
      </c>
      <c r="M934" t="s">
        <v>5303</v>
      </c>
      <c r="N934" t="s">
        <v>5304</v>
      </c>
      <c r="O934" t="s">
        <v>5305</v>
      </c>
      <c r="P934" t="s">
        <v>5306</v>
      </c>
      <c r="Q934" t="s">
        <v>30</v>
      </c>
      <c r="R934" t="s">
        <v>31</v>
      </c>
      <c r="S934" t="s">
        <v>58</v>
      </c>
    </row>
    <row r="935" spans="1:19" x14ac:dyDescent="0.45">
      <c r="A935" t="str">
        <f t="shared" si="54"/>
        <v>17801</v>
      </c>
      <c r="B935" t="s">
        <v>19</v>
      </c>
      <c r="C935" t="str">
        <f t="shared" si="56"/>
        <v>17001</v>
      </c>
      <c r="D935" t="s">
        <v>2209</v>
      </c>
      <c r="E935" t="str">
        <f>"2435"</f>
        <v>2435</v>
      </c>
      <c r="F935" t="s">
        <v>5307</v>
      </c>
      <c r="G935">
        <v>6</v>
      </c>
      <c r="H935">
        <v>8</v>
      </c>
      <c r="I935" t="s">
        <v>5308</v>
      </c>
      <c r="K935" t="s">
        <v>5045</v>
      </c>
      <c r="L935" t="s">
        <v>25</v>
      </c>
      <c r="M935" t="s">
        <v>5309</v>
      </c>
      <c r="N935" t="s">
        <v>5310</v>
      </c>
      <c r="O935" t="s">
        <v>5311</v>
      </c>
      <c r="P935" t="s">
        <v>5312</v>
      </c>
      <c r="Q935" t="s">
        <v>30</v>
      </c>
      <c r="R935" t="s">
        <v>31</v>
      </c>
      <c r="S935" t="s">
        <v>104</v>
      </c>
    </row>
    <row r="936" spans="1:19" x14ac:dyDescent="0.45">
      <c r="A936" t="str">
        <f t="shared" si="54"/>
        <v>17801</v>
      </c>
      <c r="B936" t="s">
        <v>19</v>
      </c>
      <c r="C936" t="str">
        <f t="shared" si="56"/>
        <v>17001</v>
      </c>
      <c r="D936" t="s">
        <v>2209</v>
      </c>
      <c r="E936" t="str">
        <f>"2437"</f>
        <v>2437</v>
      </c>
      <c r="F936" t="s">
        <v>5313</v>
      </c>
      <c r="G936" t="s">
        <v>70</v>
      </c>
      <c r="H936">
        <v>5</v>
      </c>
      <c r="I936" t="s">
        <v>5314</v>
      </c>
      <c r="K936" t="s">
        <v>5045</v>
      </c>
      <c r="L936" t="s">
        <v>25</v>
      </c>
      <c r="M936" t="s">
        <v>5315</v>
      </c>
      <c r="N936" t="s">
        <v>5316</v>
      </c>
      <c r="O936" t="s">
        <v>5317</v>
      </c>
      <c r="P936" t="s">
        <v>5318</v>
      </c>
      <c r="Q936" t="s">
        <v>30</v>
      </c>
      <c r="R936" t="s">
        <v>31</v>
      </c>
      <c r="S936" t="s">
        <v>32</v>
      </c>
    </row>
    <row r="937" spans="1:19" x14ac:dyDescent="0.45">
      <c r="A937" t="str">
        <f t="shared" si="54"/>
        <v>17801</v>
      </c>
      <c r="B937" t="s">
        <v>19</v>
      </c>
      <c r="C937" t="str">
        <f t="shared" si="56"/>
        <v>17001</v>
      </c>
      <c r="D937" t="s">
        <v>2209</v>
      </c>
      <c r="E937" t="str">
        <f>"2450"</f>
        <v>2450</v>
      </c>
      <c r="F937" t="s">
        <v>5319</v>
      </c>
      <c r="G937" t="s">
        <v>70</v>
      </c>
      <c r="H937">
        <v>5</v>
      </c>
      <c r="I937" t="s">
        <v>5320</v>
      </c>
      <c r="K937" t="s">
        <v>5045</v>
      </c>
      <c r="L937" t="s">
        <v>25</v>
      </c>
      <c r="M937" t="s">
        <v>5321</v>
      </c>
      <c r="N937" t="s">
        <v>5322</v>
      </c>
      <c r="O937" t="s">
        <v>5323</v>
      </c>
      <c r="P937" t="s">
        <v>5324</v>
      </c>
      <c r="Q937" t="s">
        <v>30</v>
      </c>
      <c r="R937" t="s">
        <v>31</v>
      </c>
      <c r="S937" t="s">
        <v>32</v>
      </c>
    </row>
    <row r="938" spans="1:19" x14ac:dyDescent="0.45">
      <c r="A938" t="str">
        <f t="shared" si="54"/>
        <v>17801</v>
      </c>
      <c r="B938" t="s">
        <v>19</v>
      </c>
      <c r="C938" t="str">
        <f t="shared" si="56"/>
        <v>17001</v>
      </c>
      <c r="D938" t="s">
        <v>2209</v>
      </c>
      <c r="E938" t="str">
        <f>"2462"</f>
        <v>2462</v>
      </c>
      <c r="F938" t="s">
        <v>5325</v>
      </c>
      <c r="G938" t="s">
        <v>70</v>
      </c>
      <c r="H938">
        <v>5</v>
      </c>
      <c r="I938" t="s">
        <v>5326</v>
      </c>
      <c r="K938" t="s">
        <v>5045</v>
      </c>
      <c r="L938" t="s">
        <v>25</v>
      </c>
      <c r="M938" t="s">
        <v>5327</v>
      </c>
      <c r="N938" t="s">
        <v>5328</v>
      </c>
      <c r="O938" t="s">
        <v>5329</v>
      </c>
      <c r="P938" t="s">
        <v>5330</v>
      </c>
      <c r="Q938" t="s">
        <v>30</v>
      </c>
      <c r="R938" t="s">
        <v>31</v>
      </c>
      <c r="S938" t="s">
        <v>32</v>
      </c>
    </row>
    <row r="939" spans="1:19" x14ac:dyDescent="0.45">
      <c r="A939" t="str">
        <f t="shared" si="54"/>
        <v>17801</v>
      </c>
      <c r="B939" t="s">
        <v>19</v>
      </c>
      <c r="C939" t="str">
        <f t="shared" si="56"/>
        <v>17001</v>
      </c>
      <c r="D939" t="s">
        <v>2209</v>
      </c>
      <c r="E939" t="str">
        <f>"2645"</f>
        <v>2645</v>
      </c>
      <c r="F939" t="s">
        <v>5331</v>
      </c>
      <c r="G939" t="s">
        <v>22</v>
      </c>
      <c r="H939">
        <v>5</v>
      </c>
      <c r="I939" t="s">
        <v>5332</v>
      </c>
      <c r="K939" t="s">
        <v>5045</v>
      </c>
      <c r="L939" t="s">
        <v>25</v>
      </c>
      <c r="M939" t="s">
        <v>5333</v>
      </c>
      <c r="N939" t="s">
        <v>5334</v>
      </c>
      <c r="O939" t="s">
        <v>5335</v>
      </c>
      <c r="P939" t="s">
        <v>5336</v>
      </c>
      <c r="Q939" t="s">
        <v>30</v>
      </c>
      <c r="R939" t="s">
        <v>31</v>
      </c>
      <c r="S939" t="s">
        <v>32</v>
      </c>
    </row>
    <row r="940" spans="1:19" x14ac:dyDescent="0.45">
      <c r="A940" t="str">
        <f t="shared" si="54"/>
        <v>17801</v>
      </c>
      <c r="B940" t="s">
        <v>19</v>
      </c>
      <c r="C940" t="str">
        <f t="shared" si="56"/>
        <v>17001</v>
      </c>
      <c r="D940" t="s">
        <v>2209</v>
      </c>
      <c r="E940" t="str">
        <f>"2667"</f>
        <v>2667</v>
      </c>
      <c r="F940" t="s">
        <v>5337</v>
      </c>
      <c r="G940" t="s">
        <v>22</v>
      </c>
      <c r="H940">
        <v>5</v>
      </c>
      <c r="I940" t="s">
        <v>5338</v>
      </c>
      <c r="K940" t="s">
        <v>5045</v>
      </c>
      <c r="L940" t="s">
        <v>25</v>
      </c>
      <c r="M940" t="s">
        <v>5339</v>
      </c>
      <c r="N940" t="s">
        <v>5340</v>
      </c>
      <c r="O940" t="s">
        <v>5341</v>
      </c>
      <c r="P940" t="s">
        <v>5342</v>
      </c>
      <c r="Q940" t="s">
        <v>30</v>
      </c>
      <c r="R940" t="s">
        <v>31</v>
      </c>
      <c r="S940" t="s">
        <v>32</v>
      </c>
    </row>
    <row r="941" spans="1:19" x14ac:dyDescent="0.45">
      <c r="A941" t="str">
        <f t="shared" si="54"/>
        <v>17801</v>
      </c>
      <c r="B941" t="s">
        <v>19</v>
      </c>
      <c r="C941" t="str">
        <f t="shared" si="56"/>
        <v>17001</v>
      </c>
      <c r="D941" t="s">
        <v>2209</v>
      </c>
      <c r="E941" t="str">
        <f>"2729"</f>
        <v>2729</v>
      </c>
      <c r="F941" t="s">
        <v>5343</v>
      </c>
      <c r="G941">
        <v>6</v>
      </c>
      <c r="H941">
        <v>8</v>
      </c>
      <c r="I941" t="s">
        <v>5344</v>
      </c>
      <c r="K941" t="s">
        <v>5045</v>
      </c>
      <c r="L941" t="s">
        <v>25</v>
      </c>
      <c r="M941" t="s">
        <v>5345</v>
      </c>
      <c r="N941" t="s">
        <v>5346</v>
      </c>
      <c r="O941" t="s">
        <v>5347</v>
      </c>
      <c r="P941" t="s">
        <v>5348</v>
      </c>
      <c r="Q941" t="s">
        <v>30</v>
      </c>
      <c r="R941" t="s">
        <v>31</v>
      </c>
      <c r="S941" t="s">
        <v>104</v>
      </c>
    </row>
    <row r="942" spans="1:19" x14ac:dyDescent="0.45">
      <c r="A942" t="str">
        <f t="shared" si="54"/>
        <v>17801</v>
      </c>
      <c r="B942" t="s">
        <v>19</v>
      </c>
      <c r="C942" t="str">
        <f t="shared" si="56"/>
        <v>17001</v>
      </c>
      <c r="D942" t="s">
        <v>2209</v>
      </c>
      <c r="E942" t="str">
        <f>"2730"</f>
        <v>2730</v>
      </c>
      <c r="F942" t="s">
        <v>5349</v>
      </c>
      <c r="G942" t="s">
        <v>22</v>
      </c>
      <c r="H942">
        <v>5</v>
      </c>
      <c r="I942" t="s">
        <v>5350</v>
      </c>
      <c r="K942" t="s">
        <v>5045</v>
      </c>
      <c r="L942" t="s">
        <v>25</v>
      </c>
      <c r="M942">
        <v>98146</v>
      </c>
      <c r="N942" t="s">
        <v>5351</v>
      </c>
      <c r="O942" t="s">
        <v>5352</v>
      </c>
      <c r="P942" t="s">
        <v>5353</v>
      </c>
      <c r="Q942" t="s">
        <v>30</v>
      </c>
      <c r="R942" t="s">
        <v>31</v>
      </c>
      <c r="S942" t="s">
        <v>32</v>
      </c>
    </row>
    <row r="943" spans="1:19" x14ac:dyDescent="0.45">
      <c r="A943" t="str">
        <f t="shared" si="54"/>
        <v>17801</v>
      </c>
      <c r="B943" t="s">
        <v>19</v>
      </c>
      <c r="C943" t="str">
        <f t="shared" si="56"/>
        <v>17001</v>
      </c>
      <c r="D943" t="s">
        <v>2209</v>
      </c>
      <c r="E943" t="str">
        <f>"2733"</f>
        <v>2733</v>
      </c>
      <c r="F943" t="s">
        <v>5354</v>
      </c>
      <c r="G943" t="s">
        <v>22</v>
      </c>
      <c r="H943">
        <v>5</v>
      </c>
      <c r="I943" t="s">
        <v>5355</v>
      </c>
      <c r="K943" t="s">
        <v>5045</v>
      </c>
      <c r="L943" t="s">
        <v>25</v>
      </c>
      <c r="M943" t="s">
        <v>5356</v>
      </c>
      <c r="N943" t="s">
        <v>5357</v>
      </c>
      <c r="O943" t="s">
        <v>5358</v>
      </c>
      <c r="P943" t="s">
        <v>5359</v>
      </c>
      <c r="Q943" t="s">
        <v>30</v>
      </c>
      <c r="R943" t="s">
        <v>31</v>
      </c>
      <c r="S943" t="s">
        <v>32</v>
      </c>
    </row>
    <row r="944" spans="1:19" x14ac:dyDescent="0.45">
      <c r="A944" t="str">
        <f t="shared" si="54"/>
        <v>17801</v>
      </c>
      <c r="B944" t="s">
        <v>19</v>
      </c>
      <c r="C944" t="str">
        <f t="shared" si="56"/>
        <v>17001</v>
      </c>
      <c r="D944" t="s">
        <v>2209</v>
      </c>
      <c r="E944" t="str">
        <f>"2838"</f>
        <v>2838</v>
      </c>
      <c r="F944" t="s">
        <v>5360</v>
      </c>
      <c r="G944" t="s">
        <v>70</v>
      </c>
      <c r="H944">
        <v>8</v>
      </c>
      <c r="I944" t="s">
        <v>5361</v>
      </c>
      <c r="K944" t="s">
        <v>5045</v>
      </c>
      <c r="L944" t="s">
        <v>25</v>
      </c>
      <c r="M944" t="s">
        <v>5362</v>
      </c>
      <c r="N944" t="s">
        <v>5363</v>
      </c>
      <c r="O944" t="s">
        <v>5364</v>
      </c>
      <c r="P944" t="s">
        <v>5365</v>
      </c>
      <c r="Q944" t="s">
        <v>30</v>
      </c>
      <c r="R944" t="s">
        <v>31</v>
      </c>
      <c r="S944" t="s">
        <v>159</v>
      </c>
    </row>
    <row r="945" spans="1:19" x14ac:dyDescent="0.45">
      <c r="A945" t="str">
        <f t="shared" si="54"/>
        <v>17801</v>
      </c>
      <c r="B945" t="s">
        <v>19</v>
      </c>
      <c r="C945" t="str">
        <f t="shared" si="56"/>
        <v>17001</v>
      </c>
      <c r="D945" t="s">
        <v>2209</v>
      </c>
      <c r="E945" t="str">
        <f>"2839"</f>
        <v>2839</v>
      </c>
      <c r="F945" t="s">
        <v>5366</v>
      </c>
      <c r="G945">
        <v>6</v>
      </c>
      <c r="H945">
        <v>8</v>
      </c>
      <c r="I945" t="s">
        <v>5367</v>
      </c>
      <c r="K945" t="s">
        <v>5045</v>
      </c>
      <c r="L945" t="s">
        <v>25</v>
      </c>
      <c r="M945">
        <v>98126</v>
      </c>
      <c r="N945" t="s">
        <v>5368</v>
      </c>
      <c r="O945" t="s">
        <v>5369</v>
      </c>
      <c r="P945" t="s">
        <v>5370</v>
      </c>
      <c r="Q945" t="s">
        <v>30</v>
      </c>
      <c r="R945" t="s">
        <v>31</v>
      </c>
      <c r="S945" t="s">
        <v>104</v>
      </c>
    </row>
    <row r="946" spans="1:19" x14ac:dyDescent="0.45">
      <c r="A946" t="str">
        <f t="shared" si="54"/>
        <v>17801</v>
      </c>
      <c r="B946" t="s">
        <v>19</v>
      </c>
      <c r="C946" t="str">
        <f t="shared" si="56"/>
        <v>17001</v>
      </c>
      <c r="D946" t="s">
        <v>2209</v>
      </c>
      <c r="E946" t="str">
        <f>"2975"</f>
        <v>2975</v>
      </c>
      <c r="F946" t="s">
        <v>5371</v>
      </c>
      <c r="G946" t="s">
        <v>70</v>
      </c>
      <c r="H946">
        <v>5</v>
      </c>
      <c r="I946" t="s">
        <v>5372</v>
      </c>
      <c r="K946" t="s">
        <v>5045</v>
      </c>
      <c r="L946" t="s">
        <v>25</v>
      </c>
      <c r="M946" t="s">
        <v>5373</v>
      </c>
      <c r="N946" t="s">
        <v>5374</v>
      </c>
      <c r="O946" t="s">
        <v>5375</v>
      </c>
      <c r="P946" t="s">
        <v>5376</v>
      </c>
      <c r="Q946" t="s">
        <v>30</v>
      </c>
      <c r="R946" t="s">
        <v>31</v>
      </c>
      <c r="S946" t="s">
        <v>32</v>
      </c>
    </row>
    <row r="947" spans="1:19" x14ac:dyDescent="0.45">
      <c r="A947" t="str">
        <f t="shared" si="54"/>
        <v>17801</v>
      </c>
      <c r="B947" t="s">
        <v>19</v>
      </c>
      <c r="C947" t="str">
        <f t="shared" si="56"/>
        <v>17001</v>
      </c>
      <c r="D947" t="s">
        <v>2209</v>
      </c>
      <c r="E947" t="str">
        <f>"2976"</f>
        <v>2976</v>
      </c>
      <c r="F947" t="s">
        <v>5377</v>
      </c>
      <c r="G947" t="s">
        <v>22</v>
      </c>
      <c r="H947">
        <v>5</v>
      </c>
      <c r="I947" t="s">
        <v>5378</v>
      </c>
      <c r="K947" t="s">
        <v>5045</v>
      </c>
      <c r="L947" t="s">
        <v>25</v>
      </c>
      <c r="M947" t="s">
        <v>5379</v>
      </c>
      <c r="N947" t="s">
        <v>5380</v>
      </c>
      <c r="O947" t="s">
        <v>5381</v>
      </c>
      <c r="P947" t="s">
        <v>5382</v>
      </c>
      <c r="Q947" t="s">
        <v>30</v>
      </c>
      <c r="R947" t="s">
        <v>31</v>
      </c>
      <c r="S947" t="s">
        <v>32</v>
      </c>
    </row>
    <row r="948" spans="1:19" x14ac:dyDescent="0.45">
      <c r="A948" t="str">
        <f t="shared" si="54"/>
        <v>17801</v>
      </c>
      <c r="B948" t="s">
        <v>19</v>
      </c>
      <c r="C948" t="str">
        <f t="shared" si="56"/>
        <v>17001</v>
      </c>
      <c r="D948" t="s">
        <v>2209</v>
      </c>
      <c r="E948" t="str">
        <f>"2977"</f>
        <v>2977</v>
      </c>
      <c r="F948" t="s">
        <v>5383</v>
      </c>
      <c r="G948" t="s">
        <v>22</v>
      </c>
      <c r="H948">
        <v>5</v>
      </c>
      <c r="I948" t="s">
        <v>5384</v>
      </c>
      <c r="K948" t="s">
        <v>5045</v>
      </c>
      <c r="L948" t="s">
        <v>25</v>
      </c>
      <c r="M948" t="s">
        <v>5385</v>
      </c>
      <c r="N948" t="s">
        <v>5386</v>
      </c>
      <c r="O948" t="s">
        <v>5387</v>
      </c>
      <c r="P948" t="s">
        <v>5388</v>
      </c>
      <c r="Q948" t="s">
        <v>30</v>
      </c>
      <c r="R948" t="s">
        <v>31</v>
      </c>
      <c r="S948" t="s">
        <v>32</v>
      </c>
    </row>
    <row r="949" spans="1:19" x14ac:dyDescent="0.45">
      <c r="A949" t="str">
        <f t="shared" si="54"/>
        <v>17801</v>
      </c>
      <c r="B949" t="s">
        <v>19</v>
      </c>
      <c r="C949" t="str">
        <f t="shared" si="56"/>
        <v>17001</v>
      </c>
      <c r="D949" t="s">
        <v>2209</v>
      </c>
      <c r="E949" t="str">
        <f>"3026"</f>
        <v>3026</v>
      </c>
      <c r="F949" t="s">
        <v>5389</v>
      </c>
      <c r="G949" t="s">
        <v>70</v>
      </c>
      <c r="H949">
        <v>5</v>
      </c>
      <c r="I949" t="s">
        <v>5390</v>
      </c>
      <c r="K949" t="s">
        <v>5045</v>
      </c>
      <c r="L949" t="s">
        <v>25</v>
      </c>
      <c r="M949" t="s">
        <v>5391</v>
      </c>
      <c r="N949" t="s">
        <v>5392</v>
      </c>
      <c r="O949" t="s">
        <v>5393</v>
      </c>
      <c r="P949" t="s">
        <v>5394</v>
      </c>
      <c r="Q949" t="s">
        <v>30</v>
      </c>
      <c r="R949" t="s">
        <v>31</v>
      </c>
      <c r="S949" t="s">
        <v>32</v>
      </c>
    </row>
    <row r="950" spans="1:19" x14ac:dyDescent="0.45">
      <c r="A950" t="str">
        <f t="shared" si="54"/>
        <v>17801</v>
      </c>
      <c r="B950" t="s">
        <v>19</v>
      </c>
      <c r="C950" t="str">
        <f t="shared" si="56"/>
        <v>17001</v>
      </c>
      <c r="D950" t="s">
        <v>2209</v>
      </c>
      <c r="E950" t="str">
        <f>"3027"</f>
        <v>3027</v>
      </c>
      <c r="F950" t="s">
        <v>5395</v>
      </c>
      <c r="G950" t="s">
        <v>22</v>
      </c>
      <c r="H950">
        <v>5</v>
      </c>
      <c r="I950" t="s">
        <v>5396</v>
      </c>
      <c r="K950" t="s">
        <v>5045</v>
      </c>
      <c r="L950" t="s">
        <v>25</v>
      </c>
      <c r="M950" t="s">
        <v>5397</v>
      </c>
      <c r="N950" t="s">
        <v>5398</v>
      </c>
      <c r="O950" t="s">
        <v>5399</v>
      </c>
      <c r="P950" t="s">
        <v>5400</v>
      </c>
      <c r="Q950" t="s">
        <v>30</v>
      </c>
      <c r="R950" t="s">
        <v>31</v>
      </c>
      <c r="S950" t="s">
        <v>32</v>
      </c>
    </row>
    <row r="951" spans="1:19" x14ac:dyDescent="0.45">
      <c r="A951" t="str">
        <f t="shared" si="54"/>
        <v>17801</v>
      </c>
      <c r="B951" t="s">
        <v>19</v>
      </c>
      <c r="C951" t="str">
        <f t="shared" si="56"/>
        <v>17001</v>
      </c>
      <c r="D951" t="s">
        <v>2209</v>
      </c>
      <c r="E951" t="str">
        <f>"3028"</f>
        <v>3028</v>
      </c>
      <c r="F951" t="s">
        <v>2047</v>
      </c>
      <c r="G951" t="s">
        <v>22</v>
      </c>
      <c r="H951">
        <v>5</v>
      </c>
      <c r="I951" t="s">
        <v>5401</v>
      </c>
      <c r="K951" t="s">
        <v>5045</v>
      </c>
      <c r="L951" t="s">
        <v>25</v>
      </c>
      <c r="M951" t="s">
        <v>5402</v>
      </c>
      <c r="N951" t="s">
        <v>5403</v>
      </c>
      <c r="O951" t="s">
        <v>5404</v>
      </c>
      <c r="P951" t="s">
        <v>5405</v>
      </c>
      <c r="Q951" t="s">
        <v>30</v>
      </c>
      <c r="R951" t="s">
        <v>31</v>
      </c>
      <c r="S951" t="s">
        <v>32</v>
      </c>
    </row>
    <row r="952" spans="1:19" x14ac:dyDescent="0.45">
      <c r="A952" t="str">
        <f t="shared" si="54"/>
        <v>17801</v>
      </c>
      <c r="B952" t="s">
        <v>19</v>
      </c>
      <c r="C952" t="str">
        <f t="shared" si="56"/>
        <v>17001</v>
      </c>
      <c r="D952" t="s">
        <v>2209</v>
      </c>
      <c r="E952" t="str">
        <f>"3095"</f>
        <v>3095</v>
      </c>
      <c r="F952" t="s">
        <v>5406</v>
      </c>
      <c r="G952">
        <v>6</v>
      </c>
      <c r="H952">
        <v>8</v>
      </c>
      <c r="I952" t="s">
        <v>5407</v>
      </c>
      <c r="K952" t="s">
        <v>5045</v>
      </c>
      <c r="L952" t="s">
        <v>25</v>
      </c>
      <c r="M952" t="s">
        <v>5408</v>
      </c>
      <c r="N952" t="s">
        <v>5409</v>
      </c>
      <c r="O952" t="s">
        <v>5410</v>
      </c>
      <c r="P952" t="s">
        <v>5411</v>
      </c>
      <c r="Q952" t="s">
        <v>30</v>
      </c>
      <c r="R952" t="s">
        <v>31</v>
      </c>
      <c r="S952" t="s">
        <v>104</v>
      </c>
    </row>
    <row r="953" spans="1:19" x14ac:dyDescent="0.45">
      <c r="A953" t="str">
        <f t="shared" si="54"/>
        <v>17801</v>
      </c>
      <c r="B953" t="s">
        <v>19</v>
      </c>
      <c r="C953" t="str">
        <f t="shared" si="56"/>
        <v>17001</v>
      </c>
      <c r="D953" t="s">
        <v>2209</v>
      </c>
      <c r="E953" t="str">
        <f>"3096"</f>
        <v>3096</v>
      </c>
      <c r="F953" t="s">
        <v>5412</v>
      </c>
      <c r="G953">
        <v>9</v>
      </c>
      <c r="H953">
        <v>12</v>
      </c>
      <c r="I953" t="s">
        <v>5413</v>
      </c>
      <c r="K953" t="s">
        <v>5045</v>
      </c>
      <c r="L953" t="s">
        <v>25</v>
      </c>
      <c r="M953" t="s">
        <v>5414</v>
      </c>
      <c r="N953" t="s">
        <v>5415</v>
      </c>
      <c r="O953" t="s">
        <v>5416</v>
      </c>
      <c r="P953" t="s">
        <v>5417</v>
      </c>
      <c r="Q953" t="s">
        <v>30</v>
      </c>
      <c r="R953" t="s">
        <v>31</v>
      </c>
      <c r="S953" t="s">
        <v>58</v>
      </c>
    </row>
    <row r="954" spans="1:19" x14ac:dyDescent="0.45">
      <c r="A954" t="str">
        <f t="shared" ref="A954:A1017" si="57">"17801"</f>
        <v>17801</v>
      </c>
      <c r="B954" t="s">
        <v>19</v>
      </c>
      <c r="C954" t="str">
        <f t="shared" ref="C954:C980" si="58">"17001"</f>
        <v>17001</v>
      </c>
      <c r="D954" t="s">
        <v>2209</v>
      </c>
      <c r="E954" t="str">
        <f>"3157"</f>
        <v>3157</v>
      </c>
      <c r="F954" t="s">
        <v>5418</v>
      </c>
      <c r="G954" t="s">
        <v>22</v>
      </c>
      <c r="H954">
        <v>5</v>
      </c>
      <c r="I954" t="s">
        <v>5419</v>
      </c>
      <c r="K954" t="s">
        <v>5045</v>
      </c>
      <c r="L954" t="s">
        <v>25</v>
      </c>
      <c r="M954" t="s">
        <v>5420</v>
      </c>
      <c r="N954" t="s">
        <v>5421</v>
      </c>
      <c r="O954" t="s">
        <v>5422</v>
      </c>
      <c r="P954" t="s">
        <v>5423</v>
      </c>
      <c r="Q954" t="s">
        <v>30</v>
      </c>
      <c r="R954" t="s">
        <v>31</v>
      </c>
      <c r="S954" t="s">
        <v>32</v>
      </c>
    </row>
    <row r="955" spans="1:19" x14ac:dyDescent="0.45">
      <c r="A955" t="str">
        <f t="shared" si="57"/>
        <v>17801</v>
      </c>
      <c r="B955" t="s">
        <v>19</v>
      </c>
      <c r="C955" t="str">
        <f t="shared" si="58"/>
        <v>17001</v>
      </c>
      <c r="D955" t="s">
        <v>2209</v>
      </c>
      <c r="E955" t="str">
        <f>"3218"</f>
        <v>3218</v>
      </c>
      <c r="F955" t="s">
        <v>5424</v>
      </c>
      <c r="G955" t="s">
        <v>22</v>
      </c>
      <c r="H955">
        <v>5</v>
      </c>
      <c r="I955" t="s">
        <v>5425</v>
      </c>
      <c r="K955" t="s">
        <v>5045</v>
      </c>
      <c r="L955" t="s">
        <v>25</v>
      </c>
      <c r="M955" t="s">
        <v>5426</v>
      </c>
      <c r="N955" t="s">
        <v>5427</v>
      </c>
      <c r="O955" t="s">
        <v>5428</v>
      </c>
      <c r="P955" t="s">
        <v>5429</v>
      </c>
      <c r="Q955" t="s">
        <v>30</v>
      </c>
      <c r="R955" t="s">
        <v>31</v>
      </c>
      <c r="S955" t="s">
        <v>32</v>
      </c>
    </row>
    <row r="956" spans="1:19" x14ac:dyDescent="0.45">
      <c r="A956" t="str">
        <f t="shared" si="57"/>
        <v>17801</v>
      </c>
      <c r="B956" t="s">
        <v>19</v>
      </c>
      <c r="C956" t="str">
        <f t="shared" si="58"/>
        <v>17001</v>
      </c>
      <c r="D956" t="s">
        <v>2209</v>
      </c>
      <c r="E956" t="str">
        <f>"3276"</f>
        <v>3276</v>
      </c>
      <c r="F956" t="s">
        <v>5430</v>
      </c>
      <c r="G956">
        <v>9</v>
      </c>
      <c r="H956">
        <v>12</v>
      </c>
      <c r="I956" t="s">
        <v>5431</v>
      </c>
      <c r="K956" t="s">
        <v>5045</v>
      </c>
      <c r="L956" t="s">
        <v>25</v>
      </c>
      <c r="M956" t="s">
        <v>5432</v>
      </c>
      <c r="N956" t="s">
        <v>5433</v>
      </c>
      <c r="O956" t="s">
        <v>5434</v>
      </c>
      <c r="P956" t="s">
        <v>5435</v>
      </c>
      <c r="Q956" t="s">
        <v>30</v>
      </c>
      <c r="R956" t="s">
        <v>31</v>
      </c>
      <c r="S956" t="s">
        <v>58</v>
      </c>
    </row>
    <row r="957" spans="1:19" x14ac:dyDescent="0.45">
      <c r="A957" t="str">
        <f t="shared" si="57"/>
        <v>17801</v>
      </c>
      <c r="B957" t="s">
        <v>19</v>
      </c>
      <c r="C957" t="str">
        <f t="shared" si="58"/>
        <v>17001</v>
      </c>
      <c r="D957" t="s">
        <v>2209</v>
      </c>
      <c r="E957" t="str">
        <f>"3277"</f>
        <v>3277</v>
      </c>
      <c r="F957" t="s">
        <v>5436</v>
      </c>
      <c r="G957">
        <v>6</v>
      </c>
      <c r="H957">
        <v>8</v>
      </c>
      <c r="I957" t="s">
        <v>5437</v>
      </c>
      <c r="K957" t="s">
        <v>5045</v>
      </c>
      <c r="L957" t="s">
        <v>25</v>
      </c>
      <c r="M957" t="s">
        <v>5438</v>
      </c>
      <c r="N957" t="s">
        <v>5439</v>
      </c>
      <c r="O957" t="s">
        <v>5440</v>
      </c>
      <c r="P957" t="s">
        <v>5441</v>
      </c>
      <c r="Q957" t="s">
        <v>30</v>
      </c>
      <c r="R957" t="s">
        <v>31</v>
      </c>
      <c r="S957" t="s">
        <v>104</v>
      </c>
    </row>
    <row r="958" spans="1:19" x14ac:dyDescent="0.45">
      <c r="A958" t="str">
        <f t="shared" si="57"/>
        <v>17801</v>
      </c>
      <c r="B958" t="s">
        <v>19</v>
      </c>
      <c r="C958" t="str">
        <f t="shared" si="58"/>
        <v>17001</v>
      </c>
      <c r="D958" t="s">
        <v>2209</v>
      </c>
      <c r="E958" t="str">
        <f>"3327"</f>
        <v>3327</v>
      </c>
      <c r="F958" t="s">
        <v>5442</v>
      </c>
      <c r="G958">
        <v>9</v>
      </c>
      <c r="H958">
        <v>12</v>
      </c>
      <c r="I958" t="s">
        <v>5443</v>
      </c>
      <c r="K958" t="s">
        <v>5045</v>
      </c>
      <c r="L958" t="s">
        <v>25</v>
      </c>
      <c r="M958" t="s">
        <v>5444</v>
      </c>
      <c r="N958" t="s">
        <v>5445</v>
      </c>
      <c r="O958" t="s">
        <v>5446</v>
      </c>
      <c r="P958" t="s">
        <v>5447</v>
      </c>
      <c r="Q958" t="s">
        <v>30</v>
      </c>
      <c r="R958" t="s">
        <v>31</v>
      </c>
      <c r="S958" t="s">
        <v>58</v>
      </c>
    </row>
    <row r="959" spans="1:19" x14ac:dyDescent="0.45">
      <c r="A959" t="str">
        <f t="shared" si="57"/>
        <v>17801</v>
      </c>
      <c r="B959" t="s">
        <v>19</v>
      </c>
      <c r="C959" t="str">
        <f t="shared" si="58"/>
        <v>17001</v>
      </c>
      <c r="D959" t="s">
        <v>2209</v>
      </c>
      <c r="E959" t="str">
        <f>"3378"</f>
        <v>3378</v>
      </c>
      <c r="F959" t="s">
        <v>5448</v>
      </c>
      <c r="G959" t="s">
        <v>22</v>
      </c>
      <c r="H959">
        <v>5</v>
      </c>
      <c r="I959" t="s">
        <v>5449</v>
      </c>
      <c r="K959" t="s">
        <v>5045</v>
      </c>
      <c r="L959" t="s">
        <v>25</v>
      </c>
      <c r="M959" t="s">
        <v>5450</v>
      </c>
      <c r="N959" t="s">
        <v>5451</v>
      </c>
      <c r="O959" t="s">
        <v>5452</v>
      </c>
      <c r="P959" t="s">
        <v>5453</v>
      </c>
      <c r="Q959" t="s">
        <v>30</v>
      </c>
      <c r="R959" t="s">
        <v>31</v>
      </c>
      <c r="S959" t="s">
        <v>32</v>
      </c>
    </row>
    <row r="960" spans="1:19" x14ac:dyDescent="0.45">
      <c r="A960" t="str">
        <f t="shared" si="57"/>
        <v>17801</v>
      </c>
      <c r="B960" t="s">
        <v>19</v>
      </c>
      <c r="C960" t="str">
        <f t="shared" si="58"/>
        <v>17001</v>
      </c>
      <c r="D960" t="s">
        <v>2209</v>
      </c>
      <c r="E960" t="str">
        <f>"3380"</f>
        <v>3380</v>
      </c>
      <c r="F960" t="s">
        <v>21</v>
      </c>
      <c r="G960" t="s">
        <v>22</v>
      </c>
      <c r="H960">
        <v>5</v>
      </c>
      <c r="I960" t="s">
        <v>5454</v>
      </c>
      <c r="K960" t="s">
        <v>5045</v>
      </c>
      <c r="L960" t="s">
        <v>25</v>
      </c>
      <c r="M960" t="s">
        <v>5455</v>
      </c>
      <c r="N960" t="s">
        <v>5456</v>
      </c>
      <c r="O960" t="s">
        <v>5457</v>
      </c>
      <c r="P960" t="s">
        <v>5458</v>
      </c>
      <c r="Q960" t="s">
        <v>30</v>
      </c>
      <c r="R960" t="s">
        <v>31</v>
      </c>
      <c r="S960" t="s">
        <v>32</v>
      </c>
    </row>
    <row r="961" spans="1:19" x14ac:dyDescent="0.45">
      <c r="A961" t="str">
        <f t="shared" si="57"/>
        <v>17801</v>
      </c>
      <c r="B961" t="s">
        <v>19</v>
      </c>
      <c r="C961" t="str">
        <f t="shared" si="58"/>
        <v>17001</v>
      </c>
      <c r="D961" t="s">
        <v>2209</v>
      </c>
      <c r="E961" t="str">
        <f>"3429"</f>
        <v>3429</v>
      </c>
      <c r="F961" t="s">
        <v>5459</v>
      </c>
      <c r="G961" t="s">
        <v>70</v>
      </c>
      <c r="H961">
        <v>5</v>
      </c>
      <c r="I961" t="s">
        <v>5460</v>
      </c>
      <c r="K961" t="s">
        <v>5045</v>
      </c>
      <c r="L961" t="s">
        <v>25</v>
      </c>
      <c r="M961">
        <v>98116</v>
      </c>
      <c r="N961" t="s">
        <v>5461</v>
      </c>
      <c r="O961" t="s">
        <v>5462</v>
      </c>
      <c r="P961" t="s">
        <v>5463</v>
      </c>
      <c r="Q961" t="s">
        <v>30</v>
      </c>
      <c r="R961" t="s">
        <v>31</v>
      </c>
      <c r="S961" t="s">
        <v>32</v>
      </c>
    </row>
    <row r="962" spans="1:19" x14ac:dyDescent="0.45">
      <c r="A962" t="str">
        <f t="shared" si="57"/>
        <v>17801</v>
      </c>
      <c r="B962" t="s">
        <v>19</v>
      </c>
      <c r="C962" t="str">
        <f t="shared" si="58"/>
        <v>17001</v>
      </c>
      <c r="D962" t="s">
        <v>2209</v>
      </c>
      <c r="E962" t="str">
        <f>"3478"</f>
        <v>3478</v>
      </c>
      <c r="F962" t="s">
        <v>5464</v>
      </c>
      <c r="G962" t="s">
        <v>70</v>
      </c>
      <c r="H962">
        <v>5</v>
      </c>
      <c r="I962" t="s">
        <v>5465</v>
      </c>
      <c r="K962" t="s">
        <v>5045</v>
      </c>
      <c r="L962" t="s">
        <v>25</v>
      </c>
      <c r="M962" t="s">
        <v>5466</v>
      </c>
      <c r="N962" t="s">
        <v>5467</v>
      </c>
      <c r="O962" t="s">
        <v>5468</v>
      </c>
      <c r="P962" t="s">
        <v>5469</v>
      </c>
      <c r="Q962" t="s">
        <v>30</v>
      </c>
      <c r="R962" t="s">
        <v>31</v>
      </c>
      <c r="S962" t="s">
        <v>32</v>
      </c>
    </row>
    <row r="963" spans="1:19" x14ac:dyDescent="0.45">
      <c r="A963" t="str">
        <f t="shared" si="57"/>
        <v>17801</v>
      </c>
      <c r="B963" t="s">
        <v>19</v>
      </c>
      <c r="C963" t="str">
        <f t="shared" si="58"/>
        <v>17001</v>
      </c>
      <c r="D963" t="s">
        <v>2209</v>
      </c>
      <c r="E963" t="str">
        <f>"3479"</f>
        <v>3479</v>
      </c>
      <c r="F963" t="s">
        <v>5470</v>
      </c>
      <c r="G963">
        <v>9</v>
      </c>
      <c r="H963">
        <v>12</v>
      </c>
      <c r="I963" t="s">
        <v>5471</v>
      </c>
      <c r="K963" t="s">
        <v>5045</v>
      </c>
      <c r="L963" t="s">
        <v>25</v>
      </c>
      <c r="M963" t="s">
        <v>5472</v>
      </c>
      <c r="N963" t="s">
        <v>5473</v>
      </c>
      <c r="O963" t="s">
        <v>5474</v>
      </c>
      <c r="P963" t="s">
        <v>5475</v>
      </c>
      <c r="Q963" t="s">
        <v>30</v>
      </c>
      <c r="R963" t="s">
        <v>31</v>
      </c>
      <c r="S963" t="s">
        <v>58</v>
      </c>
    </row>
    <row r="964" spans="1:19" x14ac:dyDescent="0.45">
      <c r="A964" t="str">
        <f t="shared" si="57"/>
        <v>17801</v>
      </c>
      <c r="B964" t="s">
        <v>19</v>
      </c>
      <c r="C964" t="str">
        <f t="shared" si="58"/>
        <v>17001</v>
      </c>
      <c r="D964" t="s">
        <v>2209</v>
      </c>
      <c r="E964" t="str">
        <f>"3517"</f>
        <v>3517</v>
      </c>
      <c r="F964" t="s">
        <v>5476</v>
      </c>
      <c r="G964">
        <v>6</v>
      </c>
      <c r="H964">
        <v>8</v>
      </c>
      <c r="I964" t="s">
        <v>5477</v>
      </c>
      <c r="K964" t="s">
        <v>5045</v>
      </c>
      <c r="L964" t="s">
        <v>25</v>
      </c>
      <c r="M964" t="s">
        <v>5478</v>
      </c>
      <c r="N964" t="s">
        <v>5479</v>
      </c>
      <c r="O964" t="s">
        <v>5480</v>
      </c>
      <c r="P964" t="s">
        <v>5481</v>
      </c>
      <c r="Q964" t="s">
        <v>30</v>
      </c>
      <c r="R964" t="s">
        <v>31</v>
      </c>
      <c r="S964" t="s">
        <v>104</v>
      </c>
    </row>
    <row r="965" spans="1:19" x14ac:dyDescent="0.45">
      <c r="A965" t="str">
        <f t="shared" si="57"/>
        <v>17801</v>
      </c>
      <c r="B965" t="s">
        <v>19</v>
      </c>
      <c r="C965" t="str">
        <f t="shared" si="58"/>
        <v>17001</v>
      </c>
      <c r="D965" t="s">
        <v>2209</v>
      </c>
      <c r="E965" t="str">
        <f>"3518"</f>
        <v>3518</v>
      </c>
      <c r="F965" t="s">
        <v>5482</v>
      </c>
      <c r="G965" t="s">
        <v>22</v>
      </c>
      <c r="H965">
        <v>5</v>
      </c>
      <c r="I965" t="s">
        <v>5483</v>
      </c>
      <c r="K965" t="s">
        <v>5045</v>
      </c>
      <c r="L965" t="s">
        <v>25</v>
      </c>
      <c r="M965" t="s">
        <v>5484</v>
      </c>
      <c r="N965" t="s">
        <v>5485</v>
      </c>
      <c r="O965" t="s">
        <v>5486</v>
      </c>
      <c r="P965" t="s">
        <v>5180</v>
      </c>
      <c r="Q965" t="s">
        <v>30</v>
      </c>
      <c r="R965" t="s">
        <v>31</v>
      </c>
      <c r="S965" t="s">
        <v>32</v>
      </c>
    </row>
    <row r="966" spans="1:19" x14ac:dyDescent="0.45">
      <c r="A966" t="str">
        <f t="shared" si="57"/>
        <v>17801</v>
      </c>
      <c r="B966" t="s">
        <v>19</v>
      </c>
      <c r="C966" t="str">
        <f t="shared" si="58"/>
        <v>17001</v>
      </c>
      <c r="D966" t="s">
        <v>2209</v>
      </c>
      <c r="E966" t="str">
        <f>"3581"</f>
        <v>3581</v>
      </c>
      <c r="F966" t="s">
        <v>5487</v>
      </c>
      <c r="G966" t="s">
        <v>70</v>
      </c>
      <c r="H966">
        <v>5</v>
      </c>
      <c r="I966" t="s">
        <v>5488</v>
      </c>
      <c r="K966" t="s">
        <v>5045</v>
      </c>
      <c r="L966" t="s">
        <v>25</v>
      </c>
      <c r="M966" t="s">
        <v>5489</v>
      </c>
      <c r="N966" t="s">
        <v>5490</v>
      </c>
      <c r="O966" t="s">
        <v>5491</v>
      </c>
      <c r="P966" t="s">
        <v>5492</v>
      </c>
      <c r="Q966" t="s">
        <v>30</v>
      </c>
      <c r="R966" t="s">
        <v>31</v>
      </c>
      <c r="S966" t="s">
        <v>32</v>
      </c>
    </row>
    <row r="967" spans="1:19" x14ac:dyDescent="0.45">
      <c r="A967" t="str">
        <f t="shared" si="57"/>
        <v>17801</v>
      </c>
      <c r="B967" t="s">
        <v>19</v>
      </c>
      <c r="C967" t="str">
        <f t="shared" si="58"/>
        <v>17001</v>
      </c>
      <c r="D967" t="s">
        <v>2209</v>
      </c>
      <c r="E967" t="str">
        <f>"3665"</f>
        <v>3665</v>
      </c>
      <c r="F967" t="s">
        <v>5493</v>
      </c>
      <c r="G967" t="s">
        <v>70</v>
      </c>
      <c r="H967">
        <v>5</v>
      </c>
      <c r="I967" t="s">
        <v>5494</v>
      </c>
      <c r="K967" t="s">
        <v>5045</v>
      </c>
      <c r="L967" t="s">
        <v>25</v>
      </c>
      <c r="M967" t="s">
        <v>5495</v>
      </c>
      <c r="N967" t="s">
        <v>5496</v>
      </c>
      <c r="O967" t="s">
        <v>5497</v>
      </c>
      <c r="P967" t="s">
        <v>5498</v>
      </c>
      <c r="Q967" t="s">
        <v>30</v>
      </c>
      <c r="R967" t="s">
        <v>31</v>
      </c>
      <c r="S967" t="s">
        <v>32</v>
      </c>
    </row>
    <row r="968" spans="1:19" x14ac:dyDescent="0.45">
      <c r="A968" t="str">
        <f t="shared" si="57"/>
        <v>17801</v>
      </c>
      <c r="B968" t="s">
        <v>19</v>
      </c>
      <c r="C968" t="str">
        <f t="shared" si="58"/>
        <v>17001</v>
      </c>
      <c r="D968" t="s">
        <v>2209</v>
      </c>
      <c r="E968" t="str">
        <f>"3714"</f>
        <v>3714</v>
      </c>
      <c r="F968" t="s">
        <v>5499</v>
      </c>
      <c r="G968" t="s">
        <v>22</v>
      </c>
      <c r="H968">
        <v>5</v>
      </c>
      <c r="I968" t="s">
        <v>5500</v>
      </c>
      <c r="K968" t="s">
        <v>5045</v>
      </c>
      <c r="L968" t="s">
        <v>25</v>
      </c>
      <c r="M968" t="s">
        <v>5501</v>
      </c>
      <c r="N968" t="s">
        <v>5502</v>
      </c>
      <c r="O968" t="s">
        <v>5503</v>
      </c>
      <c r="P968" t="s">
        <v>5318</v>
      </c>
      <c r="Q968" t="s">
        <v>30</v>
      </c>
      <c r="R968" t="s">
        <v>31</v>
      </c>
      <c r="S968" t="s">
        <v>32</v>
      </c>
    </row>
    <row r="969" spans="1:19" x14ac:dyDescent="0.45">
      <c r="A969" t="str">
        <f t="shared" si="57"/>
        <v>17801</v>
      </c>
      <c r="B969" t="s">
        <v>19</v>
      </c>
      <c r="C969" t="str">
        <f t="shared" si="58"/>
        <v>17001</v>
      </c>
      <c r="D969" t="s">
        <v>2209</v>
      </c>
      <c r="E969" t="str">
        <f>"3717"</f>
        <v>3717</v>
      </c>
      <c r="F969" t="s">
        <v>5504</v>
      </c>
      <c r="G969" t="s">
        <v>22</v>
      </c>
      <c r="H969">
        <v>5</v>
      </c>
      <c r="I969" t="s">
        <v>5505</v>
      </c>
      <c r="K969" t="s">
        <v>5045</v>
      </c>
      <c r="L969" t="s">
        <v>25</v>
      </c>
      <c r="M969" t="s">
        <v>5506</v>
      </c>
      <c r="N969" t="s">
        <v>5507</v>
      </c>
      <c r="O969" t="s">
        <v>5508</v>
      </c>
      <c r="P969" t="s">
        <v>5509</v>
      </c>
      <c r="Q969" t="s">
        <v>30</v>
      </c>
      <c r="R969" t="s">
        <v>31</v>
      </c>
      <c r="S969" t="s">
        <v>32</v>
      </c>
    </row>
    <row r="970" spans="1:19" x14ac:dyDescent="0.45">
      <c r="A970" t="str">
        <f t="shared" si="57"/>
        <v>17801</v>
      </c>
      <c r="B970" t="s">
        <v>19</v>
      </c>
      <c r="C970" t="str">
        <f t="shared" si="58"/>
        <v>17001</v>
      </c>
      <c r="D970" t="s">
        <v>2209</v>
      </c>
      <c r="E970" t="str">
        <f>"3774"</f>
        <v>3774</v>
      </c>
      <c r="F970" t="s">
        <v>5510</v>
      </c>
      <c r="G970">
        <v>6</v>
      </c>
      <c r="H970">
        <v>8</v>
      </c>
      <c r="I970" t="s">
        <v>5511</v>
      </c>
      <c r="K970" t="s">
        <v>152</v>
      </c>
      <c r="L970" t="s">
        <v>25</v>
      </c>
      <c r="M970" t="s">
        <v>5512</v>
      </c>
      <c r="N970" t="s">
        <v>5513</v>
      </c>
      <c r="O970" t="s">
        <v>5514</v>
      </c>
      <c r="P970" t="s">
        <v>5515</v>
      </c>
      <c r="Q970" t="s">
        <v>30</v>
      </c>
      <c r="R970" t="s">
        <v>31</v>
      </c>
      <c r="S970" t="s">
        <v>104</v>
      </c>
    </row>
    <row r="971" spans="1:19" x14ac:dyDescent="0.45">
      <c r="A971" t="str">
        <f t="shared" si="57"/>
        <v>17801</v>
      </c>
      <c r="B971" t="s">
        <v>19</v>
      </c>
      <c r="C971" t="str">
        <f t="shared" si="58"/>
        <v>17001</v>
      </c>
      <c r="D971" t="s">
        <v>2209</v>
      </c>
      <c r="E971" t="str">
        <f>"3778"</f>
        <v>3778</v>
      </c>
      <c r="F971" t="s">
        <v>5516</v>
      </c>
      <c r="G971">
        <v>9</v>
      </c>
      <c r="H971">
        <v>12</v>
      </c>
      <c r="I971" t="s">
        <v>5517</v>
      </c>
      <c r="K971" t="s">
        <v>5045</v>
      </c>
      <c r="L971" t="s">
        <v>25</v>
      </c>
      <c r="M971" t="s">
        <v>5518</v>
      </c>
      <c r="N971" t="s">
        <v>5519</v>
      </c>
      <c r="O971" t="s">
        <v>5520</v>
      </c>
      <c r="P971" t="s">
        <v>5521</v>
      </c>
      <c r="Q971" t="s">
        <v>157</v>
      </c>
      <c r="R971" t="s">
        <v>158</v>
      </c>
      <c r="S971" t="s">
        <v>58</v>
      </c>
    </row>
    <row r="972" spans="1:19" x14ac:dyDescent="0.45">
      <c r="A972" t="str">
        <f t="shared" si="57"/>
        <v>17801</v>
      </c>
      <c r="B972" t="s">
        <v>19</v>
      </c>
      <c r="C972" t="str">
        <f t="shared" si="58"/>
        <v>17001</v>
      </c>
      <c r="D972" t="s">
        <v>2209</v>
      </c>
      <c r="E972" t="str">
        <f>"3803"</f>
        <v>3803</v>
      </c>
      <c r="F972" t="s">
        <v>5522</v>
      </c>
      <c r="G972" t="s">
        <v>22</v>
      </c>
      <c r="H972">
        <v>5</v>
      </c>
      <c r="I972" t="s">
        <v>5523</v>
      </c>
      <c r="K972" t="s">
        <v>5045</v>
      </c>
      <c r="L972" t="s">
        <v>25</v>
      </c>
      <c r="M972" t="s">
        <v>5524</v>
      </c>
      <c r="N972" t="s">
        <v>5525</v>
      </c>
      <c r="O972" t="s">
        <v>5526</v>
      </c>
      <c r="P972" t="s">
        <v>5527</v>
      </c>
      <c r="Q972" t="s">
        <v>30</v>
      </c>
      <c r="R972" t="s">
        <v>31</v>
      </c>
      <c r="S972" t="s">
        <v>32</v>
      </c>
    </row>
    <row r="973" spans="1:19" x14ac:dyDescent="0.45">
      <c r="A973" t="str">
        <f t="shared" si="57"/>
        <v>17801</v>
      </c>
      <c r="B973" t="s">
        <v>19</v>
      </c>
      <c r="C973" t="str">
        <f t="shared" si="58"/>
        <v>17001</v>
      </c>
      <c r="D973" t="s">
        <v>2209</v>
      </c>
      <c r="E973" t="str">
        <f>"3868"</f>
        <v>3868</v>
      </c>
      <c r="F973" t="s">
        <v>5528</v>
      </c>
      <c r="G973">
        <v>9</v>
      </c>
      <c r="H973">
        <v>12</v>
      </c>
      <c r="I973" t="s">
        <v>5529</v>
      </c>
      <c r="K973" t="s">
        <v>5045</v>
      </c>
      <c r="L973" t="s">
        <v>25</v>
      </c>
      <c r="M973" t="s">
        <v>5530</v>
      </c>
      <c r="N973" t="s">
        <v>5531</v>
      </c>
      <c r="O973" t="s">
        <v>5532</v>
      </c>
      <c r="P973" t="s">
        <v>5533</v>
      </c>
      <c r="Q973" t="s">
        <v>157</v>
      </c>
      <c r="R973" t="s">
        <v>158</v>
      </c>
      <c r="S973" t="s">
        <v>58</v>
      </c>
    </row>
    <row r="974" spans="1:19" x14ac:dyDescent="0.45">
      <c r="A974" t="str">
        <f t="shared" si="57"/>
        <v>17801</v>
      </c>
      <c r="B974" t="s">
        <v>19</v>
      </c>
      <c r="C974" t="str">
        <f t="shared" si="58"/>
        <v>17001</v>
      </c>
      <c r="D974" t="s">
        <v>2209</v>
      </c>
      <c r="E974" t="str">
        <f>"3874"</f>
        <v>3874</v>
      </c>
      <c r="F974" t="s">
        <v>5534</v>
      </c>
      <c r="G974" t="s">
        <v>22</v>
      </c>
      <c r="H974">
        <v>8</v>
      </c>
      <c r="I974" t="s">
        <v>5535</v>
      </c>
      <c r="K974" t="s">
        <v>5045</v>
      </c>
      <c r="L974" t="s">
        <v>25</v>
      </c>
      <c r="M974">
        <v>98115</v>
      </c>
      <c r="N974" t="s">
        <v>5536</v>
      </c>
      <c r="O974" t="s">
        <v>5537</v>
      </c>
      <c r="P974" t="s">
        <v>5538</v>
      </c>
      <c r="Q974" t="s">
        <v>157</v>
      </c>
      <c r="R974" t="s">
        <v>158</v>
      </c>
      <c r="S974" t="s">
        <v>159</v>
      </c>
    </row>
    <row r="975" spans="1:19" x14ac:dyDescent="0.45">
      <c r="A975" t="str">
        <f t="shared" si="57"/>
        <v>17801</v>
      </c>
      <c r="B975" t="s">
        <v>19</v>
      </c>
      <c r="C975" t="str">
        <f t="shared" si="58"/>
        <v>17001</v>
      </c>
      <c r="D975" t="s">
        <v>2209</v>
      </c>
      <c r="E975" t="str">
        <f>"3974"</f>
        <v>3974</v>
      </c>
      <c r="F975" t="s">
        <v>5539</v>
      </c>
      <c r="G975" t="s">
        <v>22</v>
      </c>
      <c r="H975">
        <v>5</v>
      </c>
      <c r="I975" t="s">
        <v>5540</v>
      </c>
      <c r="K975" t="s">
        <v>5045</v>
      </c>
      <c r="L975" t="s">
        <v>25</v>
      </c>
      <c r="M975">
        <v>98115</v>
      </c>
      <c r="N975" t="s">
        <v>5541</v>
      </c>
      <c r="O975" t="s">
        <v>5542</v>
      </c>
      <c r="P975" t="s">
        <v>5543</v>
      </c>
      <c r="Q975" t="s">
        <v>157</v>
      </c>
      <c r="R975" t="s">
        <v>158</v>
      </c>
      <c r="S975" t="s">
        <v>32</v>
      </c>
    </row>
    <row r="976" spans="1:19" x14ac:dyDescent="0.45">
      <c r="A976" t="str">
        <f t="shared" si="57"/>
        <v>17801</v>
      </c>
      <c r="B976" t="s">
        <v>19</v>
      </c>
      <c r="C976" t="str">
        <f t="shared" si="58"/>
        <v>17001</v>
      </c>
      <c r="D976" t="s">
        <v>2209</v>
      </c>
      <c r="E976" t="str">
        <f>"4064"</f>
        <v>4064</v>
      </c>
      <c r="F976" t="s">
        <v>5544</v>
      </c>
      <c r="G976">
        <v>6</v>
      </c>
      <c r="H976">
        <v>8</v>
      </c>
      <c r="I976" t="s">
        <v>5545</v>
      </c>
      <c r="K976" t="s">
        <v>5045</v>
      </c>
      <c r="L976" t="s">
        <v>25</v>
      </c>
      <c r="M976" t="s">
        <v>5546</v>
      </c>
      <c r="N976" t="s">
        <v>5547</v>
      </c>
      <c r="O976" t="s">
        <v>5548</v>
      </c>
      <c r="P976" t="s">
        <v>5549</v>
      </c>
      <c r="Q976" t="s">
        <v>30</v>
      </c>
      <c r="R976" t="s">
        <v>31</v>
      </c>
      <c r="S976" t="s">
        <v>104</v>
      </c>
    </row>
    <row r="977" spans="1:19" x14ac:dyDescent="0.45">
      <c r="A977" t="str">
        <f t="shared" si="57"/>
        <v>17801</v>
      </c>
      <c r="B977" t="s">
        <v>19</v>
      </c>
      <c r="C977" t="str">
        <f t="shared" si="58"/>
        <v>17001</v>
      </c>
      <c r="D977" t="s">
        <v>2209</v>
      </c>
      <c r="E977" t="str">
        <f>"4065"</f>
        <v>4065</v>
      </c>
      <c r="F977" t="s">
        <v>5550</v>
      </c>
      <c r="G977" t="s">
        <v>70</v>
      </c>
      <c r="H977">
        <v>8</v>
      </c>
      <c r="I977" t="s">
        <v>5551</v>
      </c>
      <c r="K977" t="s">
        <v>5045</v>
      </c>
      <c r="L977" t="s">
        <v>25</v>
      </c>
      <c r="M977" t="s">
        <v>5552</v>
      </c>
      <c r="N977" t="s">
        <v>5553</v>
      </c>
      <c r="O977" t="s">
        <v>5554</v>
      </c>
      <c r="P977" t="s">
        <v>5555</v>
      </c>
      <c r="Q977" t="s">
        <v>157</v>
      </c>
      <c r="R977" t="s">
        <v>158</v>
      </c>
      <c r="S977" t="s">
        <v>159</v>
      </c>
    </row>
    <row r="978" spans="1:19" x14ac:dyDescent="0.45">
      <c r="A978" t="str">
        <f t="shared" si="57"/>
        <v>17801</v>
      </c>
      <c r="B978" t="s">
        <v>19</v>
      </c>
      <c r="C978" t="str">
        <f t="shared" si="58"/>
        <v>17001</v>
      </c>
      <c r="D978" t="s">
        <v>2209</v>
      </c>
      <c r="E978" t="str">
        <f>"4218"</f>
        <v>4218</v>
      </c>
      <c r="F978" t="s">
        <v>5556</v>
      </c>
      <c r="G978" t="s">
        <v>22</v>
      </c>
      <c r="H978">
        <v>8</v>
      </c>
      <c r="I978" t="s">
        <v>5557</v>
      </c>
      <c r="K978" t="s">
        <v>5045</v>
      </c>
      <c r="L978" t="s">
        <v>25</v>
      </c>
      <c r="M978" t="s">
        <v>5558</v>
      </c>
      <c r="N978" t="s">
        <v>5559</v>
      </c>
      <c r="O978" t="s">
        <v>5560</v>
      </c>
      <c r="P978" t="s">
        <v>5561</v>
      </c>
      <c r="Q978" t="s">
        <v>30</v>
      </c>
      <c r="R978" t="s">
        <v>31</v>
      </c>
      <c r="S978" t="s">
        <v>159</v>
      </c>
    </row>
    <row r="979" spans="1:19" x14ac:dyDescent="0.45">
      <c r="A979" t="str">
        <f t="shared" si="57"/>
        <v>17801</v>
      </c>
      <c r="B979" t="s">
        <v>19</v>
      </c>
      <c r="C979" t="str">
        <f t="shared" si="58"/>
        <v>17001</v>
      </c>
      <c r="D979" t="s">
        <v>2209</v>
      </c>
      <c r="E979" t="str">
        <f>"4248"</f>
        <v>4248</v>
      </c>
      <c r="F979" t="s">
        <v>5562</v>
      </c>
      <c r="G979" t="s">
        <v>22</v>
      </c>
      <c r="H979">
        <v>5</v>
      </c>
      <c r="I979" t="s">
        <v>5563</v>
      </c>
      <c r="K979" t="s">
        <v>5045</v>
      </c>
      <c r="L979" t="s">
        <v>25</v>
      </c>
      <c r="M979" t="s">
        <v>5564</v>
      </c>
      <c r="N979" t="s">
        <v>5565</v>
      </c>
      <c r="O979" t="s">
        <v>5566</v>
      </c>
      <c r="P979" t="s">
        <v>5567</v>
      </c>
      <c r="Q979" t="s">
        <v>30</v>
      </c>
      <c r="R979" t="s">
        <v>31</v>
      </c>
      <c r="S979" t="s">
        <v>32</v>
      </c>
    </row>
    <row r="980" spans="1:19" x14ac:dyDescent="0.45">
      <c r="A980" t="str">
        <f t="shared" si="57"/>
        <v>17801</v>
      </c>
      <c r="B980" t="s">
        <v>19</v>
      </c>
      <c r="C980" t="str">
        <f t="shared" si="58"/>
        <v>17001</v>
      </c>
      <c r="D980" t="s">
        <v>2209</v>
      </c>
      <c r="E980" t="str">
        <f>"4263"</f>
        <v>4263</v>
      </c>
      <c r="F980" t="s">
        <v>5568</v>
      </c>
      <c r="G980" t="s">
        <v>22</v>
      </c>
      <c r="H980">
        <v>12</v>
      </c>
      <c r="I980" t="s">
        <v>5569</v>
      </c>
      <c r="K980" t="s">
        <v>5045</v>
      </c>
      <c r="L980" t="s">
        <v>25</v>
      </c>
      <c r="M980" t="s">
        <v>5570</v>
      </c>
      <c r="N980" t="s">
        <v>5571</v>
      </c>
      <c r="O980" t="s">
        <v>5572</v>
      </c>
      <c r="P980" t="s">
        <v>5573</v>
      </c>
      <c r="Q980" t="s">
        <v>66</v>
      </c>
      <c r="R980" t="s">
        <v>67</v>
      </c>
      <c r="S980" t="s">
        <v>68</v>
      </c>
    </row>
    <row r="981" spans="1:19" x14ac:dyDescent="0.45">
      <c r="A981" t="str">
        <f t="shared" si="57"/>
        <v>17801</v>
      </c>
      <c r="B981" t="s">
        <v>19</v>
      </c>
      <c r="C981" t="str">
        <f t="shared" ref="C981:C1009" si="59">"17210"</f>
        <v>17210</v>
      </c>
      <c r="D981" t="s">
        <v>20</v>
      </c>
      <c r="E981" t="str">
        <f>"1759"</f>
        <v>1759</v>
      </c>
      <c r="F981" t="s">
        <v>5574</v>
      </c>
      <c r="G981" t="s">
        <v>22</v>
      </c>
      <c r="H981">
        <v>12</v>
      </c>
      <c r="I981" t="s">
        <v>2471</v>
      </c>
      <c r="K981" t="s">
        <v>2472</v>
      </c>
      <c r="L981" t="s">
        <v>25</v>
      </c>
      <c r="M981">
        <v>98003</v>
      </c>
      <c r="N981" t="s">
        <v>2473</v>
      </c>
      <c r="O981" t="s">
        <v>2474</v>
      </c>
      <c r="P981" t="s">
        <v>5575</v>
      </c>
      <c r="Q981" t="s">
        <v>157</v>
      </c>
      <c r="R981" t="s">
        <v>158</v>
      </c>
      <c r="S981" t="s">
        <v>68</v>
      </c>
    </row>
    <row r="982" spans="1:19" x14ac:dyDescent="0.45">
      <c r="A982" t="str">
        <f t="shared" si="57"/>
        <v>17801</v>
      </c>
      <c r="B982" t="s">
        <v>19</v>
      </c>
      <c r="C982" t="str">
        <f t="shared" si="59"/>
        <v>17210</v>
      </c>
      <c r="D982" t="s">
        <v>20</v>
      </c>
      <c r="E982" t="str">
        <f>"1789"</f>
        <v>1789</v>
      </c>
      <c r="F982" t="s">
        <v>5576</v>
      </c>
      <c r="G982">
        <v>6</v>
      </c>
      <c r="H982">
        <v>10</v>
      </c>
      <c r="I982" t="s">
        <v>5577</v>
      </c>
      <c r="K982" t="s">
        <v>24</v>
      </c>
      <c r="L982" t="s">
        <v>25</v>
      </c>
      <c r="M982" t="s">
        <v>5578</v>
      </c>
      <c r="N982" t="s">
        <v>5579</v>
      </c>
      <c r="O982" t="s">
        <v>5580</v>
      </c>
      <c r="P982" t="s">
        <v>5581</v>
      </c>
      <c r="Q982" t="s">
        <v>30</v>
      </c>
      <c r="R982" t="s">
        <v>31</v>
      </c>
      <c r="S982" t="s">
        <v>159</v>
      </c>
    </row>
    <row r="983" spans="1:19" x14ac:dyDescent="0.45">
      <c r="A983" t="str">
        <f t="shared" si="57"/>
        <v>17801</v>
      </c>
      <c r="B983" t="s">
        <v>19</v>
      </c>
      <c r="C983" t="str">
        <f t="shared" si="59"/>
        <v>17210</v>
      </c>
      <c r="D983" t="s">
        <v>20</v>
      </c>
      <c r="E983" t="str">
        <f>"2417"</f>
        <v>2417</v>
      </c>
      <c r="F983" t="s">
        <v>5582</v>
      </c>
      <c r="G983">
        <v>9</v>
      </c>
      <c r="H983">
        <v>12</v>
      </c>
      <c r="I983" t="s">
        <v>5583</v>
      </c>
      <c r="K983" t="s">
        <v>24</v>
      </c>
      <c r="L983" t="s">
        <v>25</v>
      </c>
      <c r="M983" t="s">
        <v>5584</v>
      </c>
      <c r="N983" t="s">
        <v>5585</v>
      </c>
      <c r="O983" t="s">
        <v>5586</v>
      </c>
      <c r="P983" t="s">
        <v>5587</v>
      </c>
      <c r="Q983" t="s">
        <v>30</v>
      </c>
      <c r="R983" t="s">
        <v>31</v>
      </c>
      <c r="S983" t="s">
        <v>58</v>
      </c>
    </row>
    <row r="984" spans="1:19" x14ac:dyDescent="0.45">
      <c r="A984" t="str">
        <f t="shared" si="57"/>
        <v>17801</v>
      </c>
      <c r="B984" t="s">
        <v>19</v>
      </c>
      <c r="C984" t="str">
        <f t="shared" si="59"/>
        <v>17210</v>
      </c>
      <c r="D984" t="s">
        <v>20</v>
      </c>
      <c r="E984" t="str">
        <f>"2841"</f>
        <v>2841</v>
      </c>
      <c r="F984" t="s">
        <v>5588</v>
      </c>
      <c r="G984" t="s">
        <v>22</v>
      </c>
      <c r="H984">
        <v>5</v>
      </c>
      <c r="I984" t="s">
        <v>5589</v>
      </c>
      <c r="K984" t="s">
        <v>47</v>
      </c>
      <c r="L984" t="s">
        <v>25</v>
      </c>
      <c r="M984" t="s">
        <v>5590</v>
      </c>
      <c r="N984" t="s">
        <v>5591</v>
      </c>
      <c r="O984" t="s">
        <v>5592</v>
      </c>
      <c r="P984" t="s">
        <v>5593</v>
      </c>
      <c r="Q984" t="s">
        <v>30</v>
      </c>
      <c r="R984" t="s">
        <v>31</v>
      </c>
      <c r="S984" t="s">
        <v>32</v>
      </c>
    </row>
    <row r="985" spans="1:19" x14ac:dyDescent="0.45">
      <c r="A985" t="str">
        <f t="shared" si="57"/>
        <v>17801</v>
      </c>
      <c r="B985" t="s">
        <v>19</v>
      </c>
      <c r="C985" t="str">
        <f t="shared" si="59"/>
        <v>17210</v>
      </c>
      <c r="D985" t="s">
        <v>20</v>
      </c>
      <c r="E985" t="str">
        <f>"3159"</f>
        <v>3159</v>
      </c>
      <c r="F985" t="s">
        <v>5594</v>
      </c>
      <c r="G985" t="s">
        <v>22</v>
      </c>
      <c r="H985">
        <v>5</v>
      </c>
      <c r="I985" t="s">
        <v>5595</v>
      </c>
      <c r="K985" t="s">
        <v>24</v>
      </c>
      <c r="L985" t="s">
        <v>25</v>
      </c>
      <c r="M985" t="s">
        <v>5596</v>
      </c>
      <c r="N985" t="s">
        <v>5597</v>
      </c>
      <c r="O985" t="s">
        <v>5598</v>
      </c>
      <c r="P985" t="s">
        <v>5599</v>
      </c>
      <c r="Q985" t="s">
        <v>30</v>
      </c>
      <c r="R985" t="s">
        <v>31</v>
      </c>
      <c r="S985" t="s">
        <v>32</v>
      </c>
    </row>
    <row r="986" spans="1:19" x14ac:dyDescent="0.45">
      <c r="A986" t="str">
        <f t="shared" si="57"/>
        <v>17801</v>
      </c>
      <c r="B986" t="s">
        <v>19</v>
      </c>
      <c r="C986" t="str">
        <f t="shared" si="59"/>
        <v>17210</v>
      </c>
      <c r="D986" t="s">
        <v>20</v>
      </c>
      <c r="E986" t="str">
        <f>"3160"</f>
        <v>3160</v>
      </c>
      <c r="F986" t="s">
        <v>5600</v>
      </c>
      <c r="G986" t="s">
        <v>22</v>
      </c>
      <c r="H986">
        <v>5</v>
      </c>
      <c r="I986" t="s">
        <v>5601</v>
      </c>
      <c r="K986" t="s">
        <v>5602</v>
      </c>
      <c r="L986" t="s">
        <v>25</v>
      </c>
      <c r="M986" t="s">
        <v>5603</v>
      </c>
      <c r="N986" t="s">
        <v>5604</v>
      </c>
      <c r="O986" t="s">
        <v>5605</v>
      </c>
      <c r="P986" t="s">
        <v>5606</v>
      </c>
      <c r="Q986" t="s">
        <v>30</v>
      </c>
      <c r="R986" t="s">
        <v>31</v>
      </c>
      <c r="S986" t="s">
        <v>32</v>
      </c>
    </row>
    <row r="987" spans="1:19" x14ac:dyDescent="0.45">
      <c r="A987" t="str">
        <f t="shared" si="57"/>
        <v>17801</v>
      </c>
      <c r="B987" t="s">
        <v>19</v>
      </c>
      <c r="C987" t="str">
        <f t="shared" si="59"/>
        <v>17210</v>
      </c>
      <c r="D987" t="s">
        <v>20</v>
      </c>
      <c r="E987" t="str">
        <f>"3328"</f>
        <v>3328</v>
      </c>
      <c r="F987" t="s">
        <v>5607</v>
      </c>
      <c r="G987" t="s">
        <v>70</v>
      </c>
      <c r="H987">
        <v>8</v>
      </c>
      <c r="I987" t="s">
        <v>5608</v>
      </c>
      <c r="K987" t="s">
        <v>5609</v>
      </c>
      <c r="L987" t="s">
        <v>25</v>
      </c>
      <c r="M987" t="s">
        <v>5610</v>
      </c>
      <c r="N987" t="s">
        <v>402</v>
      </c>
      <c r="O987" t="s">
        <v>5611</v>
      </c>
      <c r="P987" t="s">
        <v>5612</v>
      </c>
      <c r="Q987" t="s">
        <v>30</v>
      </c>
      <c r="R987" t="s">
        <v>31</v>
      </c>
      <c r="S987" t="s">
        <v>159</v>
      </c>
    </row>
    <row r="988" spans="1:19" x14ac:dyDescent="0.45">
      <c r="A988" t="str">
        <f t="shared" si="57"/>
        <v>17801</v>
      </c>
      <c r="B988" t="s">
        <v>19</v>
      </c>
      <c r="C988" t="str">
        <f t="shared" si="59"/>
        <v>17210</v>
      </c>
      <c r="D988" t="s">
        <v>20</v>
      </c>
      <c r="E988" t="str">
        <f>"3329"</f>
        <v>3329</v>
      </c>
      <c r="F988" t="s">
        <v>5613</v>
      </c>
      <c r="G988" t="s">
        <v>22</v>
      </c>
      <c r="H988">
        <v>5</v>
      </c>
      <c r="I988" t="s">
        <v>5614</v>
      </c>
      <c r="K988" t="s">
        <v>24</v>
      </c>
      <c r="L988" t="s">
        <v>25</v>
      </c>
      <c r="M988" t="s">
        <v>5615</v>
      </c>
      <c r="N988" t="s">
        <v>5616</v>
      </c>
      <c r="O988" t="s">
        <v>5617</v>
      </c>
      <c r="P988" t="s">
        <v>5618</v>
      </c>
      <c r="Q988" t="s">
        <v>30</v>
      </c>
      <c r="R988" t="s">
        <v>31</v>
      </c>
      <c r="S988" t="s">
        <v>32</v>
      </c>
    </row>
    <row r="989" spans="1:19" x14ac:dyDescent="0.45">
      <c r="A989" t="str">
        <f t="shared" si="57"/>
        <v>17801</v>
      </c>
      <c r="B989" t="s">
        <v>19</v>
      </c>
      <c r="C989" t="str">
        <f t="shared" si="59"/>
        <v>17210</v>
      </c>
      <c r="D989" t="s">
        <v>20</v>
      </c>
      <c r="E989" t="str">
        <f>"3381"</f>
        <v>3381</v>
      </c>
      <c r="F989" t="s">
        <v>5619</v>
      </c>
      <c r="G989">
        <v>6</v>
      </c>
      <c r="H989">
        <v>8</v>
      </c>
      <c r="I989" t="s">
        <v>5620</v>
      </c>
      <c r="K989" t="s">
        <v>24</v>
      </c>
      <c r="L989" t="s">
        <v>25</v>
      </c>
      <c r="M989" t="s">
        <v>5621</v>
      </c>
      <c r="N989" t="s">
        <v>5622</v>
      </c>
      <c r="O989" t="s">
        <v>5623</v>
      </c>
      <c r="P989" t="s">
        <v>5624</v>
      </c>
      <c r="Q989" t="s">
        <v>30</v>
      </c>
      <c r="R989" t="s">
        <v>31</v>
      </c>
      <c r="S989" t="s">
        <v>104</v>
      </c>
    </row>
    <row r="990" spans="1:19" x14ac:dyDescent="0.45">
      <c r="A990" t="str">
        <f t="shared" si="57"/>
        <v>17801</v>
      </c>
      <c r="B990" t="s">
        <v>19</v>
      </c>
      <c r="C990" t="str">
        <f t="shared" si="59"/>
        <v>17210</v>
      </c>
      <c r="D990" t="s">
        <v>20</v>
      </c>
      <c r="E990" t="str">
        <f>"3431"</f>
        <v>3431</v>
      </c>
      <c r="F990" t="s">
        <v>5625</v>
      </c>
      <c r="G990">
        <v>6</v>
      </c>
      <c r="H990">
        <v>8</v>
      </c>
      <c r="I990" t="s">
        <v>5626</v>
      </c>
      <c r="K990" t="s">
        <v>5602</v>
      </c>
      <c r="L990" t="s">
        <v>25</v>
      </c>
      <c r="M990" t="s">
        <v>5627</v>
      </c>
      <c r="N990" t="s">
        <v>5628</v>
      </c>
      <c r="O990" t="s">
        <v>5629</v>
      </c>
      <c r="P990" t="s">
        <v>5630</v>
      </c>
      <c r="Q990" t="s">
        <v>30</v>
      </c>
      <c r="R990" t="s">
        <v>31</v>
      </c>
      <c r="S990" t="s">
        <v>104</v>
      </c>
    </row>
    <row r="991" spans="1:19" x14ac:dyDescent="0.45">
      <c r="A991" t="str">
        <f t="shared" si="57"/>
        <v>17801</v>
      </c>
      <c r="B991" t="s">
        <v>19</v>
      </c>
      <c r="C991" t="str">
        <f t="shared" si="59"/>
        <v>17210</v>
      </c>
      <c r="D991" t="s">
        <v>20</v>
      </c>
      <c r="E991" t="str">
        <f>"3432"</f>
        <v>3432</v>
      </c>
      <c r="F991" t="s">
        <v>5241</v>
      </c>
      <c r="G991" t="s">
        <v>22</v>
      </c>
      <c r="H991">
        <v>5</v>
      </c>
      <c r="I991" t="s">
        <v>5631</v>
      </c>
      <c r="K991" t="s">
        <v>24</v>
      </c>
      <c r="L991" t="s">
        <v>25</v>
      </c>
      <c r="M991" t="s">
        <v>5632</v>
      </c>
      <c r="N991" t="s">
        <v>5633</v>
      </c>
      <c r="O991" t="s">
        <v>5634</v>
      </c>
      <c r="P991" t="s">
        <v>5635</v>
      </c>
      <c r="Q991" t="s">
        <v>30</v>
      </c>
      <c r="R991" t="s">
        <v>31</v>
      </c>
      <c r="S991" t="s">
        <v>32</v>
      </c>
    </row>
    <row r="992" spans="1:19" x14ac:dyDescent="0.45">
      <c r="A992" t="str">
        <f t="shared" si="57"/>
        <v>17801</v>
      </c>
      <c r="B992" t="s">
        <v>19</v>
      </c>
      <c r="C992" t="str">
        <f t="shared" si="59"/>
        <v>17210</v>
      </c>
      <c r="D992" t="s">
        <v>20</v>
      </c>
      <c r="E992" t="str">
        <f>"3519"</f>
        <v>3519</v>
      </c>
      <c r="F992" t="s">
        <v>5636</v>
      </c>
      <c r="G992" t="s">
        <v>22</v>
      </c>
      <c r="H992">
        <v>5</v>
      </c>
      <c r="I992" t="s">
        <v>5637</v>
      </c>
      <c r="K992" t="s">
        <v>2472</v>
      </c>
      <c r="L992" t="s">
        <v>25</v>
      </c>
      <c r="M992" t="s">
        <v>5638</v>
      </c>
      <c r="N992" t="s">
        <v>5639</v>
      </c>
      <c r="O992" t="s">
        <v>5640</v>
      </c>
      <c r="P992" t="s">
        <v>5641</v>
      </c>
      <c r="Q992" t="s">
        <v>30</v>
      </c>
      <c r="R992" t="s">
        <v>31</v>
      </c>
      <c r="S992" t="s">
        <v>32</v>
      </c>
    </row>
    <row r="993" spans="1:19" x14ac:dyDescent="0.45">
      <c r="A993" t="str">
        <f t="shared" si="57"/>
        <v>17801</v>
      </c>
      <c r="B993" t="s">
        <v>19</v>
      </c>
      <c r="C993" t="str">
        <f t="shared" si="59"/>
        <v>17210</v>
      </c>
      <c r="D993" t="s">
        <v>20</v>
      </c>
      <c r="E993" t="str">
        <f>"3547"</f>
        <v>3547</v>
      </c>
      <c r="F993" t="s">
        <v>5642</v>
      </c>
      <c r="G993" t="s">
        <v>22</v>
      </c>
      <c r="H993">
        <v>5</v>
      </c>
      <c r="I993" t="s">
        <v>5643</v>
      </c>
      <c r="K993" t="s">
        <v>47</v>
      </c>
      <c r="L993" t="s">
        <v>25</v>
      </c>
      <c r="M993" t="s">
        <v>5644</v>
      </c>
      <c r="N993" t="s">
        <v>5645</v>
      </c>
      <c r="O993" t="s">
        <v>5646</v>
      </c>
      <c r="P993" t="s">
        <v>5647</v>
      </c>
      <c r="Q993" t="s">
        <v>30</v>
      </c>
      <c r="R993" t="s">
        <v>31</v>
      </c>
      <c r="S993" t="s">
        <v>32</v>
      </c>
    </row>
    <row r="994" spans="1:19" x14ac:dyDescent="0.45">
      <c r="A994" t="str">
        <f t="shared" si="57"/>
        <v>17801</v>
      </c>
      <c r="B994" t="s">
        <v>19</v>
      </c>
      <c r="C994" t="str">
        <f t="shared" si="59"/>
        <v>17210</v>
      </c>
      <c r="D994" t="s">
        <v>20</v>
      </c>
      <c r="E994" t="str">
        <f>"3567"</f>
        <v>3567</v>
      </c>
      <c r="F994" t="s">
        <v>5648</v>
      </c>
      <c r="G994" t="s">
        <v>22</v>
      </c>
      <c r="H994">
        <v>5</v>
      </c>
      <c r="I994" t="s">
        <v>5649</v>
      </c>
      <c r="K994" t="s">
        <v>5602</v>
      </c>
      <c r="L994" t="s">
        <v>25</v>
      </c>
      <c r="M994" t="s">
        <v>5650</v>
      </c>
      <c r="N994" t="s">
        <v>5651</v>
      </c>
      <c r="O994" t="s">
        <v>5652</v>
      </c>
      <c r="P994" t="s">
        <v>5653</v>
      </c>
      <c r="Q994" t="s">
        <v>30</v>
      </c>
      <c r="R994" t="s">
        <v>31</v>
      </c>
      <c r="S994" t="s">
        <v>32</v>
      </c>
    </row>
    <row r="995" spans="1:19" x14ac:dyDescent="0.45">
      <c r="A995" t="str">
        <f t="shared" si="57"/>
        <v>17801</v>
      </c>
      <c r="B995" t="s">
        <v>19</v>
      </c>
      <c r="C995" t="str">
        <f t="shared" si="59"/>
        <v>17210</v>
      </c>
      <c r="D995" t="s">
        <v>20</v>
      </c>
      <c r="E995" t="str">
        <f>"3568"</f>
        <v>3568</v>
      </c>
      <c r="F995" t="s">
        <v>5654</v>
      </c>
      <c r="G995" t="s">
        <v>22</v>
      </c>
      <c r="H995">
        <v>5</v>
      </c>
      <c r="I995" t="s">
        <v>5655</v>
      </c>
      <c r="K995" t="s">
        <v>24</v>
      </c>
      <c r="L995" t="s">
        <v>25</v>
      </c>
      <c r="M995" t="s">
        <v>5656</v>
      </c>
      <c r="N995" t="s">
        <v>5657</v>
      </c>
      <c r="O995" t="s">
        <v>5658</v>
      </c>
      <c r="P995" t="s">
        <v>5659</v>
      </c>
      <c r="Q995" t="s">
        <v>30</v>
      </c>
      <c r="R995" t="s">
        <v>31</v>
      </c>
      <c r="S995" t="s">
        <v>32</v>
      </c>
    </row>
    <row r="996" spans="1:19" x14ac:dyDescent="0.45">
      <c r="A996" t="str">
        <f t="shared" si="57"/>
        <v>17801</v>
      </c>
      <c r="B996" t="s">
        <v>19</v>
      </c>
      <c r="C996" t="str">
        <f t="shared" si="59"/>
        <v>17210</v>
      </c>
      <c r="D996" t="s">
        <v>20</v>
      </c>
      <c r="E996" t="str">
        <f>"3582"</f>
        <v>3582</v>
      </c>
      <c r="F996" t="s">
        <v>5660</v>
      </c>
      <c r="G996" t="s">
        <v>22</v>
      </c>
      <c r="H996">
        <v>5</v>
      </c>
      <c r="I996" t="s">
        <v>5661</v>
      </c>
      <c r="K996" t="s">
        <v>47</v>
      </c>
      <c r="L996" t="s">
        <v>25</v>
      </c>
      <c r="M996" t="s">
        <v>5662</v>
      </c>
      <c r="N996" t="s">
        <v>5663</v>
      </c>
      <c r="O996" t="s">
        <v>5664</v>
      </c>
      <c r="P996" t="s">
        <v>5665</v>
      </c>
      <c r="Q996" t="s">
        <v>30</v>
      </c>
      <c r="R996" t="s">
        <v>31</v>
      </c>
      <c r="S996" t="s">
        <v>32</v>
      </c>
    </row>
    <row r="997" spans="1:19" x14ac:dyDescent="0.45">
      <c r="A997" t="str">
        <f t="shared" si="57"/>
        <v>17801</v>
      </c>
      <c r="B997" t="s">
        <v>19</v>
      </c>
      <c r="C997" t="str">
        <f t="shared" si="59"/>
        <v>17210</v>
      </c>
      <c r="D997" t="s">
        <v>20</v>
      </c>
      <c r="E997" t="str">
        <f>"3583"</f>
        <v>3583</v>
      </c>
      <c r="F997" t="s">
        <v>5666</v>
      </c>
      <c r="G997" t="s">
        <v>22</v>
      </c>
      <c r="H997">
        <v>5</v>
      </c>
      <c r="I997" t="s">
        <v>5667</v>
      </c>
      <c r="K997" t="s">
        <v>24</v>
      </c>
      <c r="L997" t="s">
        <v>25</v>
      </c>
      <c r="M997" t="s">
        <v>5668</v>
      </c>
      <c r="N997" t="s">
        <v>5669</v>
      </c>
      <c r="O997" t="s">
        <v>5670</v>
      </c>
      <c r="P997" t="s">
        <v>5671</v>
      </c>
      <c r="Q997" t="s">
        <v>30</v>
      </c>
      <c r="R997" t="s">
        <v>31</v>
      </c>
      <c r="S997" t="s">
        <v>32</v>
      </c>
    </row>
    <row r="998" spans="1:19" x14ac:dyDescent="0.45">
      <c r="A998" t="str">
        <f t="shared" si="57"/>
        <v>17801</v>
      </c>
      <c r="B998" t="s">
        <v>19</v>
      </c>
      <c r="C998" t="str">
        <f t="shared" si="59"/>
        <v>17210</v>
      </c>
      <c r="D998" t="s">
        <v>20</v>
      </c>
      <c r="E998" t="str">
        <f>"3584"</f>
        <v>3584</v>
      </c>
      <c r="F998" t="s">
        <v>5672</v>
      </c>
      <c r="G998">
        <v>9</v>
      </c>
      <c r="H998">
        <v>12</v>
      </c>
      <c r="I998" t="s">
        <v>5673</v>
      </c>
      <c r="K998" t="s">
        <v>47</v>
      </c>
      <c r="L998" t="s">
        <v>25</v>
      </c>
      <c r="M998" t="s">
        <v>5674</v>
      </c>
      <c r="N998" t="s">
        <v>5675</v>
      </c>
      <c r="O998" t="s">
        <v>5676</v>
      </c>
      <c r="P998" t="s">
        <v>5677</v>
      </c>
      <c r="Q998" t="s">
        <v>30</v>
      </c>
      <c r="R998" t="s">
        <v>31</v>
      </c>
      <c r="S998" t="s">
        <v>58</v>
      </c>
    </row>
    <row r="999" spans="1:19" x14ac:dyDescent="0.45">
      <c r="A999" t="str">
        <f t="shared" si="57"/>
        <v>17801</v>
      </c>
      <c r="B999" t="s">
        <v>19</v>
      </c>
      <c r="C999" t="str">
        <f t="shared" si="59"/>
        <v>17210</v>
      </c>
      <c r="D999" t="s">
        <v>20</v>
      </c>
      <c r="E999" t="str">
        <f>"3625"</f>
        <v>3625</v>
      </c>
      <c r="F999" t="s">
        <v>5678</v>
      </c>
      <c r="G999" t="s">
        <v>70</v>
      </c>
      <c r="H999">
        <v>8</v>
      </c>
      <c r="I999" t="s">
        <v>5679</v>
      </c>
      <c r="K999" t="s">
        <v>24</v>
      </c>
      <c r="L999" t="s">
        <v>25</v>
      </c>
      <c r="M999" t="s">
        <v>5680</v>
      </c>
      <c r="N999" t="s">
        <v>5681</v>
      </c>
      <c r="O999" t="s">
        <v>5682</v>
      </c>
      <c r="P999" t="s">
        <v>5683</v>
      </c>
      <c r="Q999" t="s">
        <v>30</v>
      </c>
      <c r="R999" t="s">
        <v>31</v>
      </c>
      <c r="S999" t="s">
        <v>32</v>
      </c>
    </row>
    <row r="1000" spans="1:19" x14ac:dyDescent="0.45">
      <c r="A1000" t="str">
        <f t="shared" si="57"/>
        <v>17801</v>
      </c>
      <c r="B1000" t="s">
        <v>19</v>
      </c>
      <c r="C1000" t="str">
        <f t="shared" si="59"/>
        <v>17210</v>
      </c>
      <c r="D1000" t="s">
        <v>20</v>
      </c>
      <c r="E1000" t="str">
        <f>"3626"</f>
        <v>3626</v>
      </c>
      <c r="F1000" t="s">
        <v>5684</v>
      </c>
      <c r="G1000">
        <v>6</v>
      </c>
      <c r="H1000">
        <v>8</v>
      </c>
      <c r="I1000" t="s">
        <v>5685</v>
      </c>
      <c r="K1000" t="s">
        <v>24</v>
      </c>
      <c r="L1000" t="s">
        <v>25</v>
      </c>
      <c r="M1000" t="s">
        <v>5686</v>
      </c>
      <c r="N1000" t="s">
        <v>3887</v>
      </c>
      <c r="O1000" t="s">
        <v>5687</v>
      </c>
      <c r="P1000" t="s">
        <v>5688</v>
      </c>
      <c r="Q1000" t="s">
        <v>30</v>
      </c>
      <c r="R1000" t="s">
        <v>31</v>
      </c>
      <c r="S1000" t="s">
        <v>104</v>
      </c>
    </row>
    <row r="1001" spans="1:19" x14ac:dyDescent="0.45">
      <c r="A1001" t="str">
        <f t="shared" si="57"/>
        <v>17801</v>
      </c>
      <c r="B1001" t="s">
        <v>19</v>
      </c>
      <c r="C1001" t="str">
        <f t="shared" si="59"/>
        <v>17210</v>
      </c>
      <c r="D1001" t="s">
        <v>20</v>
      </c>
      <c r="E1001" t="str">
        <f>"3627"</f>
        <v>3627</v>
      </c>
      <c r="F1001" t="s">
        <v>5689</v>
      </c>
      <c r="G1001" t="s">
        <v>22</v>
      </c>
      <c r="H1001">
        <v>5</v>
      </c>
      <c r="I1001" t="s">
        <v>5690</v>
      </c>
      <c r="K1001" t="s">
        <v>24</v>
      </c>
      <c r="L1001" t="s">
        <v>25</v>
      </c>
      <c r="M1001" t="s">
        <v>5691</v>
      </c>
      <c r="N1001" t="s">
        <v>5692</v>
      </c>
      <c r="O1001" t="s">
        <v>5693</v>
      </c>
      <c r="P1001" t="s">
        <v>5694</v>
      </c>
      <c r="Q1001" t="s">
        <v>30</v>
      </c>
      <c r="R1001" t="s">
        <v>31</v>
      </c>
      <c r="S1001" t="s">
        <v>32</v>
      </c>
    </row>
    <row r="1002" spans="1:19" x14ac:dyDescent="0.45">
      <c r="A1002" t="str">
        <f t="shared" si="57"/>
        <v>17801</v>
      </c>
      <c r="B1002" t="s">
        <v>19</v>
      </c>
      <c r="C1002" t="str">
        <f t="shared" si="59"/>
        <v>17210</v>
      </c>
      <c r="D1002" t="s">
        <v>20</v>
      </c>
      <c r="E1002" t="str">
        <f>"3628"</f>
        <v>3628</v>
      </c>
      <c r="F1002" t="s">
        <v>5695</v>
      </c>
      <c r="G1002" t="s">
        <v>22</v>
      </c>
      <c r="H1002">
        <v>5</v>
      </c>
      <c r="I1002" t="s">
        <v>5696</v>
      </c>
      <c r="K1002" t="s">
        <v>24</v>
      </c>
      <c r="L1002" t="s">
        <v>25</v>
      </c>
      <c r="M1002" t="s">
        <v>5697</v>
      </c>
      <c r="N1002" t="s">
        <v>5698</v>
      </c>
      <c r="O1002" t="s">
        <v>5699</v>
      </c>
      <c r="P1002" t="s">
        <v>5700</v>
      </c>
      <c r="Q1002" t="s">
        <v>30</v>
      </c>
      <c r="R1002" t="s">
        <v>31</v>
      </c>
      <c r="S1002" t="s">
        <v>32</v>
      </c>
    </row>
    <row r="1003" spans="1:19" x14ac:dyDescent="0.45">
      <c r="A1003" t="str">
        <f t="shared" si="57"/>
        <v>17801</v>
      </c>
      <c r="B1003" t="s">
        <v>19</v>
      </c>
      <c r="C1003" t="str">
        <f t="shared" si="59"/>
        <v>17210</v>
      </c>
      <c r="D1003" t="s">
        <v>20</v>
      </c>
      <c r="E1003" t="str">
        <f>"3700"</f>
        <v>3700</v>
      </c>
      <c r="F1003" t="s">
        <v>5701</v>
      </c>
      <c r="G1003" t="s">
        <v>22</v>
      </c>
      <c r="H1003">
        <v>5</v>
      </c>
      <c r="I1003" t="s">
        <v>5702</v>
      </c>
      <c r="K1003" t="s">
        <v>2472</v>
      </c>
      <c r="L1003" t="s">
        <v>25</v>
      </c>
      <c r="M1003" t="s">
        <v>5703</v>
      </c>
      <c r="N1003" t="s">
        <v>5704</v>
      </c>
      <c r="O1003" t="s">
        <v>5705</v>
      </c>
      <c r="P1003" t="s">
        <v>5706</v>
      </c>
      <c r="Q1003" t="s">
        <v>30</v>
      </c>
      <c r="R1003" t="s">
        <v>31</v>
      </c>
      <c r="S1003" t="s">
        <v>32</v>
      </c>
    </row>
    <row r="1004" spans="1:19" x14ac:dyDescent="0.45">
      <c r="A1004" t="str">
        <f t="shared" si="57"/>
        <v>17801</v>
      </c>
      <c r="B1004" t="s">
        <v>19</v>
      </c>
      <c r="C1004" t="str">
        <f t="shared" si="59"/>
        <v>17210</v>
      </c>
      <c r="D1004" t="s">
        <v>20</v>
      </c>
      <c r="E1004" t="str">
        <f>"3701"</f>
        <v>3701</v>
      </c>
      <c r="F1004" t="s">
        <v>5707</v>
      </c>
      <c r="G1004">
        <v>6</v>
      </c>
      <c r="H1004">
        <v>8</v>
      </c>
      <c r="I1004" t="s">
        <v>5708</v>
      </c>
      <c r="K1004" t="s">
        <v>47</v>
      </c>
      <c r="L1004" t="s">
        <v>25</v>
      </c>
      <c r="M1004" t="s">
        <v>5709</v>
      </c>
      <c r="N1004" t="s">
        <v>5710</v>
      </c>
      <c r="O1004" t="s">
        <v>5711</v>
      </c>
      <c r="P1004" t="s">
        <v>5712</v>
      </c>
      <c r="Q1004" t="s">
        <v>30</v>
      </c>
      <c r="R1004" t="s">
        <v>31</v>
      </c>
      <c r="S1004" t="s">
        <v>104</v>
      </c>
    </row>
    <row r="1005" spans="1:19" x14ac:dyDescent="0.45">
      <c r="A1005" t="str">
        <f t="shared" si="57"/>
        <v>17801</v>
      </c>
      <c r="B1005" t="s">
        <v>19</v>
      </c>
      <c r="C1005" t="str">
        <f t="shared" si="59"/>
        <v>17210</v>
      </c>
      <c r="D1005" t="s">
        <v>20</v>
      </c>
      <c r="E1005" t="str">
        <f>"3738"</f>
        <v>3738</v>
      </c>
      <c r="F1005" t="s">
        <v>5713</v>
      </c>
      <c r="G1005" t="s">
        <v>22</v>
      </c>
      <c r="H1005">
        <v>5</v>
      </c>
      <c r="I1005" t="s">
        <v>5714</v>
      </c>
      <c r="K1005" t="s">
        <v>47</v>
      </c>
      <c r="L1005" t="s">
        <v>25</v>
      </c>
      <c r="M1005" t="s">
        <v>5715</v>
      </c>
      <c r="N1005" t="s">
        <v>5716</v>
      </c>
      <c r="O1005" t="s">
        <v>5717</v>
      </c>
      <c r="P1005" t="s">
        <v>5718</v>
      </c>
      <c r="Q1005" t="s">
        <v>30</v>
      </c>
      <c r="R1005" t="s">
        <v>31</v>
      </c>
      <c r="S1005" t="s">
        <v>32</v>
      </c>
    </row>
    <row r="1006" spans="1:19" x14ac:dyDescent="0.45">
      <c r="A1006" t="str">
        <f t="shared" si="57"/>
        <v>17801</v>
      </c>
      <c r="B1006" t="s">
        <v>19</v>
      </c>
      <c r="C1006" t="str">
        <f t="shared" si="59"/>
        <v>17210</v>
      </c>
      <c r="D1006" t="s">
        <v>20</v>
      </c>
      <c r="E1006" t="str">
        <f>"3766"</f>
        <v>3766</v>
      </c>
      <c r="F1006" t="s">
        <v>5719</v>
      </c>
      <c r="G1006">
        <v>9</v>
      </c>
      <c r="H1006">
        <v>12</v>
      </c>
      <c r="I1006" t="s">
        <v>5720</v>
      </c>
      <c r="K1006" t="s">
        <v>24</v>
      </c>
      <c r="L1006" t="s">
        <v>25</v>
      </c>
      <c r="M1006" t="s">
        <v>5721</v>
      </c>
      <c r="N1006" t="s">
        <v>5722</v>
      </c>
      <c r="O1006" t="s">
        <v>5723</v>
      </c>
      <c r="P1006" t="s">
        <v>5724</v>
      </c>
      <c r="Q1006" t="s">
        <v>30</v>
      </c>
      <c r="R1006" t="s">
        <v>31</v>
      </c>
      <c r="S1006" t="s">
        <v>58</v>
      </c>
    </row>
    <row r="1007" spans="1:19" x14ac:dyDescent="0.45">
      <c r="A1007" t="str">
        <f t="shared" si="57"/>
        <v>17801</v>
      </c>
      <c r="B1007" t="s">
        <v>19</v>
      </c>
      <c r="C1007" t="str">
        <f t="shared" si="59"/>
        <v>17210</v>
      </c>
      <c r="D1007" t="s">
        <v>20</v>
      </c>
      <c r="E1007" t="str">
        <f>"3898"</f>
        <v>3898</v>
      </c>
      <c r="F1007" t="s">
        <v>5725</v>
      </c>
      <c r="G1007">
        <v>5</v>
      </c>
      <c r="H1007">
        <v>8</v>
      </c>
      <c r="I1007" t="s">
        <v>5726</v>
      </c>
      <c r="K1007" t="s">
        <v>24</v>
      </c>
      <c r="L1007" t="s">
        <v>25</v>
      </c>
      <c r="M1007" t="s">
        <v>5727</v>
      </c>
      <c r="N1007" t="s">
        <v>5728</v>
      </c>
      <c r="O1007" t="s">
        <v>5729</v>
      </c>
      <c r="P1007" t="s">
        <v>5730</v>
      </c>
      <c r="Q1007" t="s">
        <v>30</v>
      </c>
      <c r="R1007" t="s">
        <v>31</v>
      </c>
      <c r="S1007" t="s">
        <v>104</v>
      </c>
    </row>
    <row r="1008" spans="1:19" x14ac:dyDescent="0.45">
      <c r="A1008" t="str">
        <f t="shared" si="57"/>
        <v>17801</v>
      </c>
      <c r="B1008" t="s">
        <v>19</v>
      </c>
      <c r="C1008" t="str">
        <f t="shared" si="59"/>
        <v>17210</v>
      </c>
      <c r="D1008" t="s">
        <v>20</v>
      </c>
      <c r="E1008" t="str">
        <f>"4343"</f>
        <v>4343</v>
      </c>
      <c r="F1008" t="s">
        <v>5731</v>
      </c>
      <c r="G1008" t="s">
        <v>22</v>
      </c>
      <c r="H1008">
        <v>5</v>
      </c>
      <c r="I1008" t="s">
        <v>5732</v>
      </c>
      <c r="K1008" t="s">
        <v>24</v>
      </c>
      <c r="L1008" t="s">
        <v>25</v>
      </c>
      <c r="M1008" t="s">
        <v>5733</v>
      </c>
      <c r="N1008" t="s">
        <v>5734</v>
      </c>
      <c r="O1008" t="s">
        <v>5735</v>
      </c>
      <c r="P1008" t="s">
        <v>5736</v>
      </c>
      <c r="Q1008" t="s">
        <v>30</v>
      </c>
      <c r="R1008" t="s">
        <v>31</v>
      </c>
      <c r="S1008" t="s">
        <v>32</v>
      </c>
    </row>
    <row r="1009" spans="1:19" x14ac:dyDescent="0.45">
      <c r="A1009" t="str">
        <f t="shared" si="57"/>
        <v>17801</v>
      </c>
      <c r="B1009" t="s">
        <v>19</v>
      </c>
      <c r="C1009" t="str">
        <f t="shared" si="59"/>
        <v>17210</v>
      </c>
      <c r="D1009" t="s">
        <v>20</v>
      </c>
      <c r="E1009" t="str">
        <f>"4374"</f>
        <v>4374</v>
      </c>
      <c r="F1009" t="s">
        <v>5737</v>
      </c>
      <c r="G1009" t="s">
        <v>22</v>
      </c>
      <c r="H1009">
        <v>5</v>
      </c>
      <c r="I1009" t="s">
        <v>5738</v>
      </c>
      <c r="K1009" t="s">
        <v>24</v>
      </c>
      <c r="L1009" t="s">
        <v>25</v>
      </c>
      <c r="M1009" t="s">
        <v>5739</v>
      </c>
      <c r="N1009" t="s">
        <v>5740</v>
      </c>
      <c r="O1009" t="s">
        <v>5741</v>
      </c>
      <c r="P1009" t="s">
        <v>5742</v>
      </c>
      <c r="Q1009" t="s">
        <v>30</v>
      </c>
      <c r="R1009" t="s">
        <v>31</v>
      </c>
      <c r="S1009" t="s">
        <v>32</v>
      </c>
    </row>
    <row r="1010" spans="1:19" x14ac:dyDescent="0.45">
      <c r="A1010" t="str">
        <f t="shared" si="57"/>
        <v>17801</v>
      </c>
      <c r="B1010" t="s">
        <v>19</v>
      </c>
      <c r="C1010" t="str">
        <f>"17412"</f>
        <v>17412</v>
      </c>
      <c r="D1010" t="s">
        <v>1040</v>
      </c>
      <c r="E1010" t="str">
        <f>"3489"</f>
        <v>3489</v>
      </c>
      <c r="F1010" t="s">
        <v>5743</v>
      </c>
      <c r="G1010" t="s">
        <v>70</v>
      </c>
      <c r="H1010">
        <v>6</v>
      </c>
      <c r="I1010" t="s">
        <v>5744</v>
      </c>
      <c r="K1010" t="s">
        <v>1043</v>
      </c>
      <c r="L1010" t="s">
        <v>25</v>
      </c>
      <c r="M1010" t="s">
        <v>5745</v>
      </c>
      <c r="N1010" t="s">
        <v>5746</v>
      </c>
      <c r="O1010" t="s">
        <v>5747</v>
      </c>
      <c r="P1010" t="s">
        <v>5748</v>
      </c>
      <c r="Q1010" t="s">
        <v>30</v>
      </c>
      <c r="R1010" t="s">
        <v>31</v>
      </c>
      <c r="S1010" t="s">
        <v>32</v>
      </c>
    </row>
    <row r="1011" spans="1:19" x14ac:dyDescent="0.45">
      <c r="A1011" t="str">
        <f t="shared" si="57"/>
        <v>17801</v>
      </c>
      <c r="B1011" t="s">
        <v>19</v>
      </c>
      <c r="C1011" t="str">
        <f>"17412"</f>
        <v>17412</v>
      </c>
      <c r="D1011" t="s">
        <v>1040</v>
      </c>
      <c r="E1011" t="str">
        <f>"3527"</f>
        <v>3527</v>
      </c>
      <c r="F1011" t="s">
        <v>5749</v>
      </c>
      <c r="G1011" t="s">
        <v>70</v>
      </c>
      <c r="H1011">
        <v>6</v>
      </c>
      <c r="I1011" t="s">
        <v>5750</v>
      </c>
      <c r="K1011" t="s">
        <v>1043</v>
      </c>
      <c r="L1011" t="s">
        <v>25</v>
      </c>
      <c r="M1011" t="s">
        <v>5751</v>
      </c>
      <c r="N1011" t="s">
        <v>5752</v>
      </c>
      <c r="O1011" t="s">
        <v>5753</v>
      </c>
      <c r="P1011" t="s">
        <v>5754</v>
      </c>
      <c r="Q1011" t="s">
        <v>30</v>
      </c>
      <c r="R1011" t="s">
        <v>31</v>
      </c>
      <c r="S1011" t="s">
        <v>32</v>
      </c>
    </row>
    <row r="1012" spans="1:19" x14ac:dyDescent="0.45">
      <c r="A1012" t="str">
        <f t="shared" si="57"/>
        <v>17801</v>
      </c>
      <c r="B1012" t="s">
        <v>19</v>
      </c>
      <c r="C1012" t="str">
        <f>"17412"</f>
        <v>17412</v>
      </c>
      <c r="D1012" t="s">
        <v>1040</v>
      </c>
      <c r="E1012" t="str">
        <f>"3674"</f>
        <v>3674</v>
      </c>
      <c r="F1012" t="s">
        <v>5755</v>
      </c>
      <c r="G1012">
        <v>7</v>
      </c>
      <c r="H1012">
        <v>8</v>
      </c>
      <c r="I1012" t="s">
        <v>5756</v>
      </c>
      <c r="K1012" t="s">
        <v>1043</v>
      </c>
      <c r="L1012" t="s">
        <v>25</v>
      </c>
      <c r="M1012" t="s">
        <v>5757</v>
      </c>
      <c r="N1012" t="s">
        <v>5758</v>
      </c>
      <c r="O1012" t="s">
        <v>5759</v>
      </c>
      <c r="P1012" t="s">
        <v>5760</v>
      </c>
      <c r="Q1012" t="s">
        <v>30</v>
      </c>
      <c r="R1012" t="s">
        <v>31</v>
      </c>
      <c r="S1012" t="s">
        <v>104</v>
      </c>
    </row>
    <row r="1013" spans="1:19" x14ac:dyDescent="0.45">
      <c r="A1013" t="str">
        <f t="shared" si="57"/>
        <v>17801</v>
      </c>
      <c r="B1013" t="s">
        <v>19</v>
      </c>
      <c r="C1013" t="str">
        <f>"17412"</f>
        <v>17412</v>
      </c>
      <c r="D1013" t="s">
        <v>1040</v>
      </c>
      <c r="E1013" t="str">
        <f>"3921"</f>
        <v>3921</v>
      </c>
      <c r="F1013" t="s">
        <v>5761</v>
      </c>
      <c r="G1013">
        <v>9</v>
      </c>
      <c r="H1013">
        <v>12</v>
      </c>
      <c r="I1013" t="s">
        <v>5762</v>
      </c>
      <c r="K1013" t="s">
        <v>1043</v>
      </c>
      <c r="L1013" t="s">
        <v>25</v>
      </c>
      <c r="M1013" t="s">
        <v>5763</v>
      </c>
      <c r="N1013" t="s">
        <v>5764</v>
      </c>
      <c r="O1013" t="s">
        <v>5765</v>
      </c>
      <c r="P1013" t="s">
        <v>5766</v>
      </c>
      <c r="Q1013" t="s">
        <v>30</v>
      </c>
      <c r="R1013" t="s">
        <v>31</v>
      </c>
      <c r="S1013" t="s">
        <v>58</v>
      </c>
    </row>
    <row r="1014" spans="1:19" x14ac:dyDescent="0.45">
      <c r="A1014" t="str">
        <f t="shared" si="57"/>
        <v>17801</v>
      </c>
      <c r="B1014" t="s">
        <v>19</v>
      </c>
      <c r="C1014" t="str">
        <f>"17412"</f>
        <v>17412</v>
      </c>
      <c r="D1014" t="s">
        <v>1040</v>
      </c>
      <c r="E1014" t="str">
        <f>"3958"</f>
        <v>3958</v>
      </c>
      <c r="F1014" t="s">
        <v>5767</v>
      </c>
      <c r="G1014" t="s">
        <v>70</v>
      </c>
      <c r="H1014">
        <v>6</v>
      </c>
      <c r="I1014" t="s">
        <v>5768</v>
      </c>
      <c r="K1014" t="s">
        <v>1043</v>
      </c>
      <c r="L1014" t="s">
        <v>25</v>
      </c>
      <c r="M1014" t="s">
        <v>5769</v>
      </c>
      <c r="N1014" t="s">
        <v>5770</v>
      </c>
      <c r="O1014" t="s">
        <v>5771</v>
      </c>
      <c r="P1014" t="s">
        <v>5772</v>
      </c>
      <c r="Q1014" t="s">
        <v>30</v>
      </c>
      <c r="R1014" t="s">
        <v>31</v>
      </c>
      <c r="S1014" t="s">
        <v>32</v>
      </c>
    </row>
    <row r="1015" spans="1:19" x14ac:dyDescent="0.45">
      <c r="A1015" t="str">
        <f t="shared" si="57"/>
        <v>17801</v>
      </c>
      <c r="B1015" t="s">
        <v>19</v>
      </c>
      <c r="C1015" t="str">
        <f t="shared" ref="C1015:C1061" si="60">"17414"</f>
        <v>17414</v>
      </c>
      <c r="D1015" t="s">
        <v>4253</v>
      </c>
      <c r="E1015" t="str">
        <f>"1649"</f>
        <v>1649</v>
      </c>
      <c r="F1015" t="s">
        <v>5773</v>
      </c>
      <c r="G1015" t="s">
        <v>22</v>
      </c>
      <c r="H1015">
        <v>12</v>
      </c>
      <c r="I1015" t="s">
        <v>5774</v>
      </c>
      <c r="K1015" t="s">
        <v>4256</v>
      </c>
      <c r="L1015" t="s">
        <v>25</v>
      </c>
      <c r="M1015" t="s">
        <v>5775</v>
      </c>
      <c r="N1015" t="s">
        <v>5776</v>
      </c>
      <c r="O1015" t="s">
        <v>5777</v>
      </c>
      <c r="P1015" t="s">
        <v>5778</v>
      </c>
      <c r="Q1015" t="s">
        <v>5779</v>
      </c>
      <c r="R1015" t="s">
        <v>158</v>
      </c>
      <c r="S1015" t="s">
        <v>68</v>
      </c>
    </row>
    <row r="1016" spans="1:19" x14ac:dyDescent="0.45">
      <c r="A1016" t="str">
        <f t="shared" si="57"/>
        <v>17801</v>
      </c>
      <c r="B1016" t="s">
        <v>19</v>
      </c>
      <c r="C1016" t="str">
        <f t="shared" si="60"/>
        <v>17414</v>
      </c>
      <c r="D1016" t="s">
        <v>4253</v>
      </c>
      <c r="E1016" t="str">
        <f>"1658"</f>
        <v>1658</v>
      </c>
      <c r="F1016" t="s">
        <v>5780</v>
      </c>
      <c r="G1016" t="s">
        <v>70</v>
      </c>
      <c r="H1016">
        <v>5</v>
      </c>
      <c r="I1016" t="s">
        <v>5781</v>
      </c>
      <c r="K1016" t="s">
        <v>2269</v>
      </c>
      <c r="L1016" t="s">
        <v>25</v>
      </c>
      <c r="M1016" t="s">
        <v>5782</v>
      </c>
      <c r="N1016" t="s">
        <v>5783</v>
      </c>
      <c r="O1016" t="s">
        <v>5784</v>
      </c>
      <c r="P1016" t="s">
        <v>5785</v>
      </c>
      <c r="Q1016" t="s">
        <v>157</v>
      </c>
      <c r="R1016" t="s">
        <v>158</v>
      </c>
      <c r="S1016" t="s">
        <v>32</v>
      </c>
    </row>
    <row r="1017" spans="1:19" x14ac:dyDescent="0.45">
      <c r="A1017" t="str">
        <f t="shared" si="57"/>
        <v>17801</v>
      </c>
      <c r="B1017" t="s">
        <v>19</v>
      </c>
      <c r="C1017" t="str">
        <f t="shared" si="60"/>
        <v>17414</v>
      </c>
      <c r="D1017" t="s">
        <v>4253</v>
      </c>
      <c r="E1017" t="str">
        <f>"1687"</f>
        <v>1687</v>
      </c>
      <c r="F1017" t="s">
        <v>5786</v>
      </c>
      <c r="G1017">
        <v>1</v>
      </c>
      <c r="H1017">
        <v>5</v>
      </c>
      <c r="I1017" t="s">
        <v>5787</v>
      </c>
      <c r="K1017" t="s">
        <v>4256</v>
      </c>
      <c r="L1017" t="s">
        <v>25</v>
      </c>
      <c r="M1017" t="s">
        <v>5788</v>
      </c>
      <c r="N1017" t="s">
        <v>5789</v>
      </c>
      <c r="O1017" t="s">
        <v>5790</v>
      </c>
      <c r="P1017" t="s">
        <v>5791</v>
      </c>
      <c r="Q1017" t="s">
        <v>157</v>
      </c>
      <c r="R1017" t="s">
        <v>158</v>
      </c>
      <c r="S1017" t="s">
        <v>32</v>
      </c>
    </row>
    <row r="1018" spans="1:19" x14ac:dyDescent="0.45">
      <c r="A1018" t="str">
        <f t="shared" ref="A1018:A1081" si="61">"17801"</f>
        <v>17801</v>
      </c>
      <c r="B1018" t="s">
        <v>19</v>
      </c>
      <c r="C1018" t="str">
        <f t="shared" si="60"/>
        <v>17414</v>
      </c>
      <c r="D1018" t="s">
        <v>4253</v>
      </c>
      <c r="E1018" t="str">
        <f>"1688"</f>
        <v>1688</v>
      </c>
      <c r="F1018" t="s">
        <v>5792</v>
      </c>
      <c r="G1018" t="s">
        <v>70</v>
      </c>
      <c r="H1018">
        <v>12</v>
      </c>
      <c r="I1018" t="s">
        <v>5793</v>
      </c>
      <c r="K1018" t="s">
        <v>2269</v>
      </c>
      <c r="L1018" t="s">
        <v>25</v>
      </c>
      <c r="M1018" t="s">
        <v>5794</v>
      </c>
      <c r="N1018" t="s">
        <v>5795</v>
      </c>
      <c r="O1018" t="s">
        <v>5796</v>
      </c>
      <c r="P1018" t="s">
        <v>5797</v>
      </c>
      <c r="Q1018" t="s">
        <v>157</v>
      </c>
      <c r="R1018" t="s">
        <v>158</v>
      </c>
      <c r="S1018" t="s">
        <v>330</v>
      </c>
    </row>
    <row r="1019" spans="1:19" x14ac:dyDescent="0.45">
      <c r="A1019" t="str">
        <f t="shared" si="61"/>
        <v>17801</v>
      </c>
      <c r="B1019" t="s">
        <v>19</v>
      </c>
      <c r="C1019" t="str">
        <f t="shared" si="60"/>
        <v>17414</v>
      </c>
      <c r="D1019" t="s">
        <v>4253</v>
      </c>
      <c r="E1019" t="str">
        <f>"1706"</f>
        <v>1706</v>
      </c>
      <c r="F1019" t="s">
        <v>5798</v>
      </c>
      <c r="G1019">
        <v>6</v>
      </c>
      <c r="H1019">
        <v>12</v>
      </c>
      <c r="I1019" t="s">
        <v>5799</v>
      </c>
      <c r="K1019" t="s">
        <v>2269</v>
      </c>
      <c r="L1019" t="s">
        <v>25</v>
      </c>
      <c r="M1019" t="s">
        <v>5800</v>
      </c>
      <c r="N1019" t="s">
        <v>5801</v>
      </c>
      <c r="O1019" t="s">
        <v>5802</v>
      </c>
      <c r="P1019" t="s">
        <v>5803</v>
      </c>
      <c r="Q1019" t="s">
        <v>157</v>
      </c>
      <c r="R1019" t="s">
        <v>158</v>
      </c>
      <c r="S1019" t="s">
        <v>159</v>
      </c>
    </row>
    <row r="1020" spans="1:19" x14ac:dyDescent="0.45">
      <c r="A1020" t="str">
        <f t="shared" si="61"/>
        <v>17801</v>
      </c>
      <c r="B1020" t="s">
        <v>19</v>
      </c>
      <c r="C1020" t="str">
        <f t="shared" si="60"/>
        <v>17414</v>
      </c>
      <c r="D1020" t="s">
        <v>4253</v>
      </c>
      <c r="E1020" t="str">
        <f>"1800"</f>
        <v>1800</v>
      </c>
      <c r="F1020" t="s">
        <v>5804</v>
      </c>
      <c r="G1020">
        <v>6</v>
      </c>
      <c r="H1020">
        <v>8</v>
      </c>
      <c r="I1020" t="s">
        <v>5805</v>
      </c>
      <c r="K1020" t="s">
        <v>2269</v>
      </c>
      <c r="L1020" t="s">
        <v>25</v>
      </c>
      <c r="M1020" t="s">
        <v>5806</v>
      </c>
      <c r="N1020" t="s">
        <v>79</v>
      </c>
      <c r="Q1020" t="s">
        <v>157</v>
      </c>
      <c r="R1020" t="s">
        <v>158</v>
      </c>
      <c r="S1020" t="s">
        <v>104</v>
      </c>
    </row>
    <row r="1021" spans="1:19" x14ac:dyDescent="0.45">
      <c r="A1021" t="str">
        <f t="shared" si="61"/>
        <v>17801</v>
      </c>
      <c r="B1021" t="s">
        <v>19</v>
      </c>
      <c r="C1021" t="str">
        <f t="shared" si="60"/>
        <v>17414</v>
      </c>
      <c r="D1021" t="s">
        <v>4253</v>
      </c>
      <c r="E1021" t="str">
        <f>"1804"</f>
        <v>1804</v>
      </c>
      <c r="F1021" t="s">
        <v>5807</v>
      </c>
      <c r="G1021">
        <v>9</v>
      </c>
      <c r="H1021">
        <v>12</v>
      </c>
      <c r="I1021" t="s">
        <v>5808</v>
      </c>
      <c r="K1021" t="s">
        <v>2269</v>
      </c>
      <c r="L1021" t="s">
        <v>25</v>
      </c>
      <c r="M1021" t="s">
        <v>5809</v>
      </c>
      <c r="N1021" t="s">
        <v>5810</v>
      </c>
      <c r="O1021" t="s">
        <v>5811</v>
      </c>
      <c r="P1021" t="s">
        <v>5812</v>
      </c>
      <c r="Q1021" t="s">
        <v>157</v>
      </c>
      <c r="R1021" t="s">
        <v>158</v>
      </c>
      <c r="S1021" t="s">
        <v>58</v>
      </c>
    </row>
    <row r="1022" spans="1:19" x14ac:dyDescent="0.45">
      <c r="A1022" t="str">
        <f t="shared" si="61"/>
        <v>17801</v>
      </c>
      <c r="B1022" t="s">
        <v>19</v>
      </c>
      <c r="C1022" t="str">
        <f t="shared" si="60"/>
        <v>17414</v>
      </c>
      <c r="D1022" t="s">
        <v>4253</v>
      </c>
      <c r="E1022" t="str">
        <f>"2289"</f>
        <v>2289</v>
      </c>
      <c r="F1022" t="s">
        <v>5813</v>
      </c>
      <c r="G1022" t="s">
        <v>70</v>
      </c>
      <c r="H1022">
        <v>5</v>
      </c>
      <c r="I1022" t="s">
        <v>5814</v>
      </c>
      <c r="K1022" t="s">
        <v>4256</v>
      </c>
      <c r="L1022" t="s">
        <v>25</v>
      </c>
      <c r="M1022" t="s">
        <v>5815</v>
      </c>
      <c r="N1022" t="s">
        <v>5816</v>
      </c>
      <c r="O1022" t="s">
        <v>5817</v>
      </c>
      <c r="P1022" t="s">
        <v>5818</v>
      </c>
      <c r="Q1022" t="s">
        <v>30</v>
      </c>
      <c r="R1022" t="s">
        <v>31</v>
      </c>
      <c r="S1022" t="s">
        <v>32</v>
      </c>
    </row>
    <row r="1023" spans="1:19" x14ac:dyDescent="0.45">
      <c r="A1023" t="str">
        <f t="shared" si="61"/>
        <v>17801</v>
      </c>
      <c r="B1023" t="s">
        <v>19</v>
      </c>
      <c r="C1023" t="str">
        <f t="shared" si="60"/>
        <v>17414</v>
      </c>
      <c r="D1023" t="s">
        <v>4253</v>
      </c>
      <c r="E1023" t="str">
        <f>"2308"</f>
        <v>2308</v>
      </c>
      <c r="F1023" t="s">
        <v>5819</v>
      </c>
      <c r="G1023">
        <v>6</v>
      </c>
      <c r="H1023">
        <v>8</v>
      </c>
      <c r="I1023" t="s">
        <v>5820</v>
      </c>
      <c r="K1023" t="s">
        <v>2269</v>
      </c>
      <c r="L1023" t="s">
        <v>25</v>
      </c>
      <c r="M1023" t="s">
        <v>5821</v>
      </c>
      <c r="N1023" t="s">
        <v>5822</v>
      </c>
      <c r="O1023" t="s">
        <v>5823</v>
      </c>
      <c r="P1023" t="s">
        <v>5824</v>
      </c>
      <c r="Q1023" t="s">
        <v>30</v>
      </c>
      <c r="R1023" t="s">
        <v>31</v>
      </c>
      <c r="S1023" t="s">
        <v>104</v>
      </c>
    </row>
    <row r="1024" spans="1:19" x14ac:dyDescent="0.45">
      <c r="A1024" t="str">
        <f t="shared" si="61"/>
        <v>17801</v>
      </c>
      <c r="B1024" t="s">
        <v>19</v>
      </c>
      <c r="C1024" t="str">
        <f t="shared" si="60"/>
        <v>17414</v>
      </c>
      <c r="D1024" t="s">
        <v>4253</v>
      </c>
      <c r="E1024" t="str">
        <f>"2739"</f>
        <v>2739</v>
      </c>
      <c r="F1024" t="s">
        <v>5825</v>
      </c>
      <c r="G1024">
        <v>9</v>
      </c>
      <c r="H1024">
        <v>12</v>
      </c>
      <c r="I1024" t="s">
        <v>5826</v>
      </c>
      <c r="K1024" t="s">
        <v>2269</v>
      </c>
      <c r="L1024" t="s">
        <v>25</v>
      </c>
      <c r="M1024" t="s">
        <v>5827</v>
      </c>
      <c r="N1024" t="s">
        <v>5828</v>
      </c>
      <c r="O1024" t="s">
        <v>5829</v>
      </c>
      <c r="P1024" t="s">
        <v>5830</v>
      </c>
      <c r="Q1024" t="s">
        <v>30</v>
      </c>
      <c r="R1024" t="s">
        <v>31</v>
      </c>
      <c r="S1024" t="s">
        <v>58</v>
      </c>
    </row>
    <row r="1025" spans="1:19" x14ac:dyDescent="0.45">
      <c r="A1025" t="str">
        <f t="shared" si="61"/>
        <v>17801</v>
      </c>
      <c r="B1025" t="s">
        <v>19</v>
      </c>
      <c r="C1025" t="str">
        <f t="shared" si="60"/>
        <v>17414</v>
      </c>
      <c r="D1025" t="s">
        <v>4253</v>
      </c>
      <c r="E1025" t="str">
        <f>"2796"</f>
        <v>2796</v>
      </c>
      <c r="F1025" t="s">
        <v>5831</v>
      </c>
      <c r="G1025" t="s">
        <v>22</v>
      </c>
      <c r="H1025">
        <v>5</v>
      </c>
      <c r="I1025" t="s">
        <v>5832</v>
      </c>
      <c r="K1025" t="s">
        <v>2269</v>
      </c>
      <c r="L1025" t="s">
        <v>25</v>
      </c>
      <c r="M1025" t="s">
        <v>5833</v>
      </c>
      <c r="N1025" t="s">
        <v>5834</v>
      </c>
      <c r="O1025" t="s">
        <v>5835</v>
      </c>
      <c r="P1025" t="s">
        <v>5836</v>
      </c>
      <c r="Q1025" t="s">
        <v>30</v>
      </c>
      <c r="R1025" t="s">
        <v>31</v>
      </c>
      <c r="S1025" t="s">
        <v>32</v>
      </c>
    </row>
    <row r="1026" spans="1:19" x14ac:dyDescent="0.45">
      <c r="A1026" t="str">
        <f t="shared" si="61"/>
        <v>17801</v>
      </c>
      <c r="B1026" t="s">
        <v>19</v>
      </c>
      <c r="C1026" t="str">
        <f t="shared" si="60"/>
        <v>17414</v>
      </c>
      <c r="D1026" t="s">
        <v>4253</v>
      </c>
      <c r="E1026" t="str">
        <f>"2992"</f>
        <v>2992</v>
      </c>
      <c r="F1026" t="s">
        <v>5837</v>
      </c>
      <c r="G1026" t="s">
        <v>70</v>
      </c>
      <c r="H1026">
        <v>5</v>
      </c>
      <c r="I1026" t="s">
        <v>5838</v>
      </c>
      <c r="K1026" t="s">
        <v>2269</v>
      </c>
      <c r="L1026" t="s">
        <v>25</v>
      </c>
      <c r="M1026" t="s">
        <v>5839</v>
      </c>
      <c r="N1026" t="s">
        <v>5840</v>
      </c>
      <c r="O1026" t="s">
        <v>5841</v>
      </c>
      <c r="P1026" t="s">
        <v>5842</v>
      </c>
      <c r="Q1026" t="s">
        <v>30</v>
      </c>
      <c r="R1026" t="s">
        <v>31</v>
      </c>
      <c r="S1026" t="s">
        <v>32</v>
      </c>
    </row>
    <row r="1027" spans="1:19" x14ac:dyDescent="0.45">
      <c r="A1027" t="str">
        <f t="shared" si="61"/>
        <v>17801</v>
      </c>
      <c r="B1027" t="s">
        <v>19</v>
      </c>
      <c r="C1027" t="str">
        <f t="shared" si="60"/>
        <v>17414</v>
      </c>
      <c r="D1027" t="s">
        <v>4253</v>
      </c>
      <c r="E1027" t="str">
        <f>"3041"</f>
        <v>3041</v>
      </c>
      <c r="F1027" t="s">
        <v>5843</v>
      </c>
      <c r="G1027" t="s">
        <v>70</v>
      </c>
      <c r="H1027">
        <v>5</v>
      </c>
      <c r="I1027" t="s">
        <v>5844</v>
      </c>
      <c r="K1027" t="s">
        <v>2269</v>
      </c>
      <c r="L1027" t="s">
        <v>25</v>
      </c>
      <c r="M1027" t="s">
        <v>5845</v>
      </c>
      <c r="N1027" t="s">
        <v>5846</v>
      </c>
      <c r="O1027" t="s">
        <v>5847</v>
      </c>
      <c r="P1027" t="s">
        <v>5848</v>
      </c>
      <c r="Q1027" t="s">
        <v>30</v>
      </c>
      <c r="R1027" t="s">
        <v>31</v>
      </c>
      <c r="S1027" t="s">
        <v>32</v>
      </c>
    </row>
    <row r="1028" spans="1:19" x14ac:dyDescent="0.45">
      <c r="A1028" t="str">
        <f t="shared" si="61"/>
        <v>17801</v>
      </c>
      <c r="B1028" t="s">
        <v>19</v>
      </c>
      <c r="C1028" t="str">
        <f t="shared" si="60"/>
        <v>17414</v>
      </c>
      <c r="D1028" t="s">
        <v>4253</v>
      </c>
      <c r="E1028" t="str">
        <f>"3232"</f>
        <v>3232</v>
      </c>
      <c r="F1028" t="s">
        <v>5849</v>
      </c>
      <c r="G1028">
        <v>6</v>
      </c>
      <c r="H1028">
        <v>8</v>
      </c>
      <c r="I1028" t="s">
        <v>5850</v>
      </c>
      <c r="K1028" t="s">
        <v>4256</v>
      </c>
      <c r="L1028" t="s">
        <v>25</v>
      </c>
      <c r="M1028" t="s">
        <v>5851</v>
      </c>
      <c r="N1028" t="s">
        <v>5852</v>
      </c>
      <c r="O1028" t="s">
        <v>5853</v>
      </c>
      <c r="P1028" t="s">
        <v>5854</v>
      </c>
      <c r="Q1028" t="s">
        <v>30</v>
      </c>
      <c r="R1028" t="s">
        <v>31</v>
      </c>
      <c r="S1028" t="s">
        <v>104</v>
      </c>
    </row>
    <row r="1029" spans="1:19" x14ac:dyDescent="0.45">
      <c r="A1029" t="str">
        <f t="shared" si="61"/>
        <v>17801</v>
      </c>
      <c r="B1029" t="s">
        <v>19</v>
      </c>
      <c r="C1029" t="str">
        <f t="shared" si="60"/>
        <v>17414</v>
      </c>
      <c r="D1029" t="s">
        <v>4253</v>
      </c>
      <c r="E1029" t="str">
        <f>"3441"</f>
        <v>3441</v>
      </c>
      <c r="F1029" t="s">
        <v>5855</v>
      </c>
      <c r="G1029" t="s">
        <v>70</v>
      </c>
      <c r="H1029">
        <v>5</v>
      </c>
      <c r="I1029" t="s">
        <v>5856</v>
      </c>
      <c r="K1029" t="s">
        <v>2269</v>
      </c>
      <c r="L1029" t="s">
        <v>25</v>
      </c>
      <c r="M1029" t="s">
        <v>5857</v>
      </c>
      <c r="N1029" t="s">
        <v>5858</v>
      </c>
      <c r="O1029" t="s">
        <v>5859</v>
      </c>
      <c r="P1029" t="s">
        <v>5860</v>
      </c>
      <c r="Q1029" t="s">
        <v>30</v>
      </c>
      <c r="R1029" t="s">
        <v>31</v>
      </c>
      <c r="S1029" t="s">
        <v>32</v>
      </c>
    </row>
    <row r="1030" spans="1:19" x14ac:dyDescent="0.45">
      <c r="A1030" t="str">
        <f t="shared" si="61"/>
        <v>17801</v>
      </c>
      <c r="B1030" t="s">
        <v>19</v>
      </c>
      <c r="C1030" t="str">
        <f t="shared" si="60"/>
        <v>17414</v>
      </c>
      <c r="D1030" t="s">
        <v>4253</v>
      </c>
      <c r="E1030" t="str">
        <f>"3490"</f>
        <v>3490</v>
      </c>
      <c r="F1030" t="s">
        <v>5861</v>
      </c>
      <c r="G1030" t="s">
        <v>70</v>
      </c>
      <c r="H1030">
        <v>5</v>
      </c>
      <c r="I1030" t="s">
        <v>5862</v>
      </c>
      <c r="K1030" t="s">
        <v>2269</v>
      </c>
      <c r="L1030" t="s">
        <v>25</v>
      </c>
      <c r="M1030" t="s">
        <v>5863</v>
      </c>
      <c r="N1030" t="s">
        <v>5864</v>
      </c>
      <c r="O1030" t="s">
        <v>5865</v>
      </c>
      <c r="P1030" t="s">
        <v>5866</v>
      </c>
      <c r="Q1030" t="s">
        <v>30</v>
      </c>
      <c r="R1030" t="s">
        <v>31</v>
      </c>
      <c r="S1030" t="s">
        <v>32</v>
      </c>
    </row>
    <row r="1031" spans="1:19" x14ac:dyDescent="0.45">
      <c r="A1031" t="str">
        <f t="shared" si="61"/>
        <v>17801</v>
      </c>
      <c r="B1031" t="s">
        <v>19</v>
      </c>
      <c r="C1031" t="str">
        <f t="shared" si="60"/>
        <v>17414</v>
      </c>
      <c r="D1031" t="s">
        <v>4253</v>
      </c>
      <c r="E1031" t="str">
        <f>"3528"</f>
        <v>3528</v>
      </c>
      <c r="F1031" t="s">
        <v>5867</v>
      </c>
      <c r="G1031">
        <v>9</v>
      </c>
      <c r="H1031">
        <v>12</v>
      </c>
      <c r="I1031" t="s">
        <v>5868</v>
      </c>
      <c r="K1031" t="s">
        <v>4256</v>
      </c>
      <c r="L1031" t="s">
        <v>25</v>
      </c>
      <c r="M1031" t="s">
        <v>5869</v>
      </c>
      <c r="N1031" t="s">
        <v>5870</v>
      </c>
      <c r="O1031" t="s">
        <v>5871</v>
      </c>
      <c r="P1031" t="s">
        <v>5872</v>
      </c>
      <c r="Q1031" t="s">
        <v>30</v>
      </c>
      <c r="R1031" t="s">
        <v>31</v>
      </c>
      <c r="S1031" t="s">
        <v>58</v>
      </c>
    </row>
    <row r="1032" spans="1:19" x14ac:dyDescent="0.45">
      <c r="A1032" t="str">
        <f t="shared" si="61"/>
        <v>17801</v>
      </c>
      <c r="B1032" t="s">
        <v>19</v>
      </c>
      <c r="C1032" t="str">
        <f t="shared" si="60"/>
        <v>17414</v>
      </c>
      <c r="D1032" t="s">
        <v>4253</v>
      </c>
      <c r="E1032" t="str">
        <f>"3529"</f>
        <v>3529</v>
      </c>
      <c r="F1032" t="s">
        <v>5873</v>
      </c>
      <c r="G1032" t="s">
        <v>70</v>
      </c>
      <c r="H1032">
        <v>5</v>
      </c>
      <c r="I1032" t="s">
        <v>5874</v>
      </c>
      <c r="K1032" t="s">
        <v>4256</v>
      </c>
      <c r="L1032" t="s">
        <v>25</v>
      </c>
      <c r="M1032" t="s">
        <v>5875</v>
      </c>
      <c r="N1032" t="s">
        <v>5876</v>
      </c>
      <c r="O1032" t="s">
        <v>5877</v>
      </c>
      <c r="P1032" t="s">
        <v>5878</v>
      </c>
      <c r="Q1032" t="s">
        <v>30</v>
      </c>
      <c r="R1032" t="s">
        <v>31</v>
      </c>
      <c r="S1032" t="s">
        <v>32</v>
      </c>
    </row>
    <row r="1033" spans="1:19" x14ac:dyDescent="0.45">
      <c r="A1033" t="str">
        <f t="shared" si="61"/>
        <v>17801</v>
      </c>
      <c r="B1033" t="s">
        <v>19</v>
      </c>
      <c r="C1033" t="str">
        <f t="shared" si="60"/>
        <v>17414</v>
      </c>
      <c r="D1033" t="s">
        <v>4253</v>
      </c>
      <c r="E1033" t="str">
        <f>"3548"</f>
        <v>3548</v>
      </c>
      <c r="F1033" t="s">
        <v>5879</v>
      </c>
      <c r="G1033" t="s">
        <v>70</v>
      </c>
      <c r="H1033">
        <v>5</v>
      </c>
      <c r="I1033" t="s">
        <v>5880</v>
      </c>
      <c r="K1033" t="s">
        <v>4256</v>
      </c>
      <c r="L1033" t="s">
        <v>25</v>
      </c>
      <c r="M1033" t="s">
        <v>5881</v>
      </c>
      <c r="N1033" t="s">
        <v>5882</v>
      </c>
      <c r="O1033" t="s">
        <v>5883</v>
      </c>
      <c r="P1033" t="s">
        <v>5884</v>
      </c>
      <c r="Q1033" t="s">
        <v>30</v>
      </c>
      <c r="R1033" t="s">
        <v>31</v>
      </c>
      <c r="S1033" t="s">
        <v>32</v>
      </c>
    </row>
    <row r="1034" spans="1:19" x14ac:dyDescent="0.45">
      <c r="A1034" t="str">
        <f t="shared" si="61"/>
        <v>17801</v>
      </c>
      <c r="B1034" t="s">
        <v>19</v>
      </c>
      <c r="C1034" t="str">
        <f t="shared" si="60"/>
        <v>17414</v>
      </c>
      <c r="D1034" t="s">
        <v>4253</v>
      </c>
      <c r="E1034" t="str">
        <f>"3549"</f>
        <v>3549</v>
      </c>
      <c r="F1034" t="s">
        <v>5885</v>
      </c>
      <c r="G1034" t="s">
        <v>22</v>
      </c>
      <c r="H1034" t="s">
        <v>22</v>
      </c>
      <c r="I1034" t="s">
        <v>5886</v>
      </c>
      <c r="K1034" t="s">
        <v>4256</v>
      </c>
      <c r="L1034" t="s">
        <v>25</v>
      </c>
      <c r="M1034" t="s">
        <v>5887</v>
      </c>
      <c r="N1034" t="s">
        <v>5888</v>
      </c>
      <c r="O1034" t="s">
        <v>5889</v>
      </c>
      <c r="P1034" t="s">
        <v>5890</v>
      </c>
      <c r="Q1034" t="s">
        <v>30</v>
      </c>
      <c r="R1034" t="s">
        <v>31</v>
      </c>
      <c r="S1034" t="s">
        <v>1248</v>
      </c>
    </row>
    <row r="1035" spans="1:19" x14ac:dyDescent="0.45">
      <c r="A1035" t="str">
        <f t="shared" si="61"/>
        <v>17801</v>
      </c>
      <c r="B1035" t="s">
        <v>19</v>
      </c>
      <c r="C1035" t="str">
        <f t="shared" si="60"/>
        <v>17414</v>
      </c>
      <c r="D1035" t="s">
        <v>4253</v>
      </c>
      <c r="E1035" t="str">
        <f>"3590"</f>
        <v>3590</v>
      </c>
      <c r="F1035" t="s">
        <v>5891</v>
      </c>
      <c r="G1035">
        <v>6</v>
      </c>
      <c r="H1035">
        <v>8</v>
      </c>
      <c r="I1035" t="s">
        <v>5892</v>
      </c>
      <c r="K1035" t="s">
        <v>2269</v>
      </c>
      <c r="L1035" t="s">
        <v>25</v>
      </c>
      <c r="M1035" t="s">
        <v>5806</v>
      </c>
      <c r="N1035" t="s">
        <v>79</v>
      </c>
      <c r="Q1035" t="s">
        <v>30</v>
      </c>
      <c r="R1035" t="s">
        <v>31</v>
      </c>
      <c r="S1035" t="s">
        <v>104</v>
      </c>
    </row>
    <row r="1036" spans="1:19" x14ac:dyDescent="0.45">
      <c r="A1036" t="str">
        <f t="shared" si="61"/>
        <v>17801</v>
      </c>
      <c r="B1036" t="s">
        <v>19</v>
      </c>
      <c r="C1036" t="str">
        <f t="shared" si="60"/>
        <v>17414</v>
      </c>
      <c r="D1036" t="s">
        <v>4253</v>
      </c>
      <c r="E1036" t="str">
        <f>"3591"</f>
        <v>3591</v>
      </c>
      <c r="F1036" t="s">
        <v>1751</v>
      </c>
      <c r="G1036" t="s">
        <v>70</v>
      </c>
      <c r="H1036">
        <v>5</v>
      </c>
      <c r="I1036" t="s">
        <v>5893</v>
      </c>
      <c r="K1036" t="s">
        <v>2269</v>
      </c>
      <c r="L1036" t="s">
        <v>25</v>
      </c>
      <c r="M1036" t="s">
        <v>5894</v>
      </c>
      <c r="N1036" t="s">
        <v>5895</v>
      </c>
      <c r="O1036" t="s">
        <v>5896</v>
      </c>
      <c r="P1036" t="s">
        <v>5897</v>
      </c>
      <c r="Q1036" t="s">
        <v>30</v>
      </c>
      <c r="R1036" t="s">
        <v>31</v>
      </c>
      <c r="S1036" t="s">
        <v>32</v>
      </c>
    </row>
    <row r="1037" spans="1:19" x14ac:dyDescent="0.45">
      <c r="A1037" t="str">
        <f t="shared" si="61"/>
        <v>17801</v>
      </c>
      <c r="B1037" t="s">
        <v>19</v>
      </c>
      <c r="C1037" t="str">
        <f t="shared" si="60"/>
        <v>17414</v>
      </c>
      <c r="D1037" t="s">
        <v>4253</v>
      </c>
      <c r="E1037" t="str">
        <f>"3592"</f>
        <v>3592</v>
      </c>
      <c r="F1037" t="s">
        <v>5898</v>
      </c>
      <c r="G1037" t="s">
        <v>22</v>
      </c>
      <c r="H1037">
        <v>5</v>
      </c>
      <c r="I1037" t="s">
        <v>5899</v>
      </c>
      <c r="K1037" t="s">
        <v>2269</v>
      </c>
      <c r="L1037" t="s">
        <v>25</v>
      </c>
      <c r="M1037" t="s">
        <v>5900</v>
      </c>
      <c r="N1037" t="s">
        <v>79</v>
      </c>
      <c r="Q1037" t="s">
        <v>30</v>
      </c>
      <c r="R1037" t="s">
        <v>31</v>
      </c>
      <c r="S1037" t="s">
        <v>32</v>
      </c>
    </row>
    <row r="1038" spans="1:19" x14ac:dyDescent="0.45">
      <c r="A1038" t="str">
        <f t="shared" si="61"/>
        <v>17801</v>
      </c>
      <c r="B1038" t="s">
        <v>19</v>
      </c>
      <c r="C1038" t="str">
        <f t="shared" si="60"/>
        <v>17414</v>
      </c>
      <c r="D1038" t="s">
        <v>4253</v>
      </c>
      <c r="E1038" t="str">
        <f>"3675"</f>
        <v>3675</v>
      </c>
      <c r="F1038" t="s">
        <v>5901</v>
      </c>
      <c r="G1038" t="s">
        <v>70</v>
      </c>
      <c r="H1038">
        <v>5</v>
      </c>
      <c r="I1038" t="s">
        <v>5902</v>
      </c>
      <c r="K1038" t="s">
        <v>2269</v>
      </c>
      <c r="L1038" t="s">
        <v>25</v>
      </c>
      <c r="M1038" t="s">
        <v>5903</v>
      </c>
      <c r="N1038" t="s">
        <v>5904</v>
      </c>
      <c r="O1038" t="s">
        <v>5905</v>
      </c>
      <c r="P1038" t="s">
        <v>5906</v>
      </c>
      <c r="Q1038" t="s">
        <v>30</v>
      </c>
      <c r="R1038" t="s">
        <v>31</v>
      </c>
      <c r="S1038" t="s">
        <v>32</v>
      </c>
    </row>
    <row r="1039" spans="1:19" x14ac:dyDescent="0.45">
      <c r="A1039" t="str">
        <f t="shared" si="61"/>
        <v>17801</v>
      </c>
      <c r="B1039" t="s">
        <v>19</v>
      </c>
      <c r="C1039" t="str">
        <f t="shared" si="60"/>
        <v>17414</v>
      </c>
      <c r="D1039" t="s">
        <v>4253</v>
      </c>
      <c r="E1039" t="str">
        <f>"3703"</f>
        <v>3703</v>
      </c>
      <c r="F1039" t="s">
        <v>5907</v>
      </c>
      <c r="G1039" t="s">
        <v>70</v>
      </c>
      <c r="H1039">
        <v>5</v>
      </c>
      <c r="I1039" t="s">
        <v>5908</v>
      </c>
      <c r="K1039" t="s">
        <v>4256</v>
      </c>
      <c r="L1039" t="s">
        <v>25</v>
      </c>
      <c r="M1039" t="s">
        <v>5909</v>
      </c>
      <c r="N1039" t="s">
        <v>5910</v>
      </c>
      <c r="O1039" t="s">
        <v>5911</v>
      </c>
      <c r="P1039" t="s">
        <v>5912</v>
      </c>
      <c r="Q1039" t="s">
        <v>30</v>
      </c>
      <c r="R1039" t="s">
        <v>31</v>
      </c>
      <c r="S1039" t="s">
        <v>32</v>
      </c>
    </row>
    <row r="1040" spans="1:19" x14ac:dyDescent="0.45">
      <c r="A1040" t="str">
        <f t="shared" si="61"/>
        <v>17801</v>
      </c>
      <c r="B1040" t="s">
        <v>19</v>
      </c>
      <c r="C1040" t="str">
        <f t="shared" si="60"/>
        <v>17414</v>
      </c>
      <c r="D1040" t="s">
        <v>4253</v>
      </c>
      <c r="E1040" t="str">
        <f>"3704"</f>
        <v>3704</v>
      </c>
      <c r="F1040" t="s">
        <v>5913</v>
      </c>
      <c r="G1040" t="s">
        <v>70</v>
      </c>
      <c r="H1040">
        <v>5</v>
      </c>
      <c r="I1040" t="s">
        <v>5914</v>
      </c>
      <c r="K1040" t="s">
        <v>2269</v>
      </c>
      <c r="L1040" t="s">
        <v>25</v>
      </c>
      <c r="M1040" t="s">
        <v>5915</v>
      </c>
      <c r="N1040" t="s">
        <v>5916</v>
      </c>
      <c r="O1040" t="s">
        <v>5917</v>
      </c>
      <c r="P1040" t="s">
        <v>5918</v>
      </c>
      <c r="Q1040" t="s">
        <v>30</v>
      </c>
      <c r="R1040" t="s">
        <v>31</v>
      </c>
      <c r="S1040" t="s">
        <v>32</v>
      </c>
    </row>
    <row r="1041" spans="1:19" x14ac:dyDescent="0.45">
      <c r="A1041" t="str">
        <f t="shared" si="61"/>
        <v>17801</v>
      </c>
      <c r="B1041" t="s">
        <v>19</v>
      </c>
      <c r="C1041" t="str">
        <f t="shared" si="60"/>
        <v>17414</v>
      </c>
      <c r="D1041" t="s">
        <v>4253</v>
      </c>
      <c r="E1041" t="str">
        <f>"3706"</f>
        <v>3706</v>
      </c>
      <c r="F1041" t="s">
        <v>5919</v>
      </c>
      <c r="G1041">
        <v>6</v>
      </c>
      <c r="H1041">
        <v>8</v>
      </c>
      <c r="I1041" t="s">
        <v>5920</v>
      </c>
      <c r="K1041" t="s">
        <v>4256</v>
      </c>
      <c r="L1041" t="s">
        <v>25</v>
      </c>
      <c r="M1041" t="s">
        <v>5921</v>
      </c>
      <c r="N1041" t="s">
        <v>5922</v>
      </c>
      <c r="O1041" t="s">
        <v>5923</v>
      </c>
      <c r="P1041" t="s">
        <v>5924</v>
      </c>
      <c r="Q1041" t="s">
        <v>30</v>
      </c>
      <c r="R1041" t="s">
        <v>31</v>
      </c>
      <c r="S1041" t="s">
        <v>104</v>
      </c>
    </row>
    <row r="1042" spans="1:19" x14ac:dyDescent="0.45">
      <c r="A1042" t="str">
        <f t="shared" si="61"/>
        <v>17801</v>
      </c>
      <c r="B1042" t="s">
        <v>19</v>
      </c>
      <c r="C1042" t="str">
        <f t="shared" si="60"/>
        <v>17414</v>
      </c>
      <c r="D1042" t="s">
        <v>4253</v>
      </c>
      <c r="E1042" t="str">
        <f>"3747"</f>
        <v>3747</v>
      </c>
      <c r="F1042" t="s">
        <v>5925</v>
      </c>
      <c r="G1042" t="s">
        <v>22</v>
      </c>
      <c r="H1042">
        <v>5</v>
      </c>
      <c r="I1042" t="s">
        <v>5926</v>
      </c>
      <c r="K1042" t="s">
        <v>2269</v>
      </c>
      <c r="L1042" t="s">
        <v>25</v>
      </c>
      <c r="M1042" t="s">
        <v>5782</v>
      </c>
      <c r="N1042" t="s">
        <v>5927</v>
      </c>
      <c r="O1042" t="s">
        <v>5928</v>
      </c>
      <c r="P1042" t="s">
        <v>5929</v>
      </c>
      <c r="Q1042" t="s">
        <v>30</v>
      </c>
      <c r="R1042" t="s">
        <v>31</v>
      </c>
      <c r="S1042" t="s">
        <v>32</v>
      </c>
    </row>
    <row r="1043" spans="1:19" x14ac:dyDescent="0.45">
      <c r="A1043" t="str">
        <f t="shared" si="61"/>
        <v>17801</v>
      </c>
      <c r="B1043" t="s">
        <v>19</v>
      </c>
      <c r="C1043" t="str">
        <f t="shared" si="60"/>
        <v>17414</v>
      </c>
      <c r="D1043" t="s">
        <v>4253</v>
      </c>
      <c r="E1043" t="str">
        <f>"3748"</f>
        <v>3748</v>
      </c>
      <c r="F1043" t="s">
        <v>5930</v>
      </c>
      <c r="G1043" t="s">
        <v>22</v>
      </c>
      <c r="H1043">
        <v>5</v>
      </c>
      <c r="I1043" t="s">
        <v>5931</v>
      </c>
      <c r="K1043" t="s">
        <v>2269</v>
      </c>
      <c r="L1043" t="s">
        <v>25</v>
      </c>
      <c r="M1043" t="s">
        <v>5932</v>
      </c>
      <c r="N1043" t="s">
        <v>5933</v>
      </c>
      <c r="O1043" t="s">
        <v>5934</v>
      </c>
      <c r="P1043" t="s">
        <v>5935</v>
      </c>
      <c r="Q1043" t="s">
        <v>30</v>
      </c>
      <c r="R1043" t="s">
        <v>31</v>
      </c>
      <c r="S1043" t="s">
        <v>32</v>
      </c>
    </row>
    <row r="1044" spans="1:19" x14ac:dyDescent="0.45">
      <c r="A1044" t="str">
        <f t="shared" si="61"/>
        <v>17801</v>
      </c>
      <c r="B1044" t="s">
        <v>19</v>
      </c>
      <c r="C1044" t="str">
        <f t="shared" si="60"/>
        <v>17414</v>
      </c>
      <c r="D1044" t="s">
        <v>4253</v>
      </c>
      <c r="E1044" t="str">
        <f>"3771"</f>
        <v>3771</v>
      </c>
      <c r="F1044" t="s">
        <v>5936</v>
      </c>
      <c r="G1044">
        <v>9</v>
      </c>
      <c r="H1044">
        <v>12</v>
      </c>
      <c r="I1044" t="s">
        <v>5937</v>
      </c>
      <c r="K1044" t="s">
        <v>2269</v>
      </c>
      <c r="L1044" t="s">
        <v>25</v>
      </c>
      <c r="M1044" t="s">
        <v>5809</v>
      </c>
      <c r="N1044" t="s">
        <v>5810</v>
      </c>
      <c r="O1044" t="s">
        <v>5811</v>
      </c>
      <c r="P1044" t="s">
        <v>5812</v>
      </c>
      <c r="Q1044" t="s">
        <v>30</v>
      </c>
      <c r="R1044" t="s">
        <v>31</v>
      </c>
      <c r="S1044" t="s">
        <v>58</v>
      </c>
    </row>
    <row r="1045" spans="1:19" x14ac:dyDescent="0.45">
      <c r="A1045" t="str">
        <f t="shared" si="61"/>
        <v>17801</v>
      </c>
      <c r="B1045" t="s">
        <v>19</v>
      </c>
      <c r="C1045" t="str">
        <f t="shared" si="60"/>
        <v>17414</v>
      </c>
      <c r="D1045" t="s">
        <v>4253</v>
      </c>
      <c r="E1045" t="str">
        <f>"3855"</f>
        <v>3855</v>
      </c>
      <c r="F1045" t="s">
        <v>5938</v>
      </c>
      <c r="G1045">
        <v>9</v>
      </c>
      <c r="H1045">
        <v>12</v>
      </c>
      <c r="I1045" t="s">
        <v>5939</v>
      </c>
      <c r="K1045" t="s">
        <v>2269</v>
      </c>
      <c r="L1045" t="s">
        <v>25</v>
      </c>
      <c r="M1045" t="s">
        <v>5794</v>
      </c>
      <c r="N1045" t="s">
        <v>5795</v>
      </c>
      <c r="O1045" t="s">
        <v>5796</v>
      </c>
      <c r="P1045" t="s">
        <v>5940</v>
      </c>
      <c r="Q1045" t="s">
        <v>157</v>
      </c>
      <c r="R1045" t="s">
        <v>158</v>
      </c>
      <c r="S1045" t="s">
        <v>58</v>
      </c>
    </row>
    <row r="1046" spans="1:19" x14ac:dyDescent="0.45">
      <c r="A1046" t="str">
        <f t="shared" si="61"/>
        <v>17801</v>
      </c>
      <c r="B1046" t="s">
        <v>19</v>
      </c>
      <c r="C1046" t="str">
        <f t="shared" si="60"/>
        <v>17414</v>
      </c>
      <c r="D1046" t="s">
        <v>4253</v>
      </c>
      <c r="E1046" t="str">
        <f>"3856"</f>
        <v>3856</v>
      </c>
      <c r="F1046" t="s">
        <v>5941</v>
      </c>
      <c r="G1046">
        <v>1</v>
      </c>
      <c r="H1046">
        <v>5</v>
      </c>
      <c r="I1046" t="s">
        <v>5942</v>
      </c>
      <c r="K1046" t="s">
        <v>2269</v>
      </c>
      <c r="L1046" t="s">
        <v>25</v>
      </c>
      <c r="M1046" t="s">
        <v>5800</v>
      </c>
      <c r="N1046" t="s">
        <v>5801</v>
      </c>
      <c r="O1046" t="s">
        <v>5802</v>
      </c>
      <c r="P1046" t="s">
        <v>5943</v>
      </c>
      <c r="Q1046" t="s">
        <v>157</v>
      </c>
      <c r="R1046" t="s">
        <v>158</v>
      </c>
      <c r="S1046" t="s">
        <v>32</v>
      </c>
    </row>
    <row r="1047" spans="1:19" x14ac:dyDescent="0.45">
      <c r="A1047" t="str">
        <f t="shared" si="61"/>
        <v>17801</v>
      </c>
      <c r="B1047" t="s">
        <v>19</v>
      </c>
      <c r="C1047" t="str">
        <f t="shared" si="60"/>
        <v>17414</v>
      </c>
      <c r="D1047" t="s">
        <v>4253</v>
      </c>
      <c r="E1047" t="str">
        <f>"3922"</f>
        <v>3922</v>
      </c>
      <c r="F1047" t="s">
        <v>5944</v>
      </c>
      <c r="G1047">
        <v>6</v>
      </c>
      <c r="H1047">
        <v>8</v>
      </c>
      <c r="I1047" t="s">
        <v>5945</v>
      </c>
      <c r="K1047" t="s">
        <v>2269</v>
      </c>
      <c r="L1047" t="s">
        <v>25</v>
      </c>
      <c r="M1047" t="s">
        <v>5946</v>
      </c>
      <c r="N1047" t="s">
        <v>5947</v>
      </c>
      <c r="O1047" t="s">
        <v>5948</v>
      </c>
      <c r="P1047" t="s">
        <v>5949</v>
      </c>
      <c r="Q1047" t="s">
        <v>30</v>
      </c>
      <c r="R1047" t="s">
        <v>31</v>
      </c>
      <c r="S1047" t="s">
        <v>104</v>
      </c>
    </row>
    <row r="1048" spans="1:19" x14ac:dyDescent="0.45">
      <c r="A1048" t="str">
        <f t="shared" si="61"/>
        <v>17801</v>
      </c>
      <c r="B1048" t="s">
        <v>19</v>
      </c>
      <c r="C1048" t="str">
        <f t="shared" si="60"/>
        <v>17414</v>
      </c>
      <c r="D1048" t="s">
        <v>4253</v>
      </c>
      <c r="E1048" t="str">
        <f>"3941"</f>
        <v>3941</v>
      </c>
      <c r="F1048" t="s">
        <v>5950</v>
      </c>
      <c r="G1048" t="s">
        <v>70</v>
      </c>
      <c r="H1048">
        <v>5</v>
      </c>
      <c r="I1048" t="s">
        <v>5951</v>
      </c>
      <c r="K1048" t="s">
        <v>2269</v>
      </c>
      <c r="L1048" t="s">
        <v>25</v>
      </c>
      <c r="M1048" t="s">
        <v>5952</v>
      </c>
      <c r="N1048" t="s">
        <v>5953</v>
      </c>
      <c r="O1048" t="s">
        <v>5954</v>
      </c>
      <c r="P1048" t="s">
        <v>5955</v>
      </c>
      <c r="Q1048" t="s">
        <v>30</v>
      </c>
      <c r="R1048" t="s">
        <v>31</v>
      </c>
      <c r="S1048" t="s">
        <v>32</v>
      </c>
    </row>
    <row r="1049" spans="1:19" x14ac:dyDescent="0.45">
      <c r="A1049" t="str">
        <f t="shared" si="61"/>
        <v>17801</v>
      </c>
      <c r="B1049" t="s">
        <v>19</v>
      </c>
      <c r="C1049" t="str">
        <f t="shared" si="60"/>
        <v>17414</v>
      </c>
      <c r="D1049" t="s">
        <v>4253</v>
      </c>
      <c r="E1049" t="str">
        <f>"4018"</f>
        <v>4018</v>
      </c>
      <c r="F1049" t="s">
        <v>5956</v>
      </c>
      <c r="G1049" t="s">
        <v>22</v>
      </c>
      <c r="H1049">
        <v>5</v>
      </c>
      <c r="I1049" t="s">
        <v>5957</v>
      </c>
      <c r="K1049" t="s">
        <v>4256</v>
      </c>
      <c r="L1049" t="s">
        <v>25</v>
      </c>
      <c r="M1049" t="s">
        <v>5958</v>
      </c>
      <c r="N1049" t="s">
        <v>5789</v>
      </c>
      <c r="O1049" t="s">
        <v>5790</v>
      </c>
      <c r="P1049" t="s">
        <v>5959</v>
      </c>
      <c r="Q1049" t="s">
        <v>30</v>
      </c>
      <c r="R1049" t="s">
        <v>31</v>
      </c>
      <c r="S1049" t="s">
        <v>32</v>
      </c>
    </row>
    <row r="1050" spans="1:19" x14ac:dyDescent="0.45">
      <c r="A1050" t="str">
        <f t="shared" si="61"/>
        <v>17801</v>
      </c>
      <c r="B1050" t="s">
        <v>19</v>
      </c>
      <c r="C1050" t="str">
        <f t="shared" si="60"/>
        <v>17414</v>
      </c>
      <c r="D1050" t="s">
        <v>4253</v>
      </c>
      <c r="E1050" t="str">
        <f>"4096"</f>
        <v>4096</v>
      </c>
      <c r="F1050" t="s">
        <v>5960</v>
      </c>
      <c r="G1050" t="s">
        <v>70</v>
      </c>
      <c r="H1050">
        <v>5</v>
      </c>
      <c r="I1050" t="s">
        <v>5961</v>
      </c>
      <c r="K1050" t="s">
        <v>5962</v>
      </c>
      <c r="L1050" t="s">
        <v>25</v>
      </c>
      <c r="M1050" t="s">
        <v>5963</v>
      </c>
      <c r="N1050" t="s">
        <v>5964</v>
      </c>
      <c r="O1050" t="s">
        <v>5965</v>
      </c>
      <c r="P1050" t="s">
        <v>5966</v>
      </c>
      <c r="Q1050" t="s">
        <v>30</v>
      </c>
      <c r="R1050" t="s">
        <v>31</v>
      </c>
      <c r="S1050" t="s">
        <v>32</v>
      </c>
    </row>
    <row r="1051" spans="1:19" x14ac:dyDescent="0.45">
      <c r="A1051" t="str">
        <f t="shared" si="61"/>
        <v>17801</v>
      </c>
      <c r="B1051" t="s">
        <v>19</v>
      </c>
      <c r="C1051" t="str">
        <f t="shared" si="60"/>
        <v>17414</v>
      </c>
      <c r="D1051" t="s">
        <v>4253</v>
      </c>
      <c r="E1051" t="str">
        <f>"4147"</f>
        <v>4147</v>
      </c>
      <c r="F1051" t="s">
        <v>5967</v>
      </c>
      <c r="G1051" t="s">
        <v>70</v>
      </c>
      <c r="H1051">
        <v>5</v>
      </c>
      <c r="I1051" t="s">
        <v>5968</v>
      </c>
      <c r="K1051" t="s">
        <v>4256</v>
      </c>
      <c r="L1051" t="s">
        <v>25</v>
      </c>
      <c r="M1051" t="s">
        <v>5969</v>
      </c>
      <c r="N1051" t="s">
        <v>5970</v>
      </c>
      <c r="O1051" t="s">
        <v>5971</v>
      </c>
      <c r="P1051" t="s">
        <v>5972</v>
      </c>
      <c r="Q1051" t="s">
        <v>30</v>
      </c>
      <c r="R1051" t="s">
        <v>31</v>
      </c>
      <c r="S1051" t="s">
        <v>32</v>
      </c>
    </row>
    <row r="1052" spans="1:19" x14ac:dyDescent="0.45">
      <c r="A1052" t="str">
        <f t="shared" si="61"/>
        <v>17801</v>
      </c>
      <c r="B1052" t="s">
        <v>19</v>
      </c>
      <c r="C1052" t="str">
        <f t="shared" si="60"/>
        <v>17414</v>
      </c>
      <c r="D1052" t="s">
        <v>4253</v>
      </c>
      <c r="E1052" t="str">
        <f>"4148"</f>
        <v>4148</v>
      </c>
      <c r="F1052" t="s">
        <v>5973</v>
      </c>
      <c r="G1052">
        <v>6</v>
      </c>
      <c r="H1052">
        <v>8</v>
      </c>
      <c r="I1052" t="s">
        <v>5974</v>
      </c>
      <c r="K1052" t="s">
        <v>4256</v>
      </c>
      <c r="L1052" t="s">
        <v>25</v>
      </c>
      <c r="M1052" t="s">
        <v>5975</v>
      </c>
      <c r="N1052" t="s">
        <v>5976</v>
      </c>
      <c r="O1052" t="s">
        <v>5977</v>
      </c>
      <c r="P1052" t="s">
        <v>5978</v>
      </c>
      <c r="Q1052" t="s">
        <v>30</v>
      </c>
      <c r="R1052" t="s">
        <v>31</v>
      </c>
      <c r="S1052" t="s">
        <v>104</v>
      </c>
    </row>
    <row r="1053" spans="1:19" x14ac:dyDescent="0.45">
      <c r="A1053" t="str">
        <f t="shared" si="61"/>
        <v>17801</v>
      </c>
      <c r="B1053" t="s">
        <v>19</v>
      </c>
      <c r="C1053" t="str">
        <f t="shared" si="60"/>
        <v>17414</v>
      </c>
      <c r="D1053" t="s">
        <v>4253</v>
      </c>
      <c r="E1053" t="str">
        <f>"4167"</f>
        <v>4167</v>
      </c>
      <c r="F1053" t="s">
        <v>5979</v>
      </c>
      <c r="G1053">
        <v>6</v>
      </c>
      <c r="H1053">
        <v>8</v>
      </c>
      <c r="I1053" t="s">
        <v>5980</v>
      </c>
      <c r="K1053" t="s">
        <v>2269</v>
      </c>
      <c r="L1053" t="s">
        <v>25</v>
      </c>
      <c r="M1053">
        <v>98033</v>
      </c>
      <c r="N1053" t="s">
        <v>5795</v>
      </c>
      <c r="O1053" t="s">
        <v>5796</v>
      </c>
      <c r="P1053" t="s">
        <v>5981</v>
      </c>
      <c r="Q1053" t="s">
        <v>157</v>
      </c>
      <c r="R1053" t="s">
        <v>158</v>
      </c>
      <c r="S1053" t="s">
        <v>104</v>
      </c>
    </row>
    <row r="1054" spans="1:19" x14ac:dyDescent="0.45">
      <c r="A1054" t="str">
        <f t="shared" si="61"/>
        <v>17801</v>
      </c>
      <c r="B1054" t="s">
        <v>19</v>
      </c>
      <c r="C1054" t="str">
        <f t="shared" si="60"/>
        <v>17414</v>
      </c>
      <c r="D1054" t="s">
        <v>4253</v>
      </c>
      <c r="E1054" t="str">
        <f>"4256"</f>
        <v>4256</v>
      </c>
      <c r="F1054" t="s">
        <v>5982</v>
      </c>
      <c r="G1054" t="s">
        <v>70</v>
      </c>
      <c r="H1054">
        <v>5</v>
      </c>
      <c r="I1054" t="s">
        <v>5983</v>
      </c>
      <c r="K1054" t="s">
        <v>4256</v>
      </c>
      <c r="L1054" t="s">
        <v>25</v>
      </c>
      <c r="M1054" t="s">
        <v>5984</v>
      </c>
      <c r="N1054" t="s">
        <v>5985</v>
      </c>
      <c r="O1054" t="s">
        <v>5986</v>
      </c>
      <c r="P1054" t="s">
        <v>5987</v>
      </c>
      <c r="Q1054" t="s">
        <v>30</v>
      </c>
      <c r="R1054" t="s">
        <v>31</v>
      </c>
      <c r="S1054" t="s">
        <v>32</v>
      </c>
    </row>
    <row r="1055" spans="1:19" x14ac:dyDescent="0.45">
      <c r="A1055" t="str">
        <f t="shared" si="61"/>
        <v>17801</v>
      </c>
      <c r="B1055" t="s">
        <v>19</v>
      </c>
      <c r="C1055" t="str">
        <f t="shared" si="60"/>
        <v>17414</v>
      </c>
      <c r="D1055" t="s">
        <v>4253</v>
      </c>
      <c r="E1055" t="str">
        <f>"4302"</f>
        <v>4302</v>
      </c>
      <c r="F1055" t="s">
        <v>5988</v>
      </c>
      <c r="G1055" t="s">
        <v>70</v>
      </c>
      <c r="H1055">
        <v>5</v>
      </c>
      <c r="I1055" t="s">
        <v>5989</v>
      </c>
      <c r="K1055" t="s">
        <v>5962</v>
      </c>
      <c r="L1055" t="s">
        <v>25</v>
      </c>
      <c r="M1055" t="s">
        <v>5990</v>
      </c>
      <c r="N1055" t="s">
        <v>5991</v>
      </c>
      <c r="O1055" t="s">
        <v>5992</v>
      </c>
      <c r="P1055" t="s">
        <v>5993</v>
      </c>
      <c r="Q1055" t="s">
        <v>30</v>
      </c>
      <c r="R1055" t="s">
        <v>31</v>
      </c>
      <c r="S1055" t="s">
        <v>32</v>
      </c>
    </row>
    <row r="1056" spans="1:19" x14ac:dyDescent="0.45">
      <c r="A1056" t="str">
        <f t="shared" si="61"/>
        <v>17801</v>
      </c>
      <c r="B1056" t="s">
        <v>19</v>
      </c>
      <c r="C1056" t="str">
        <f t="shared" si="60"/>
        <v>17414</v>
      </c>
      <c r="D1056" t="s">
        <v>4253</v>
      </c>
      <c r="E1056" t="str">
        <f>"4336"</f>
        <v>4336</v>
      </c>
      <c r="F1056" t="s">
        <v>5994</v>
      </c>
      <c r="G1056" t="s">
        <v>22</v>
      </c>
      <c r="H1056">
        <v>5</v>
      </c>
      <c r="I1056" t="s">
        <v>5995</v>
      </c>
      <c r="K1056" t="s">
        <v>4600</v>
      </c>
      <c r="L1056" t="s">
        <v>25</v>
      </c>
      <c r="M1056" t="s">
        <v>5996</v>
      </c>
      <c r="N1056" t="s">
        <v>5997</v>
      </c>
      <c r="O1056" t="s">
        <v>5998</v>
      </c>
      <c r="P1056" t="s">
        <v>5999</v>
      </c>
      <c r="Q1056" t="s">
        <v>30</v>
      </c>
      <c r="R1056" t="s">
        <v>31</v>
      </c>
      <c r="S1056" t="s">
        <v>32</v>
      </c>
    </row>
    <row r="1057" spans="1:19" x14ac:dyDescent="0.45">
      <c r="A1057" t="str">
        <f t="shared" si="61"/>
        <v>17801</v>
      </c>
      <c r="B1057" t="s">
        <v>19</v>
      </c>
      <c r="C1057" t="str">
        <f t="shared" si="60"/>
        <v>17414</v>
      </c>
      <c r="D1057" t="s">
        <v>4253</v>
      </c>
      <c r="E1057" t="str">
        <f>"4354"</f>
        <v>4354</v>
      </c>
      <c r="F1057" t="s">
        <v>6000</v>
      </c>
      <c r="G1057" t="s">
        <v>70</v>
      </c>
      <c r="H1057">
        <v>5</v>
      </c>
      <c r="I1057" t="s">
        <v>6001</v>
      </c>
      <c r="K1057" t="s">
        <v>5962</v>
      </c>
      <c r="L1057" t="s">
        <v>25</v>
      </c>
      <c r="M1057" t="s">
        <v>6002</v>
      </c>
      <c r="N1057" t="s">
        <v>6003</v>
      </c>
      <c r="O1057" t="s">
        <v>6004</v>
      </c>
      <c r="P1057" t="s">
        <v>6005</v>
      </c>
      <c r="Q1057" t="s">
        <v>30</v>
      </c>
      <c r="R1057" t="s">
        <v>31</v>
      </c>
      <c r="S1057" t="s">
        <v>32</v>
      </c>
    </row>
    <row r="1058" spans="1:19" x14ac:dyDescent="0.45">
      <c r="A1058" t="str">
        <f t="shared" si="61"/>
        <v>17801</v>
      </c>
      <c r="B1058" t="s">
        <v>19</v>
      </c>
      <c r="C1058" t="str">
        <f t="shared" si="60"/>
        <v>17414</v>
      </c>
      <c r="D1058" t="s">
        <v>4253</v>
      </c>
      <c r="E1058" t="str">
        <f>"4386"</f>
        <v>4386</v>
      </c>
      <c r="F1058" t="s">
        <v>6006</v>
      </c>
      <c r="G1058">
        <v>6</v>
      </c>
      <c r="H1058">
        <v>8</v>
      </c>
      <c r="I1058" t="s">
        <v>6007</v>
      </c>
      <c r="K1058" t="s">
        <v>5962</v>
      </c>
      <c r="L1058" t="s">
        <v>25</v>
      </c>
      <c r="M1058" t="s">
        <v>6008</v>
      </c>
      <c r="N1058" t="s">
        <v>6009</v>
      </c>
      <c r="O1058" t="s">
        <v>6010</v>
      </c>
      <c r="P1058" t="s">
        <v>6011</v>
      </c>
      <c r="Q1058" t="s">
        <v>30</v>
      </c>
      <c r="R1058" t="s">
        <v>31</v>
      </c>
      <c r="S1058" t="s">
        <v>104</v>
      </c>
    </row>
    <row r="1059" spans="1:19" x14ac:dyDescent="0.45">
      <c r="A1059" t="str">
        <f t="shared" si="61"/>
        <v>17801</v>
      </c>
      <c r="B1059" t="s">
        <v>19</v>
      </c>
      <c r="C1059" t="str">
        <f t="shared" si="60"/>
        <v>17414</v>
      </c>
      <c r="D1059" t="s">
        <v>4253</v>
      </c>
      <c r="E1059" t="str">
        <f>"4424"</f>
        <v>4424</v>
      </c>
      <c r="F1059" t="s">
        <v>6012</v>
      </c>
      <c r="G1059" t="s">
        <v>70</v>
      </c>
      <c r="H1059">
        <v>5</v>
      </c>
      <c r="I1059" t="s">
        <v>6013</v>
      </c>
      <c r="K1059" t="s">
        <v>4256</v>
      </c>
      <c r="L1059" t="s">
        <v>25</v>
      </c>
      <c r="M1059" t="s">
        <v>6014</v>
      </c>
      <c r="N1059" t="s">
        <v>6015</v>
      </c>
      <c r="O1059" t="s">
        <v>6016</v>
      </c>
      <c r="P1059" t="s">
        <v>6017</v>
      </c>
      <c r="Q1059" t="s">
        <v>30</v>
      </c>
      <c r="R1059" t="s">
        <v>31</v>
      </c>
      <c r="S1059" t="s">
        <v>32</v>
      </c>
    </row>
    <row r="1060" spans="1:19" x14ac:dyDescent="0.45">
      <c r="A1060" t="str">
        <f t="shared" si="61"/>
        <v>17801</v>
      </c>
      <c r="B1060" t="s">
        <v>19</v>
      </c>
      <c r="C1060" t="str">
        <f t="shared" si="60"/>
        <v>17414</v>
      </c>
      <c r="D1060" t="s">
        <v>4253</v>
      </c>
      <c r="E1060" t="str">
        <f>"4439"</f>
        <v>4439</v>
      </c>
      <c r="F1060" t="s">
        <v>6018</v>
      </c>
      <c r="G1060">
        <v>9</v>
      </c>
      <c r="H1060">
        <v>12</v>
      </c>
      <c r="I1060" t="s">
        <v>6019</v>
      </c>
      <c r="K1060" t="s">
        <v>5962</v>
      </c>
      <c r="L1060" t="s">
        <v>25</v>
      </c>
      <c r="M1060" t="s">
        <v>6020</v>
      </c>
      <c r="N1060" t="s">
        <v>6021</v>
      </c>
      <c r="O1060" t="s">
        <v>6022</v>
      </c>
      <c r="P1060" t="s">
        <v>6023</v>
      </c>
      <c r="Q1060" t="s">
        <v>30</v>
      </c>
      <c r="R1060" t="s">
        <v>31</v>
      </c>
      <c r="S1060" t="s">
        <v>58</v>
      </c>
    </row>
    <row r="1061" spans="1:19" x14ac:dyDescent="0.45">
      <c r="A1061" t="str">
        <f t="shared" si="61"/>
        <v>17801</v>
      </c>
      <c r="B1061" t="s">
        <v>19</v>
      </c>
      <c r="C1061" t="str">
        <f t="shared" si="60"/>
        <v>17414</v>
      </c>
      <c r="D1061" t="s">
        <v>4253</v>
      </c>
      <c r="E1061" t="str">
        <f>"4532"</f>
        <v>4532</v>
      </c>
      <c r="F1061" t="s">
        <v>6024</v>
      </c>
      <c r="G1061" t="s">
        <v>70</v>
      </c>
      <c r="H1061">
        <v>5</v>
      </c>
      <c r="I1061" t="s">
        <v>6025</v>
      </c>
      <c r="K1061" t="s">
        <v>5962</v>
      </c>
      <c r="L1061" t="s">
        <v>25</v>
      </c>
      <c r="M1061" t="s">
        <v>6026</v>
      </c>
      <c r="N1061" t="s">
        <v>6027</v>
      </c>
      <c r="O1061" t="s">
        <v>6028</v>
      </c>
      <c r="P1061" t="s">
        <v>6029</v>
      </c>
      <c r="Q1061" t="s">
        <v>30</v>
      </c>
      <c r="R1061" t="s">
        <v>31</v>
      </c>
      <c r="S1061" t="s">
        <v>32</v>
      </c>
    </row>
    <row r="1062" spans="1:19" x14ac:dyDescent="0.45">
      <c r="A1062" t="str">
        <f t="shared" si="61"/>
        <v>17801</v>
      </c>
      <c r="B1062" t="s">
        <v>19</v>
      </c>
      <c r="C1062" t="str">
        <f t="shared" ref="C1062:C1098" si="62">"17415"</f>
        <v>17415</v>
      </c>
      <c r="D1062" t="s">
        <v>2884</v>
      </c>
      <c r="E1062" t="str">
        <f>"1807"</f>
        <v>1807</v>
      </c>
      <c r="F1062" t="s">
        <v>6030</v>
      </c>
      <c r="G1062">
        <v>9</v>
      </c>
      <c r="H1062">
        <v>12</v>
      </c>
      <c r="I1062" t="s">
        <v>6031</v>
      </c>
      <c r="K1062" t="s">
        <v>2887</v>
      </c>
      <c r="L1062" t="s">
        <v>25</v>
      </c>
      <c r="M1062" t="s">
        <v>6032</v>
      </c>
      <c r="N1062" t="s">
        <v>6033</v>
      </c>
      <c r="O1062" t="s">
        <v>6034</v>
      </c>
      <c r="P1062" t="s">
        <v>6035</v>
      </c>
      <c r="Q1062" t="s">
        <v>157</v>
      </c>
      <c r="R1062" t="s">
        <v>158</v>
      </c>
      <c r="S1062" t="s">
        <v>58</v>
      </c>
    </row>
    <row r="1063" spans="1:19" x14ac:dyDescent="0.45">
      <c r="A1063" t="str">
        <f t="shared" si="61"/>
        <v>17801</v>
      </c>
      <c r="B1063" t="s">
        <v>19</v>
      </c>
      <c r="C1063" t="str">
        <f t="shared" si="62"/>
        <v>17415</v>
      </c>
      <c r="D1063" t="s">
        <v>2884</v>
      </c>
      <c r="E1063" t="str">
        <f>"2565"</f>
        <v>2565</v>
      </c>
      <c r="F1063" t="s">
        <v>6036</v>
      </c>
      <c r="G1063" t="s">
        <v>22</v>
      </c>
      <c r="H1063">
        <v>6</v>
      </c>
      <c r="I1063" t="s">
        <v>6037</v>
      </c>
      <c r="K1063" t="s">
        <v>2887</v>
      </c>
      <c r="L1063" t="s">
        <v>25</v>
      </c>
      <c r="M1063" t="s">
        <v>6038</v>
      </c>
      <c r="N1063" t="s">
        <v>6039</v>
      </c>
      <c r="O1063" t="s">
        <v>6040</v>
      </c>
      <c r="P1063" t="s">
        <v>6041</v>
      </c>
      <c r="Q1063" t="s">
        <v>30</v>
      </c>
      <c r="R1063" t="s">
        <v>31</v>
      </c>
      <c r="S1063" t="s">
        <v>32</v>
      </c>
    </row>
    <row r="1064" spans="1:19" x14ac:dyDescent="0.45">
      <c r="A1064" t="str">
        <f t="shared" si="61"/>
        <v>17801</v>
      </c>
      <c r="B1064" t="s">
        <v>19</v>
      </c>
      <c r="C1064" t="str">
        <f t="shared" si="62"/>
        <v>17415</v>
      </c>
      <c r="D1064" t="s">
        <v>2884</v>
      </c>
      <c r="E1064" t="str">
        <f>"2797"</f>
        <v>2797</v>
      </c>
      <c r="F1064" t="s">
        <v>6042</v>
      </c>
      <c r="G1064">
        <v>9</v>
      </c>
      <c r="H1064">
        <v>12</v>
      </c>
      <c r="I1064" t="s">
        <v>6043</v>
      </c>
      <c r="K1064" t="s">
        <v>2887</v>
      </c>
      <c r="L1064" t="s">
        <v>25</v>
      </c>
      <c r="M1064" t="s">
        <v>6044</v>
      </c>
      <c r="N1064" t="s">
        <v>6045</v>
      </c>
      <c r="O1064" t="s">
        <v>6046</v>
      </c>
      <c r="P1064" t="s">
        <v>6047</v>
      </c>
      <c r="Q1064" t="s">
        <v>30</v>
      </c>
      <c r="R1064" t="s">
        <v>31</v>
      </c>
      <c r="S1064" t="s">
        <v>58</v>
      </c>
    </row>
    <row r="1065" spans="1:19" x14ac:dyDescent="0.45">
      <c r="A1065" t="str">
        <f t="shared" si="61"/>
        <v>17801</v>
      </c>
      <c r="B1065" t="s">
        <v>19</v>
      </c>
      <c r="C1065" t="str">
        <f t="shared" si="62"/>
        <v>17415</v>
      </c>
      <c r="D1065" t="s">
        <v>2884</v>
      </c>
      <c r="E1065" t="str">
        <f>"2851"</f>
        <v>2851</v>
      </c>
      <c r="F1065" t="s">
        <v>6048</v>
      </c>
      <c r="G1065" t="s">
        <v>22</v>
      </c>
      <c r="H1065">
        <v>6</v>
      </c>
      <c r="I1065" t="s">
        <v>6049</v>
      </c>
      <c r="K1065" t="s">
        <v>2887</v>
      </c>
      <c r="L1065" t="s">
        <v>25</v>
      </c>
      <c r="M1065" t="s">
        <v>6050</v>
      </c>
      <c r="N1065" t="s">
        <v>6051</v>
      </c>
      <c r="O1065" t="s">
        <v>6052</v>
      </c>
      <c r="P1065" t="s">
        <v>6053</v>
      </c>
      <c r="Q1065" t="s">
        <v>30</v>
      </c>
      <c r="R1065" t="s">
        <v>31</v>
      </c>
      <c r="S1065" t="s">
        <v>32</v>
      </c>
    </row>
    <row r="1066" spans="1:19" x14ac:dyDescent="0.45">
      <c r="A1066" t="str">
        <f t="shared" si="61"/>
        <v>17801</v>
      </c>
      <c r="B1066" t="s">
        <v>19</v>
      </c>
      <c r="C1066" t="str">
        <f t="shared" si="62"/>
        <v>17415</v>
      </c>
      <c r="D1066" t="s">
        <v>2884</v>
      </c>
      <c r="E1066" t="str">
        <f>"3014"</f>
        <v>3014</v>
      </c>
      <c r="F1066" t="s">
        <v>6054</v>
      </c>
      <c r="G1066" t="s">
        <v>70</v>
      </c>
      <c r="H1066">
        <v>12</v>
      </c>
      <c r="I1066" t="s">
        <v>6055</v>
      </c>
      <c r="K1066" t="s">
        <v>2887</v>
      </c>
      <c r="L1066" t="s">
        <v>25</v>
      </c>
      <c r="M1066" t="s">
        <v>6056</v>
      </c>
      <c r="N1066" t="s">
        <v>6057</v>
      </c>
      <c r="O1066" t="s">
        <v>6058</v>
      </c>
      <c r="P1066" t="s">
        <v>6059</v>
      </c>
      <c r="Q1066" t="s">
        <v>157</v>
      </c>
      <c r="R1066" t="s">
        <v>158</v>
      </c>
      <c r="S1066" t="s">
        <v>330</v>
      </c>
    </row>
    <row r="1067" spans="1:19" x14ac:dyDescent="0.45">
      <c r="A1067" t="str">
        <f t="shared" si="61"/>
        <v>17801</v>
      </c>
      <c r="B1067" t="s">
        <v>19</v>
      </c>
      <c r="C1067" t="str">
        <f t="shared" si="62"/>
        <v>17415</v>
      </c>
      <c r="D1067" t="s">
        <v>2884</v>
      </c>
      <c r="E1067" t="str">
        <f>"3233"</f>
        <v>3233</v>
      </c>
      <c r="F1067" t="s">
        <v>6060</v>
      </c>
      <c r="G1067">
        <v>7</v>
      </c>
      <c r="H1067">
        <v>8</v>
      </c>
      <c r="I1067" t="s">
        <v>6061</v>
      </c>
      <c r="K1067" t="s">
        <v>2887</v>
      </c>
      <c r="L1067" t="s">
        <v>25</v>
      </c>
      <c r="M1067" t="s">
        <v>6062</v>
      </c>
      <c r="N1067" t="s">
        <v>6063</v>
      </c>
      <c r="O1067" t="s">
        <v>6064</v>
      </c>
      <c r="P1067" t="s">
        <v>6065</v>
      </c>
      <c r="Q1067" t="s">
        <v>30</v>
      </c>
      <c r="R1067" t="s">
        <v>31</v>
      </c>
      <c r="S1067" t="s">
        <v>104</v>
      </c>
    </row>
    <row r="1068" spans="1:19" x14ac:dyDescent="0.45">
      <c r="A1068" t="str">
        <f t="shared" si="61"/>
        <v>17801</v>
      </c>
      <c r="B1068" t="s">
        <v>19</v>
      </c>
      <c r="C1068" t="str">
        <f t="shared" si="62"/>
        <v>17415</v>
      </c>
      <c r="D1068" t="s">
        <v>2884</v>
      </c>
      <c r="E1068" t="str">
        <f>"3388"</f>
        <v>3388</v>
      </c>
      <c r="F1068" t="s">
        <v>6066</v>
      </c>
      <c r="G1068" t="s">
        <v>22</v>
      </c>
      <c r="H1068">
        <v>6</v>
      </c>
      <c r="I1068" t="s">
        <v>6067</v>
      </c>
      <c r="K1068" t="s">
        <v>846</v>
      </c>
      <c r="L1068" t="s">
        <v>25</v>
      </c>
      <c r="M1068" t="s">
        <v>6068</v>
      </c>
      <c r="N1068" t="s">
        <v>6069</v>
      </c>
      <c r="O1068" t="s">
        <v>6070</v>
      </c>
      <c r="P1068" t="s">
        <v>6071</v>
      </c>
      <c r="Q1068" t="s">
        <v>30</v>
      </c>
      <c r="R1068" t="s">
        <v>31</v>
      </c>
      <c r="S1068" t="s">
        <v>32</v>
      </c>
    </row>
    <row r="1069" spans="1:19" x14ac:dyDescent="0.45">
      <c r="A1069" t="str">
        <f t="shared" si="61"/>
        <v>17801</v>
      </c>
      <c r="B1069" t="s">
        <v>19</v>
      </c>
      <c r="C1069" t="str">
        <f t="shared" si="62"/>
        <v>17415</v>
      </c>
      <c r="D1069" t="s">
        <v>2884</v>
      </c>
      <c r="E1069" t="str">
        <f>"3389"</f>
        <v>3389</v>
      </c>
      <c r="F1069" t="s">
        <v>6072</v>
      </c>
      <c r="G1069" t="s">
        <v>22</v>
      </c>
      <c r="H1069">
        <v>6</v>
      </c>
      <c r="I1069" t="s">
        <v>6073</v>
      </c>
      <c r="K1069" t="s">
        <v>2887</v>
      </c>
      <c r="L1069" t="s">
        <v>25</v>
      </c>
      <c r="M1069" t="s">
        <v>6074</v>
      </c>
      <c r="N1069" t="s">
        <v>6075</v>
      </c>
      <c r="O1069" t="s">
        <v>6076</v>
      </c>
      <c r="P1069" t="s">
        <v>6077</v>
      </c>
      <c r="Q1069" t="s">
        <v>30</v>
      </c>
      <c r="R1069" t="s">
        <v>31</v>
      </c>
      <c r="S1069" t="s">
        <v>32</v>
      </c>
    </row>
    <row r="1070" spans="1:19" x14ac:dyDescent="0.45">
      <c r="A1070" t="str">
        <f t="shared" si="61"/>
        <v>17801</v>
      </c>
      <c r="B1070" t="s">
        <v>19</v>
      </c>
      <c r="C1070" t="str">
        <f t="shared" si="62"/>
        <v>17415</v>
      </c>
      <c r="D1070" t="s">
        <v>2884</v>
      </c>
      <c r="E1070" t="str">
        <f>"3491"</f>
        <v>3491</v>
      </c>
      <c r="F1070" t="s">
        <v>6078</v>
      </c>
      <c r="G1070" t="s">
        <v>22</v>
      </c>
      <c r="H1070">
        <v>6</v>
      </c>
      <c r="I1070" t="s">
        <v>6079</v>
      </c>
      <c r="K1070" t="s">
        <v>2887</v>
      </c>
      <c r="L1070" t="s">
        <v>25</v>
      </c>
      <c r="M1070" t="s">
        <v>6080</v>
      </c>
      <c r="N1070" t="s">
        <v>6081</v>
      </c>
      <c r="O1070" t="s">
        <v>6082</v>
      </c>
      <c r="P1070" t="s">
        <v>6083</v>
      </c>
      <c r="Q1070" t="s">
        <v>30</v>
      </c>
      <c r="R1070" t="s">
        <v>31</v>
      </c>
      <c r="S1070" t="s">
        <v>32</v>
      </c>
    </row>
    <row r="1071" spans="1:19" x14ac:dyDescent="0.45">
      <c r="A1071" t="str">
        <f t="shared" si="61"/>
        <v>17801</v>
      </c>
      <c r="B1071" t="s">
        <v>19</v>
      </c>
      <c r="C1071" t="str">
        <f t="shared" si="62"/>
        <v>17415</v>
      </c>
      <c r="D1071" t="s">
        <v>2884</v>
      </c>
      <c r="E1071" t="str">
        <f>"3550"</f>
        <v>3550</v>
      </c>
      <c r="F1071" t="s">
        <v>6084</v>
      </c>
      <c r="G1071" t="s">
        <v>22</v>
      </c>
      <c r="H1071">
        <v>6</v>
      </c>
      <c r="I1071" t="s">
        <v>6085</v>
      </c>
      <c r="K1071" t="s">
        <v>2887</v>
      </c>
      <c r="L1071" t="s">
        <v>25</v>
      </c>
      <c r="M1071" t="s">
        <v>6086</v>
      </c>
      <c r="N1071" t="s">
        <v>6087</v>
      </c>
      <c r="O1071" t="s">
        <v>6088</v>
      </c>
      <c r="P1071" t="s">
        <v>6089</v>
      </c>
      <c r="Q1071" t="s">
        <v>30</v>
      </c>
      <c r="R1071" t="s">
        <v>31</v>
      </c>
      <c r="S1071" t="s">
        <v>32</v>
      </c>
    </row>
    <row r="1072" spans="1:19" x14ac:dyDescent="0.45">
      <c r="A1072" t="str">
        <f t="shared" si="61"/>
        <v>17801</v>
      </c>
      <c r="B1072" t="s">
        <v>19</v>
      </c>
      <c r="C1072" t="str">
        <f t="shared" si="62"/>
        <v>17415</v>
      </c>
      <c r="D1072" t="s">
        <v>2884</v>
      </c>
      <c r="E1072" t="str">
        <f>"3593"</f>
        <v>3593</v>
      </c>
      <c r="F1072" t="s">
        <v>6090</v>
      </c>
      <c r="G1072" t="s">
        <v>22</v>
      </c>
      <c r="H1072">
        <v>6</v>
      </c>
      <c r="I1072" t="s">
        <v>6091</v>
      </c>
      <c r="K1072" t="s">
        <v>2887</v>
      </c>
      <c r="L1072" t="s">
        <v>25</v>
      </c>
      <c r="M1072" t="s">
        <v>6092</v>
      </c>
      <c r="N1072" t="s">
        <v>6093</v>
      </c>
      <c r="O1072" t="s">
        <v>6094</v>
      </c>
      <c r="P1072" t="s">
        <v>6095</v>
      </c>
      <c r="Q1072" t="s">
        <v>30</v>
      </c>
      <c r="R1072" t="s">
        <v>31</v>
      </c>
      <c r="S1072" t="s">
        <v>32</v>
      </c>
    </row>
    <row r="1073" spans="1:19" x14ac:dyDescent="0.45">
      <c r="A1073" t="str">
        <f t="shared" si="61"/>
        <v>17801</v>
      </c>
      <c r="B1073" t="s">
        <v>19</v>
      </c>
      <c r="C1073" t="str">
        <f t="shared" si="62"/>
        <v>17415</v>
      </c>
      <c r="D1073" t="s">
        <v>2884</v>
      </c>
      <c r="E1073" t="str">
        <f>"3640"</f>
        <v>3640</v>
      </c>
      <c r="F1073" t="s">
        <v>6096</v>
      </c>
      <c r="G1073">
        <v>9</v>
      </c>
      <c r="H1073">
        <v>12</v>
      </c>
      <c r="I1073" t="s">
        <v>6097</v>
      </c>
      <c r="K1073" t="s">
        <v>2887</v>
      </c>
      <c r="L1073" t="s">
        <v>25</v>
      </c>
      <c r="M1073" t="s">
        <v>6098</v>
      </c>
      <c r="N1073" t="s">
        <v>6099</v>
      </c>
      <c r="O1073" t="s">
        <v>6100</v>
      </c>
      <c r="P1073" t="s">
        <v>6101</v>
      </c>
      <c r="Q1073" t="s">
        <v>30</v>
      </c>
      <c r="R1073" t="s">
        <v>31</v>
      </c>
      <c r="S1073" t="s">
        <v>58</v>
      </c>
    </row>
    <row r="1074" spans="1:19" x14ac:dyDescent="0.45">
      <c r="A1074" t="str">
        <f t="shared" si="61"/>
        <v>17801</v>
      </c>
      <c r="B1074" t="s">
        <v>19</v>
      </c>
      <c r="C1074" t="str">
        <f t="shared" si="62"/>
        <v>17415</v>
      </c>
      <c r="D1074" t="s">
        <v>2884</v>
      </c>
      <c r="E1074" t="str">
        <f>"3676"</f>
        <v>3676</v>
      </c>
      <c r="F1074" t="s">
        <v>6102</v>
      </c>
      <c r="G1074" t="s">
        <v>22</v>
      </c>
      <c r="H1074">
        <v>6</v>
      </c>
      <c r="I1074" t="s">
        <v>6103</v>
      </c>
      <c r="K1074" t="s">
        <v>846</v>
      </c>
      <c r="L1074" t="s">
        <v>25</v>
      </c>
      <c r="M1074" t="s">
        <v>6104</v>
      </c>
      <c r="N1074" t="s">
        <v>6105</v>
      </c>
      <c r="O1074" t="s">
        <v>6106</v>
      </c>
      <c r="P1074" t="s">
        <v>6107</v>
      </c>
      <c r="Q1074" t="s">
        <v>30</v>
      </c>
      <c r="R1074" t="s">
        <v>31</v>
      </c>
      <c r="S1074" t="s">
        <v>32</v>
      </c>
    </row>
    <row r="1075" spans="1:19" x14ac:dyDescent="0.45">
      <c r="A1075" t="str">
        <f t="shared" si="61"/>
        <v>17801</v>
      </c>
      <c r="B1075" t="s">
        <v>19</v>
      </c>
      <c r="C1075" t="str">
        <f t="shared" si="62"/>
        <v>17415</v>
      </c>
      <c r="D1075" t="s">
        <v>2884</v>
      </c>
      <c r="E1075" t="str">
        <f>"3677"</f>
        <v>3677</v>
      </c>
      <c r="F1075" t="s">
        <v>6108</v>
      </c>
      <c r="G1075" t="s">
        <v>22</v>
      </c>
      <c r="H1075">
        <v>6</v>
      </c>
      <c r="I1075" t="s">
        <v>6109</v>
      </c>
      <c r="K1075" t="s">
        <v>2887</v>
      </c>
      <c r="L1075" t="s">
        <v>25</v>
      </c>
      <c r="M1075" t="s">
        <v>6110</v>
      </c>
      <c r="N1075" t="s">
        <v>6111</v>
      </c>
      <c r="O1075" t="s">
        <v>6112</v>
      </c>
      <c r="P1075" t="s">
        <v>6113</v>
      </c>
      <c r="Q1075" t="s">
        <v>30</v>
      </c>
      <c r="R1075" t="s">
        <v>31</v>
      </c>
      <c r="S1075" t="s">
        <v>32</v>
      </c>
    </row>
    <row r="1076" spans="1:19" x14ac:dyDescent="0.45">
      <c r="A1076" t="str">
        <f t="shared" si="61"/>
        <v>17801</v>
      </c>
      <c r="B1076" t="s">
        <v>19</v>
      </c>
      <c r="C1076" t="str">
        <f t="shared" si="62"/>
        <v>17415</v>
      </c>
      <c r="D1076" t="s">
        <v>2884</v>
      </c>
      <c r="E1076" t="str">
        <f>"3678"</f>
        <v>3678</v>
      </c>
      <c r="F1076" t="s">
        <v>6114</v>
      </c>
      <c r="G1076" t="s">
        <v>22</v>
      </c>
      <c r="H1076">
        <v>6</v>
      </c>
      <c r="I1076" t="s">
        <v>6115</v>
      </c>
      <c r="K1076" t="s">
        <v>347</v>
      </c>
      <c r="L1076" t="s">
        <v>25</v>
      </c>
      <c r="M1076" t="s">
        <v>6116</v>
      </c>
      <c r="N1076" t="s">
        <v>6117</v>
      </c>
      <c r="O1076" t="s">
        <v>6118</v>
      </c>
      <c r="P1076" t="s">
        <v>6119</v>
      </c>
      <c r="Q1076" t="s">
        <v>30</v>
      </c>
      <c r="R1076" t="s">
        <v>31</v>
      </c>
      <c r="S1076" t="s">
        <v>32</v>
      </c>
    </row>
    <row r="1077" spans="1:19" x14ac:dyDescent="0.45">
      <c r="A1077" t="str">
        <f t="shared" si="61"/>
        <v>17801</v>
      </c>
      <c r="B1077" t="s">
        <v>19</v>
      </c>
      <c r="C1077" t="str">
        <f t="shared" si="62"/>
        <v>17415</v>
      </c>
      <c r="D1077" t="s">
        <v>2884</v>
      </c>
      <c r="E1077" t="str">
        <f>"3707"</f>
        <v>3707</v>
      </c>
      <c r="F1077" t="s">
        <v>6120</v>
      </c>
      <c r="G1077" t="s">
        <v>22</v>
      </c>
      <c r="H1077">
        <v>6</v>
      </c>
      <c r="I1077" t="s">
        <v>6121</v>
      </c>
      <c r="K1077" t="s">
        <v>2887</v>
      </c>
      <c r="L1077" t="s">
        <v>25</v>
      </c>
      <c r="M1077" t="s">
        <v>6122</v>
      </c>
      <c r="N1077" t="s">
        <v>6123</v>
      </c>
      <c r="O1077" t="s">
        <v>6124</v>
      </c>
      <c r="P1077" t="s">
        <v>6125</v>
      </c>
      <c r="Q1077" t="s">
        <v>30</v>
      </c>
      <c r="R1077" t="s">
        <v>31</v>
      </c>
      <c r="S1077" t="s">
        <v>32</v>
      </c>
    </row>
    <row r="1078" spans="1:19" x14ac:dyDescent="0.45">
      <c r="A1078" t="str">
        <f t="shared" si="61"/>
        <v>17801</v>
      </c>
      <c r="B1078" t="s">
        <v>19</v>
      </c>
      <c r="C1078" t="str">
        <f t="shared" si="62"/>
        <v>17415</v>
      </c>
      <c r="D1078" t="s">
        <v>2884</v>
      </c>
      <c r="E1078" t="str">
        <f>"3708"</f>
        <v>3708</v>
      </c>
      <c r="F1078" t="s">
        <v>6126</v>
      </c>
      <c r="G1078" t="s">
        <v>70</v>
      </c>
      <c r="H1078">
        <v>6</v>
      </c>
      <c r="I1078" t="s">
        <v>6127</v>
      </c>
      <c r="K1078" t="s">
        <v>2887</v>
      </c>
      <c r="L1078" t="s">
        <v>25</v>
      </c>
      <c r="M1078" t="s">
        <v>6128</v>
      </c>
      <c r="N1078" t="s">
        <v>6129</v>
      </c>
      <c r="O1078" t="s">
        <v>6130</v>
      </c>
      <c r="P1078" t="s">
        <v>6131</v>
      </c>
      <c r="Q1078" t="s">
        <v>30</v>
      </c>
      <c r="R1078" t="s">
        <v>31</v>
      </c>
      <c r="S1078" t="s">
        <v>32</v>
      </c>
    </row>
    <row r="1079" spans="1:19" x14ac:dyDescent="0.45">
      <c r="A1079" t="str">
        <f t="shared" si="61"/>
        <v>17801</v>
      </c>
      <c r="B1079" t="s">
        <v>19</v>
      </c>
      <c r="C1079" t="str">
        <f t="shared" si="62"/>
        <v>17415</v>
      </c>
      <c r="D1079" t="s">
        <v>2884</v>
      </c>
      <c r="E1079" t="str">
        <f>"3764"</f>
        <v>3764</v>
      </c>
      <c r="F1079" t="s">
        <v>6132</v>
      </c>
      <c r="G1079">
        <v>7</v>
      </c>
      <c r="H1079">
        <v>8</v>
      </c>
      <c r="I1079" t="s">
        <v>6133</v>
      </c>
      <c r="K1079" t="s">
        <v>347</v>
      </c>
      <c r="L1079" t="s">
        <v>25</v>
      </c>
      <c r="M1079" t="s">
        <v>6134</v>
      </c>
      <c r="N1079" t="s">
        <v>6135</v>
      </c>
      <c r="O1079" t="s">
        <v>6136</v>
      </c>
      <c r="P1079" t="s">
        <v>6137</v>
      </c>
      <c r="Q1079" t="s">
        <v>30</v>
      </c>
      <c r="R1079" t="s">
        <v>31</v>
      </c>
      <c r="S1079" t="s">
        <v>104</v>
      </c>
    </row>
    <row r="1080" spans="1:19" x14ac:dyDescent="0.45">
      <c r="A1080" t="str">
        <f t="shared" si="61"/>
        <v>17801</v>
      </c>
      <c r="B1080" t="s">
        <v>19</v>
      </c>
      <c r="C1080" t="str">
        <f t="shared" si="62"/>
        <v>17415</v>
      </c>
      <c r="D1080" t="s">
        <v>2884</v>
      </c>
      <c r="E1080" t="str">
        <f>"4126"</f>
        <v>4126</v>
      </c>
      <c r="F1080" t="s">
        <v>6138</v>
      </c>
      <c r="G1080" t="s">
        <v>22</v>
      </c>
      <c r="H1080">
        <v>6</v>
      </c>
      <c r="I1080" t="s">
        <v>6139</v>
      </c>
      <c r="K1080" t="s">
        <v>846</v>
      </c>
      <c r="L1080" t="s">
        <v>25</v>
      </c>
      <c r="M1080" t="s">
        <v>6140</v>
      </c>
      <c r="N1080" t="s">
        <v>6141</v>
      </c>
      <c r="O1080" t="s">
        <v>6142</v>
      </c>
      <c r="P1080" t="s">
        <v>6143</v>
      </c>
      <c r="Q1080" t="s">
        <v>30</v>
      </c>
      <c r="R1080" t="s">
        <v>31</v>
      </c>
      <c r="S1080" t="s">
        <v>32</v>
      </c>
    </row>
    <row r="1081" spans="1:19" x14ac:dyDescent="0.45">
      <c r="A1081" t="str">
        <f t="shared" si="61"/>
        <v>17801</v>
      </c>
      <c r="B1081" t="s">
        <v>19</v>
      </c>
      <c r="C1081" t="str">
        <f t="shared" si="62"/>
        <v>17415</v>
      </c>
      <c r="D1081" t="s">
        <v>2884</v>
      </c>
      <c r="E1081" t="str">
        <f>"4127"</f>
        <v>4127</v>
      </c>
      <c r="F1081" t="s">
        <v>6144</v>
      </c>
      <c r="G1081">
        <v>7</v>
      </c>
      <c r="H1081">
        <v>8</v>
      </c>
      <c r="I1081" t="s">
        <v>6145</v>
      </c>
      <c r="K1081" t="s">
        <v>846</v>
      </c>
      <c r="L1081" t="s">
        <v>25</v>
      </c>
      <c r="M1081" t="s">
        <v>6146</v>
      </c>
      <c r="N1081" t="s">
        <v>6147</v>
      </c>
      <c r="O1081" t="s">
        <v>6148</v>
      </c>
      <c r="P1081" t="s">
        <v>6149</v>
      </c>
      <c r="Q1081" t="s">
        <v>30</v>
      </c>
      <c r="R1081" t="s">
        <v>31</v>
      </c>
      <c r="S1081" t="s">
        <v>104</v>
      </c>
    </row>
    <row r="1082" spans="1:19" x14ac:dyDescent="0.45">
      <c r="A1082" t="str">
        <f t="shared" ref="A1082:A1132" si="63">"17801"</f>
        <v>17801</v>
      </c>
      <c r="B1082" t="s">
        <v>19</v>
      </c>
      <c r="C1082" t="str">
        <f t="shared" si="62"/>
        <v>17415</v>
      </c>
      <c r="D1082" t="s">
        <v>2884</v>
      </c>
      <c r="E1082" t="str">
        <f>"4128"</f>
        <v>4128</v>
      </c>
      <c r="F1082" t="s">
        <v>6150</v>
      </c>
      <c r="G1082">
        <v>9</v>
      </c>
      <c r="H1082">
        <v>12</v>
      </c>
      <c r="I1082" t="s">
        <v>6151</v>
      </c>
      <c r="K1082" t="s">
        <v>846</v>
      </c>
      <c r="L1082" t="s">
        <v>25</v>
      </c>
      <c r="M1082" t="s">
        <v>6152</v>
      </c>
      <c r="N1082" t="s">
        <v>6153</v>
      </c>
      <c r="O1082" t="s">
        <v>6154</v>
      </c>
      <c r="P1082" t="s">
        <v>6155</v>
      </c>
      <c r="Q1082" t="s">
        <v>30</v>
      </c>
      <c r="R1082" t="s">
        <v>31</v>
      </c>
      <c r="S1082" t="s">
        <v>58</v>
      </c>
    </row>
    <row r="1083" spans="1:19" x14ac:dyDescent="0.45">
      <c r="A1083" t="str">
        <f t="shared" si="63"/>
        <v>17801</v>
      </c>
      <c r="B1083" t="s">
        <v>19</v>
      </c>
      <c r="C1083" t="str">
        <f t="shared" si="62"/>
        <v>17415</v>
      </c>
      <c r="D1083" t="s">
        <v>2884</v>
      </c>
      <c r="E1083" t="str">
        <f>"4293"</f>
        <v>4293</v>
      </c>
      <c r="F1083" t="s">
        <v>6156</v>
      </c>
      <c r="G1083" t="s">
        <v>22</v>
      </c>
      <c r="H1083">
        <v>6</v>
      </c>
      <c r="I1083" t="s">
        <v>6157</v>
      </c>
      <c r="K1083" t="s">
        <v>347</v>
      </c>
      <c r="L1083" t="s">
        <v>25</v>
      </c>
      <c r="M1083" t="s">
        <v>6158</v>
      </c>
      <c r="N1083" t="s">
        <v>6159</v>
      </c>
      <c r="O1083" t="s">
        <v>6160</v>
      </c>
      <c r="P1083" t="s">
        <v>6161</v>
      </c>
      <c r="Q1083" t="s">
        <v>30</v>
      </c>
      <c r="R1083" t="s">
        <v>31</v>
      </c>
      <c r="S1083" t="s">
        <v>32</v>
      </c>
    </row>
    <row r="1084" spans="1:19" x14ac:dyDescent="0.45">
      <c r="A1084" t="str">
        <f t="shared" si="63"/>
        <v>17801</v>
      </c>
      <c r="B1084" t="s">
        <v>19</v>
      </c>
      <c r="C1084" t="str">
        <f t="shared" si="62"/>
        <v>17415</v>
      </c>
      <c r="D1084" t="s">
        <v>2884</v>
      </c>
      <c r="E1084" t="str">
        <f>"4294"</f>
        <v>4294</v>
      </c>
      <c r="F1084" t="s">
        <v>6162</v>
      </c>
      <c r="G1084" t="s">
        <v>22</v>
      </c>
      <c r="H1084">
        <v>6</v>
      </c>
      <c r="I1084" t="s">
        <v>6163</v>
      </c>
      <c r="K1084" t="s">
        <v>2887</v>
      </c>
      <c r="L1084" t="s">
        <v>25</v>
      </c>
      <c r="M1084" t="s">
        <v>6164</v>
      </c>
      <c r="N1084" t="s">
        <v>6165</v>
      </c>
      <c r="O1084" t="s">
        <v>6166</v>
      </c>
      <c r="P1084" t="s">
        <v>6167</v>
      </c>
      <c r="Q1084" t="s">
        <v>30</v>
      </c>
      <c r="R1084" t="s">
        <v>31</v>
      </c>
      <c r="S1084" t="s">
        <v>32</v>
      </c>
    </row>
    <row r="1085" spans="1:19" x14ac:dyDescent="0.45">
      <c r="A1085" t="str">
        <f t="shared" si="63"/>
        <v>17801</v>
      </c>
      <c r="B1085" t="s">
        <v>19</v>
      </c>
      <c r="C1085" t="str">
        <f t="shared" si="62"/>
        <v>17415</v>
      </c>
      <c r="D1085" t="s">
        <v>2884</v>
      </c>
      <c r="E1085" t="str">
        <f>"4301"</f>
        <v>4301</v>
      </c>
      <c r="F1085" t="s">
        <v>6168</v>
      </c>
      <c r="G1085" t="s">
        <v>22</v>
      </c>
      <c r="H1085">
        <v>6</v>
      </c>
      <c r="I1085" t="s">
        <v>6169</v>
      </c>
      <c r="K1085" t="s">
        <v>846</v>
      </c>
      <c r="L1085" t="s">
        <v>25</v>
      </c>
      <c r="M1085" t="s">
        <v>6170</v>
      </c>
      <c r="N1085" t="s">
        <v>6171</v>
      </c>
      <c r="O1085" t="s">
        <v>6172</v>
      </c>
      <c r="P1085" t="s">
        <v>6173</v>
      </c>
      <c r="Q1085" t="s">
        <v>30</v>
      </c>
      <c r="R1085" t="s">
        <v>31</v>
      </c>
      <c r="S1085" t="s">
        <v>32</v>
      </c>
    </row>
    <row r="1086" spans="1:19" x14ac:dyDescent="0.45">
      <c r="A1086" t="str">
        <f t="shared" si="63"/>
        <v>17801</v>
      </c>
      <c r="B1086" t="s">
        <v>19</v>
      </c>
      <c r="C1086" t="str">
        <f t="shared" si="62"/>
        <v>17415</v>
      </c>
      <c r="D1086" t="s">
        <v>2884</v>
      </c>
      <c r="E1086" t="str">
        <f>"4345"</f>
        <v>4345</v>
      </c>
      <c r="F1086" t="s">
        <v>6174</v>
      </c>
      <c r="G1086" t="s">
        <v>22</v>
      </c>
      <c r="H1086">
        <v>6</v>
      </c>
      <c r="I1086" t="s">
        <v>6175</v>
      </c>
      <c r="K1086" t="s">
        <v>2887</v>
      </c>
      <c r="L1086" t="s">
        <v>25</v>
      </c>
      <c r="M1086" t="s">
        <v>6176</v>
      </c>
      <c r="N1086" t="s">
        <v>6177</v>
      </c>
      <c r="O1086" t="s">
        <v>6178</v>
      </c>
      <c r="P1086" t="s">
        <v>6179</v>
      </c>
      <c r="Q1086" t="s">
        <v>30</v>
      </c>
      <c r="R1086" t="s">
        <v>31</v>
      </c>
      <c r="S1086" t="s">
        <v>32</v>
      </c>
    </row>
    <row r="1087" spans="1:19" x14ac:dyDescent="0.45">
      <c r="A1087" t="str">
        <f t="shared" si="63"/>
        <v>17801</v>
      </c>
      <c r="B1087" t="s">
        <v>19</v>
      </c>
      <c r="C1087" t="str">
        <f t="shared" si="62"/>
        <v>17415</v>
      </c>
      <c r="D1087" t="s">
        <v>2884</v>
      </c>
      <c r="E1087" t="str">
        <f>"4353"</f>
        <v>4353</v>
      </c>
      <c r="F1087" t="s">
        <v>6180</v>
      </c>
      <c r="G1087" t="s">
        <v>22</v>
      </c>
      <c r="H1087">
        <v>6</v>
      </c>
      <c r="I1087" t="s">
        <v>6181</v>
      </c>
      <c r="K1087" t="s">
        <v>347</v>
      </c>
      <c r="L1087" t="s">
        <v>25</v>
      </c>
      <c r="M1087" t="s">
        <v>6182</v>
      </c>
      <c r="N1087" t="s">
        <v>6183</v>
      </c>
      <c r="O1087" t="s">
        <v>6184</v>
      </c>
      <c r="P1087" t="s">
        <v>6185</v>
      </c>
      <c r="Q1087" t="s">
        <v>30</v>
      </c>
      <c r="R1087" t="s">
        <v>31</v>
      </c>
      <c r="S1087" t="s">
        <v>32</v>
      </c>
    </row>
    <row r="1088" spans="1:19" x14ac:dyDescent="0.45">
      <c r="A1088" t="str">
        <f t="shared" si="63"/>
        <v>17801</v>
      </c>
      <c r="B1088" t="s">
        <v>19</v>
      </c>
      <c r="C1088" t="str">
        <f t="shared" si="62"/>
        <v>17415</v>
      </c>
      <c r="D1088" t="s">
        <v>2884</v>
      </c>
      <c r="E1088" t="str">
        <f>"4356"</f>
        <v>4356</v>
      </c>
      <c r="F1088" t="s">
        <v>6186</v>
      </c>
      <c r="G1088" t="s">
        <v>70</v>
      </c>
      <c r="H1088">
        <v>6</v>
      </c>
      <c r="I1088" t="s">
        <v>6187</v>
      </c>
      <c r="K1088" t="s">
        <v>2887</v>
      </c>
      <c r="L1088" t="s">
        <v>25</v>
      </c>
      <c r="M1088" t="s">
        <v>6188</v>
      </c>
      <c r="N1088" t="s">
        <v>6189</v>
      </c>
      <c r="O1088" t="s">
        <v>6190</v>
      </c>
      <c r="P1088" t="s">
        <v>6191</v>
      </c>
      <c r="Q1088" t="s">
        <v>30</v>
      </c>
      <c r="R1088" t="s">
        <v>31</v>
      </c>
      <c r="S1088" t="s">
        <v>32</v>
      </c>
    </row>
    <row r="1089" spans="1:19" x14ac:dyDescent="0.45">
      <c r="A1089" t="str">
        <f t="shared" si="63"/>
        <v>17801</v>
      </c>
      <c r="B1089" t="s">
        <v>19</v>
      </c>
      <c r="C1089" t="str">
        <f t="shared" si="62"/>
        <v>17415</v>
      </c>
      <c r="D1089" t="s">
        <v>2884</v>
      </c>
      <c r="E1089" t="str">
        <f>"4413"</f>
        <v>4413</v>
      </c>
      <c r="F1089" t="s">
        <v>6192</v>
      </c>
      <c r="G1089" t="s">
        <v>22</v>
      </c>
      <c r="H1089">
        <v>6</v>
      </c>
      <c r="I1089" t="s">
        <v>6193</v>
      </c>
      <c r="K1089" t="s">
        <v>2887</v>
      </c>
      <c r="L1089" t="s">
        <v>25</v>
      </c>
      <c r="M1089" t="s">
        <v>6194</v>
      </c>
      <c r="N1089" t="s">
        <v>6195</v>
      </c>
      <c r="O1089" t="s">
        <v>6196</v>
      </c>
      <c r="P1089" t="s">
        <v>6197</v>
      </c>
      <c r="Q1089" t="s">
        <v>30</v>
      </c>
      <c r="R1089" t="s">
        <v>31</v>
      </c>
      <c r="S1089" t="s">
        <v>32</v>
      </c>
    </row>
    <row r="1090" spans="1:19" x14ac:dyDescent="0.45">
      <c r="A1090" t="str">
        <f t="shared" si="63"/>
        <v>17801</v>
      </c>
      <c r="B1090" t="s">
        <v>19</v>
      </c>
      <c r="C1090" t="str">
        <f t="shared" si="62"/>
        <v>17415</v>
      </c>
      <c r="D1090" t="s">
        <v>2884</v>
      </c>
      <c r="E1090" t="str">
        <f>"4420"</f>
        <v>4420</v>
      </c>
      <c r="F1090" t="s">
        <v>6198</v>
      </c>
      <c r="G1090" t="s">
        <v>22</v>
      </c>
      <c r="H1090">
        <v>6</v>
      </c>
      <c r="I1090" t="s">
        <v>6199</v>
      </c>
      <c r="K1090" t="s">
        <v>2887</v>
      </c>
      <c r="L1090" t="s">
        <v>25</v>
      </c>
      <c r="M1090" t="s">
        <v>6200</v>
      </c>
      <c r="N1090" t="s">
        <v>6201</v>
      </c>
      <c r="O1090" t="s">
        <v>6202</v>
      </c>
      <c r="P1090" t="s">
        <v>6203</v>
      </c>
      <c r="Q1090" t="s">
        <v>30</v>
      </c>
      <c r="R1090" t="s">
        <v>31</v>
      </c>
      <c r="S1090" t="s">
        <v>32</v>
      </c>
    </row>
    <row r="1091" spans="1:19" x14ac:dyDescent="0.45">
      <c r="A1091" t="str">
        <f t="shared" si="63"/>
        <v>17801</v>
      </c>
      <c r="B1091" t="s">
        <v>19</v>
      </c>
      <c r="C1091" t="str">
        <f t="shared" si="62"/>
        <v>17415</v>
      </c>
      <c r="D1091" t="s">
        <v>2884</v>
      </c>
      <c r="E1091" t="str">
        <f>"4440"</f>
        <v>4440</v>
      </c>
      <c r="F1091" t="s">
        <v>6204</v>
      </c>
      <c r="G1091">
        <v>7</v>
      </c>
      <c r="H1091">
        <v>8</v>
      </c>
      <c r="I1091" t="s">
        <v>6205</v>
      </c>
      <c r="K1091" t="s">
        <v>846</v>
      </c>
      <c r="L1091" t="s">
        <v>25</v>
      </c>
      <c r="M1091" t="s">
        <v>6206</v>
      </c>
      <c r="N1091" t="s">
        <v>6207</v>
      </c>
      <c r="O1091" t="s">
        <v>6208</v>
      </c>
      <c r="P1091" t="s">
        <v>6209</v>
      </c>
      <c r="Q1091" t="s">
        <v>30</v>
      </c>
      <c r="R1091" t="s">
        <v>31</v>
      </c>
      <c r="S1091" t="s">
        <v>104</v>
      </c>
    </row>
    <row r="1092" spans="1:19" x14ac:dyDescent="0.45">
      <c r="A1092" t="str">
        <f t="shared" si="63"/>
        <v>17801</v>
      </c>
      <c r="B1092" t="s">
        <v>19</v>
      </c>
      <c r="C1092" t="str">
        <f t="shared" si="62"/>
        <v>17415</v>
      </c>
      <c r="D1092" t="s">
        <v>2884</v>
      </c>
      <c r="E1092" t="str">
        <f>"4465"</f>
        <v>4465</v>
      </c>
      <c r="F1092" t="s">
        <v>6210</v>
      </c>
      <c r="G1092" t="s">
        <v>22</v>
      </c>
      <c r="H1092">
        <v>6</v>
      </c>
      <c r="I1092" t="s">
        <v>6211</v>
      </c>
      <c r="K1092" t="s">
        <v>2887</v>
      </c>
      <c r="L1092" t="s">
        <v>25</v>
      </c>
      <c r="M1092" t="s">
        <v>6212</v>
      </c>
      <c r="N1092" t="s">
        <v>6213</v>
      </c>
      <c r="O1092" t="s">
        <v>6214</v>
      </c>
      <c r="P1092" t="s">
        <v>6215</v>
      </c>
      <c r="Q1092" t="s">
        <v>30</v>
      </c>
      <c r="R1092" t="s">
        <v>31</v>
      </c>
      <c r="S1092" t="s">
        <v>32</v>
      </c>
    </row>
    <row r="1093" spans="1:19" x14ac:dyDescent="0.45">
      <c r="A1093" t="str">
        <f t="shared" si="63"/>
        <v>17801</v>
      </c>
      <c r="B1093" t="s">
        <v>19</v>
      </c>
      <c r="C1093" t="str">
        <f t="shared" si="62"/>
        <v>17415</v>
      </c>
      <c r="D1093" t="s">
        <v>2884</v>
      </c>
      <c r="E1093" t="str">
        <f>"4466"</f>
        <v>4466</v>
      </c>
      <c r="F1093" t="s">
        <v>6216</v>
      </c>
      <c r="G1093" t="s">
        <v>22</v>
      </c>
      <c r="H1093">
        <v>6</v>
      </c>
      <c r="I1093" t="s">
        <v>6217</v>
      </c>
      <c r="K1093" t="s">
        <v>82</v>
      </c>
      <c r="L1093" t="s">
        <v>25</v>
      </c>
      <c r="M1093" t="s">
        <v>6218</v>
      </c>
      <c r="N1093" t="s">
        <v>6219</v>
      </c>
      <c r="O1093" t="s">
        <v>6220</v>
      </c>
      <c r="P1093" t="s">
        <v>6221</v>
      </c>
      <c r="Q1093" t="s">
        <v>30</v>
      </c>
      <c r="R1093" t="s">
        <v>31</v>
      </c>
      <c r="S1093" t="s">
        <v>32</v>
      </c>
    </row>
    <row r="1094" spans="1:19" x14ac:dyDescent="0.45">
      <c r="A1094" t="str">
        <f t="shared" si="63"/>
        <v>17801</v>
      </c>
      <c r="B1094" t="s">
        <v>19</v>
      </c>
      <c r="C1094" t="str">
        <f t="shared" si="62"/>
        <v>17415</v>
      </c>
      <c r="D1094" t="s">
        <v>2884</v>
      </c>
      <c r="E1094" t="str">
        <f>"4485"</f>
        <v>4485</v>
      </c>
      <c r="F1094" t="s">
        <v>6222</v>
      </c>
      <c r="G1094">
        <v>7</v>
      </c>
      <c r="H1094">
        <v>8</v>
      </c>
      <c r="I1094" t="s">
        <v>6223</v>
      </c>
      <c r="K1094" t="s">
        <v>347</v>
      </c>
      <c r="L1094" t="s">
        <v>25</v>
      </c>
      <c r="M1094" t="s">
        <v>6224</v>
      </c>
      <c r="N1094" t="s">
        <v>6225</v>
      </c>
      <c r="O1094" t="s">
        <v>6226</v>
      </c>
      <c r="P1094" t="s">
        <v>6227</v>
      </c>
      <c r="Q1094" t="s">
        <v>30</v>
      </c>
      <c r="R1094" t="s">
        <v>31</v>
      </c>
      <c r="S1094" t="s">
        <v>104</v>
      </c>
    </row>
    <row r="1095" spans="1:19" x14ac:dyDescent="0.45">
      <c r="A1095" t="str">
        <f t="shared" si="63"/>
        <v>17801</v>
      </c>
      <c r="B1095" t="s">
        <v>19</v>
      </c>
      <c r="C1095" t="str">
        <f t="shared" si="62"/>
        <v>17415</v>
      </c>
      <c r="D1095" t="s">
        <v>2884</v>
      </c>
      <c r="E1095" t="str">
        <f>"4489"</f>
        <v>4489</v>
      </c>
      <c r="F1095" t="s">
        <v>6228</v>
      </c>
      <c r="G1095" t="s">
        <v>22</v>
      </c>
      <c r="H1095">
        <v>6</v>
      </c>
      <c r="I1095" t="s">
        <v>6229</v>
      </c>
      <c r="K1095" t="s">
        <v>2887</v>
      </c>
      <c r="L1095" t="s">
        <v>25</v>
      </c>
      <c r="M1095" t="s">
        <v>6230</v>
      </c>
      <c r="N1095" t="s">
        <v>6231</v>
      </c>
      <c r="O1095" t="s">
        <v>6232</v>
      </c>
      <c r="P1095" t="s">
        <v>6233</v>
      </c>
      <c r="Q1095" t="s">
        <v>30</v>
      </c>
      <c r="R1095" t="s">
        <v>31</v>
      </c>
      <c r="S1095" t="s">
        <v>32</v>
      </c>
    </row>
    <row r="1096" spans="1:19" x14ac:dyDescent="0.45">
      <c r="A1096" t="str">
        <f t="shared" si="63"/>
        <v>17801</v>
      </c>
      <c r="B1096" t="s">
        <v>19</v>
      </c>
      <c r="C1096" t="str">
        <f t="shared" si="62"/>
        <v>17415</v>
      </c>
      <c r="D1096" t="s">
        <v>2884</v>
      </c>
      <c r="E1096" t="str">
        <f>"4492"</f>
        <v>4492</v>
      </c>
      <c r="F1096" t="s">
        <v>6234</v>
      </c>
      <c r="G1096">
        <v>9</v>
      </c>
      <c r="H1096">
        <v>12</v>
      </c>
      <c r="I1096" t="s">
        <v>6235</v>
      </c>
      <c r="K1096" t="s">
        <v>2887</v>
      </c>
      <c r="L1096" t="s">
        <v>25</v>
      </c>
      <c r="M1096" t="s">
        <v>6236</v>
      </c>
      <c r="N1096" t="s">
        <v>6237</v>
      </c>
      <c r="O1096" t="s">
        <v>6238</v>
      </c>
      <c r="P1096" t="s">
        <v>6239</v>
      </c>
      <c r="Q1096" t="s">
        <v>30</v>
      </c>
      <c r="R1096" t="s">
        <v>31</v>
      </c>
      <c r="S1096" t="s">
        <v>58</v>
      </c>
    </row>
    <row r="1097" spans="1:19" x14ac:dyDescent="0.45">
      <c r="A1097" t="str">
        <f t="shared" si="63"/>
        <v>17801</v>
      </c>
      <c r="B1097" t="s">
        <v>19</v>
      </c>
      <c r="C1097" t="str">
        <f t="shared" si="62"/>
        <v>17415</v>
      </c>
      <c r="D1097" t="s">
        <v>2884</v>
      </c>
      <c r="E1097" t="str">
        <f>"4520"</f>
        <v>4520</v>
      </c>
      <c r="F1097" t="s">
        <v>6240</v>
      </c>
      <c r="G1097" t="s">
        <v>22</v>
      </c>
      <c r="H1097">
        <v>6</v>
      </c>
      <c r="I1097" t="s">
        <v>6241</v>
      </c>
      <c r="K1097" t="s">
        <v>2887</v>
      </c>
      <c r="L1097" t="s">
        <v>25</v>
      </c>
      <c r="M1097" t="s">
        <v>6242</v>
      </c>
      <c r="N1097" t="s">
        <v>6243</v>
      </c>
      <c r="O1097" t="s">
        <v>6244</v>
      </c>
      <c r="P1097" t="s">
        <v>6245</v>
      </c>
      <c r="Q1097" t="s">
        <v>30</v>
      </c>
      <c r="R1097" t="s">
        <v>31</v>
      </c>
      <c r="S1097" t="s">
        <v>32</v>
      </c>
    </row>
    <row r="1098" spans="1:19" x14ac:dyDescent="0.45">
      <c r="A1098" t="str">
        <f t="shared" si="63"/>
        <v>17801</v>
      </c>
      <c r="B1098" t="s">
        <v>19</v>
      </c>
      <c r="C1098" t="str">
        <f t="shared" si="62"/>
        <v>17415</v>
      </c>
      <c r="D1098" t="s">
        <v>2884</v>
      </c>
      <c r="E1098" t="str">
        <f>"4545"</f>
        <v>4545</v>
      </c>
      <c r="F1098" t="s">
        <v>6246</v>
      </c>
      <c r="G1098" t="s">
        <v>70</v>
      </c>
      <c r="H1098">
        <v>6</v>
      </c>
      <c r="I1098" t="s">
        <v>6247</v>
      </c>
      <c r="K1098" t="s">
        <v>2887</v>
      </c>
      <c r="L1098" t="s">
        <v>25</v>
      </c>
      <c r="M1098" t="s">
        <v>6248</v>
      </c>
      <c r="N1098" t="s">
        <v>6249</v>
      </c>
      <c r="O1098" t="s">
        <v>6250</v>
      </c>
      <c r="P1098" t="s">
        <v>6251</v>
      </c>
      <c r="Q1098" t="s">
        <v>30</v>
      </c>
      <c r="R1098" t="s">
        <v>31</v>
      </c>
      <c r="S1098" t="s">
        <v>32</v>
      </c>
    </row>
    <row r="1099" spans="1:19" x14ac:dyDescent="0.45">
      <c r="A1099" t="str">
        <f t="shared" si="63"/>
        <v>17801</v>
      </c>
      <c r="B1099" t="s">
        <v>19</v>
      </c>
      <c r="C1099" t="str">
        <f t="shared" ref="C1099:C1132" si="64">"17417"</f>
        <v>17417</v>
      </c>
      <c r="D1099" t="s">
        <v>2386</v>
      </c>
      <c r="E1099" t="str">
        <f>"1814"</f>
        <v>1814</v>
      </c>
      <c r="F1099" t="s">
        <v>6252</v>
      </c>
      <c r="G1099" t="s">
        <v>70</v>
      </c>
      <c r="H1099">
        <v>12</v>
      </c>
      <c r="I1099" t="s">
        <v>2388</v>
      </c>
      <c r="K1099" t="s">
        <v>2389</v>
      </c>
      <c r="L1099" t="s">
        <v>25</v>
      </c>
      <c r="M1099" t="s">
        <v>2390</v>
      </c>
      <c r="N1099" t="s">
        <v>2391</v>
      </c>
      <c r="O1099" t="s">
        <v>2392</v>
      </c>
      <c r="P1099" t="s">
        <v>6253</v>
      </c>
      <c r="Q1099" t="s">
        <v>157</v>
      </c>
      <c r="R1099" t="s">
        <v>158</v>
      </c>
      <c r="S1099" t="s">
        <v>330</v>
      </c>
    </row>
    <row r="1100" spans="1:19" x14ac:dyDescent="0.45">
      <c r="A1100" t="str">
        <f t="shared" si="63"/>
        <v>17801</v>
      </c>
      <c r="B1100" t="s">
        <v>19</v>
      </c>
      <c r="C1100" t="str">
        <f t="shared" si="64"/>
        <v>17417</v>
      </c>
      <c r="D1100" t="s">
        <v>2386</v>
      </c>
      <c r="E1100" t="str">
        <f>"1815"</f>
        <v>1815</v>
      </c>
      <c r="F1100" t="s">
        <v>6254</v>
      </c>
      <c r="G1100" t="s">
        <v>22</v>
      </c>
      <c r="H1100">
        <v>12</v>
      </c>
      <c r="I1100" t="s">
        <v>2388</v>
      </c>
      <c r="K1100" t="s">
        <v>2389</v>
      </c>
      <c r="L1100" t="s">
        <v>25</v>
      </c>
      <c r="M1100" t="s">
        <v>2390</v>
      </c>
      <c r="N1100" t="s">
        <v>6255</v>
      </c>
      <c r="O1100" t="s">
        <v>6256</v>
      </c>
      <c r="P1100" t="s">
        <v>6257</v>
      </c>
      <c r="Q1100" t="s">
        <v>66</v>
      </c>
      <c r="R1100" t="s">
        <v>67</v>
      </c>
      <c r="S1100" t="s">
        <v>68</v>
      </c>
    </row>
    <row r="1101" spans="1:19" x14ac:dyDescent="0.45">
      <c r="A1101" t="str">
        <f t="shared" si="63"/>
        <v>17801</v>
      </c>
      <c r="B1101" t="s">
        <v>19</v>
      </c>
      <c r="C1101" t="str">
        <f t="shared" si="64"/>
        <v>17417</v>
      </c>
      <c r="D1101" t="s">
        <v>2386</v>
      </c>
      <c r="E1101" t="str">
        <f>"2493"</f>
        <v>2493</v>
      </c>
      <c r="F1101" t="s">
        <v>6258</v>
      </c>
      <c r="G1101" t="s">
        <v>22</v>
      </c>
      <c r="H1101" t="s">
        <v>70</v>
      </c>
      <c r="I1101" t="s">
        <v>6259</v>
      </c>
      <c r="K1101" t="s">
        <v>2389</v>
      </c>
      <c r="L1101" t="s">
        <v>25</v>
      </c>
      <c r="M1101" t="s">
        <v>6260</v>
      </c>
      <c r="N1101" t="s">
        <v>6261</v>
      </c>
      <c r="O1101" t="s">
        <v>6262</v>
      </c>
      <c r="P1101" t="s">
        <v>6263</v>
      </c>
      <c r="Q1101" t="s">
        <v>30</v>
      </c>
      <c r="R1101" t="s">
        <v>31</v>
      </c>
      <c r="S1101" t="s">
        <v>32</v>
      </c>
    </row>
    <row r="1102" spans="1:19" x14ac:dyDescent="0.45">
      <c r="A1102" t="str">
        <f t="shared" si="63"/>
        <v>17801</v>
      </c>
      <c r="B1102" t="s">
        <v>19</v>
      </c>
      <c r="C1102" t="str">
        <f t="shared" si="64"/>
        <v>17417</v>
      </c>
      <c r="D1102" t="s">
        <v>2386</v>
      </c>
      <c r="E1102" t="str">
        <f>"2993"</f>
        <v>2993</v>
      </c>
      <c r="F1102" t="s">
        <v>6264</v>
      </c>
      <c r="G1102" t="s">
        <v>22</v>
      </c>
      <c r="H1102">
        <v>5</v>
      </c>
      <c r="I1102" t="s">
        <v>6265</v>
      </c>
      <c r="K1102" t="s">
        <v>6266</v>
      </c>
      <c r="L1102" t="s">
        <v>25</v>
      </c>
      <c r="M1102" t="s">
        <v>6267</v>
      </c>
      <c r="N1102" t="s">
        <v>6268</v>
      </c>
      <c r="O1102" t="s">
        <v>6269</v>
      </c>
      <c r="P1102" t="s">
        <v>6270</v>
      </c>
      <c r="Q1102" t="s">
        <v>30</v>
      </c>
      <c r="R1102" t="s">
        <v>31</v>
      </c>
      <c r="S1102" t="s">
        <v>32</v>
      </c>
    </row>
    <row r="1103" spans="1:19" x14ac:dyDescent="0.45">
      <c r="A1103" t="str">
        <f t="shared" si="63"/>
        <v>17801</v>
      </c>
      <c r="B1103" t="s">
        <v>19</v>
      </c>
      <c r="C1103" t="str">
        <f t="shared" si="64"/>
        <v>17417</v>
      </c>
      <c r="D1103" t="s">
        <v>2386</v>
      </c>
      <c r="E1103" t="str">
        <f>"3105"</f>
        <v>3105</v>
      </c>
      <c r="F1103" t="s">
        <v>6271</v>
      </c>
      <c r="G1103" t="s">
        <v>22</v>
      </c>
      <c r="H1103">
        <v>5</v>
      </c>
      <c r="I1103" t="s">
        <v>6272</v>
      </c>
      <c r="K1103" t="s">
        <v>2389</v>
      </c>
      <c r="L1103" t="s">
        <v>25</v>
      </c>
      <c r="M1103" t="s">
        <v>6273</v>
      </c>
      <c r="N1103" t="s">
        <v>6274</v>
      </c>
      <c r="O1103" t="s">
        <v>6275</v>
      </c>
      <c r="P1103" t="s">
        <v>6276</v>
      </c>
      <c r="Q1103" t="s">
        <v>30</v>
      </c>
      <c r="R1103" t="s">
        <v>31</v>
      </c>
      <c r="S1103" t="s">
        <v>32</v>
      </c>
    </row>
    <row r="1104" spans="1:19" x14ac:dyDescent="0.45">
      <c r="A1104" t="str">
        <f t="shared" si="63"/>
        <v>17801</v>
      </c>
      <c r="B1104" t="s">
        <v>19</v>
      </c>
      <c r="C1104" t="str">
        <f t="shared" si="64"/>
        <v>17417</v>
      </c>
      <c r="D1104" t="s">
        <v>2386</v>
      </c>
      <c r="E1104" t="str">
        <f>"3106"</f>
        <v>3106</v>
      </c>
      <c r="F1104" t="s">
        <v>6277</v>
      </c>
      <c r="G1104">
        <v>9</v>
      </c>
      <c r="H1104">
        <v>12</v>
      </c>
      <c r="I1104" t="s">
        <v>6278</v>
      </c>
      <c r="K1104" t="s">
        <v>2389</v>
      </c>
      <c r="L1104" t="s">
        <v>25</v>
      </c>
      <c r="M1104" t="s">
        <v>6279</v>
      </c>
      <c r="N1104" t="s">
        <v>6280</v>
      </c>
      <c r="O1104" t="s">
        <v>6281</v>
      </c>
      <c r="P1104" t="s">
        <v>6282</v>
      </c>
      <c r="Q1104" t="s">
        <v>30</v>
      </c>
      <c r="R1104" t="s">
        <v>31</v>
      </c>
      <c r="S1104" t="s">
        <v>58</v>
      </c>
    </row>
    <row r="1105" spans="1:19" x14ac:dyDescent="0.45">
      <c r="A1105" t="str">
        <f t="shared" si="63"/>
        <v>17801</v>
      </c>
      <c r="B1105" t="s">
        <v>19</v>
      </c>
      <c r="C1105" t="str">
        <f t="shared" si="64"/>
        <v>17417</v>
      </c>
      <c r="D1105" t="s">
        <v>2386</v>
      </c>
      <c r="E1105" t="str">
        <f>"3107"</f>
        <v>3107</v>
      </c>
      <c r="F1105" t="s">
        <v>6283</v>
      </c>
      <c r="G1105" t="s">
        <v>22</v>
      </c>
      <c r="H1105">
        <v>5</v>
      </c>
      <c r="I1105" t="s">
        <v>6284</v>
      </c>
      <c r="K1105" t="s">
        <v>6266</v>
      </c>
      <c r="L1105" t="s">
        <v>25</v>
      </c>
      <c r="M1105" t="s">
        <v>6285</v>
      </c>
      <c r="N1105" t="s">
        <v>6286</v>
      </c>
      <c r="O1105" t="s">
        <v>6287</v>
      </c>
      <c r="P1105" t="s">
        <v>6288</v>
      </c>
      <c r="Q1105" t="s">
        <v>30</v>
      </c>
      <c r="R1105" t="s">
        <v>31</v>
      </c>
      <c r="S1105" t="s">
        <v>32</v>
      </c>
    </row>
    <row r="1106" spans="1:19" x14ac:dyDescent="0.45">
      <c r="A1106" t="str">
        <f t="shared" si="63"/>
        <v>17801</v>
      </c>
      <c r="B1106" t="s">
        <v>19</v>
      </c>
      <c r="C1106" t="str">
        <f t="shared" si="64"/>
        <v>17417</v>
      </c>
      <c r="D1106" t="s">
        <v>2386</v>
      </c>
      <c r="E1106" t="str">
        <f>"3234"</f>
        <v>3234</v>
      </c>
      <c r="F1106" t="s">
        <v>6289</v>
      </c>
      <c r="G1106" t="s">
        <v>22</v>
      </c>
      <c r="H1106">
        <v>5</v>
      </c>
      <c r="I1106" t="s">
        <v>6290</v>
      </c>
      <c r="K1106" t="s">
        <v>4600</v>
      </c>
      <c r="L1106" t="s">
        <v>25</v>
      </c>
      <c r="M1106" t="s">
        <v>6291</v>
      </c>
      <c r="N1106" t="s">
        <v>6292</v>
      </c>
      <c r="O1106" t="s">
        <v>6293</v>
      </c>
      <c r="P1106" t="s">
        <v>6294</v>
      </c>
      <c r="Q1106" t="s">
        <v>30</v>
      </c>
      <c r="R1106" t="s">
        <v>31</v>
      </c>
      <c r="S1106" t="s">
        <v>32</v>
      </c>
    </row>
    <row r="1107" spans="1:19" x14ac:dyDescent="0.45">
      <c r="A1107" t="str">
        <f t="shared" si="63"/>
        <v>17801</v>
      </c>
      <c r="B1107" t="s">
        <v>19</v>
      </c>
      <c r="C1107" t="str">
        <f t="shared" si="64"/>
        <v>17417</v>
      </c>
      <c r="D1107" t="s">
        <v>2386</v>
      </c>
      <c r="E1107" t="str">
        <f>"3287"</f>
        <v>3287</v>
      </c>
      <c r="F1107" t="s">
        <v>6295</v>
      </c>
      <c r="G1107" t="s">
        <v>22</v>
      </c>
      <c r="H1107">
        <v>5</v>
      </c>
      <c r="I1107" t="s">
        <v>6296</v>
      </c>
      <c r="K1107" t="s">
        <v>2389</v>
      </c>
      <c r="L1107" t="s">
        <v>25</v>
      </c>
      <c r="M1107" t="s">
        <v>6297</v>
      </c>
      <c r="N1107" t="s">
        <v>6298</v>
      </c>
      <c r="O1107" t="s">
        <v>6299</v>
      </c>
      <c r="P1107" t="s">
        <v>6300</v>
      </c>
      <c r="Q1107" t="s">
        <v>30</v>
      </c>
      <c r="R1107" t="s">
        <v>31</v>
      </c>
      <c r="S1107" t="s">
        <v>32</v>
      </c>
    </row>
    <row r="1108" spans="1:19" x14ac:dyDescent="0.45">
      <c r="A1108" t="str">
        <f t="shared" si="63"/>
        <v>17801</v>
      </c>
      <c r="B1108" t="s">
        <v>19</v>
      </c>
      <c r="C1108" t="str">
        <f t="shared" si="64"/>
        <v>17417</v>
      </c>
      <c r="D1108" t="s">
        <v>2386</v>
      </c>
      <c r="E1108" t="str">
        <f>"3344"</f>
        <v>3344</v>
      </c>
      <c r="F1108" t="s">
        <v>6301</v>
      </c>
      <c r="G1108" t="s">
        <v>22</v>
      </c>
      <c r="H1108">
        <v>5</v>
      </c>
      <c r="I1108" t="s">
        <v>6302</v>
      </c>
      <c r="K1108" t="s">
        <v>2389</v>
      </c>
      <c r="L1108" t="s">
        <v>25</v>
      </c>
      <c r="M1108" t="s">
        <v>6303</v>
      </c>
      <c r="N1108" t="s">
        <v>6304</v>
      </c>
      <c r="O1108" t="s">
        <v>6305</v>
      </c>
      <c r="P1108" t="s">
        <v>6306</v>
      </c>
      <c r="Q1108" t="s">
        <v>30</v>
      </c>
      <c r="R1108" t="s">
        <v>31</v>
      </c>
      <c r="S1108" t="s">
        <v>32</v>
      </c>
    </row>
    <row r="1109" spans="1:19" x14ac:dyDescent="0.45">
      <c r="A1109" t="str">
        <f t="shared" si="63"/>
        <v>17801</v>
      </c>
      <c r="B1109" t="s">
        <v>19</v>
      </c>
      <c r="C1109" t="str">
        <f t="shared" si="64"/>
        <v>17417</v>
      </c>
      <c r="D1109" t="s">
        <v>2386</v>
      </c>
      <c r="E1109" t="str">
        <f>"3345"</f>
        <v>3345</v>
      </c>
      <c r="F1109" t="s">
        <v>6307</v>
      </c>
      <c r="G1109">
        <v>6</v>
      </c>
      <c r="H1109">
        <v>8</v>
      </c>
      <c r="I1109" t="s">
        <v>6308</v>
      </c>
      <c r="K1109" t="s">
        <v>6266</v>
      </c>
      <c r="L1109" t="s">
        <v>25</v>
      </c>
      <c r="M1109" t="s">
        <v>6309</v>
      </c>
      <c r="N1109" t="s">
        <v>6310</v>
      </c>
      <c r="O1109" t="s">
        <v>6311</v>
      </c>
      <c r="P1109" t="s">
        <v>6312</v>
      </c>
      <c r="Q1109" t="s">
        <v>30</v>
      </c>
      <c r="R1109" t="s">
        <v>31</v>
      </c>
      <c r="S1109" t="s">
        <v>104</v>
      </c>
    </row>
    <row r="1110" spans="1:19" x14ac:dyDescent="0.45">
      <c r="A1110" t="str">
        <f t="shared" si="63"/>
        <v>17801</v>
      </c>
      <c r="B1110" t="s">
        <v>19</v>
      </c>
      <c r="C1110" t="str">
        <f t="shared" si="64"/>
        <v>17417</v>
      </c>
      <c r="D1110" t="s">
        <v>2386</v>
      </c>
      <c r="E1110" t="str">
        <f>"3390"</f>
        <v>3390</v>
      </c>
      <c r="F1110" t="s">
        <v>6313</v>
      </c>
      <c r="G1110" t="s">
        <v>22</v>
      </c>
      <c r="H1110">
        <v>5</v>
      </c>
      <c r="I1110" t="s">
        <v>6314</v>
      </c>
      <c r="K1110" t="s">
        <v>2389</v>
      </c>
      <c r="L1110" t="s">
        <v>25</v>
      </c>
      <c r="M1110" t="s">
        <v>6315</v>
      </c>
      <c r="N1110" t="s">
        <v>6316</v>
      </c>
      <c r="O1110" t="s">
        <v>6317</v>
      </c>
      <c r="P1110" t="s">
        <v>6318</v>
      </c>
      <c r="Q1110" t="s">
        <v>30</v>
      </c>
      <c r="R1110" t="s">
        <v>31</v>
      </c>
      <c r="S1110" t="s">
        <v>32</v>
      </c>
    </row>
    <row r="1111" spans="1:19" x14ac:dyDescent="0.45">
      <c r="A1111" t="str">
        <f t="shared" si="63"/>
        <v>17801</v>
      </c>
      <c r="B1111" t="s">
        <v>19</v>
      </c>
      <c r="C1111" t="str">
        <f t="shared" si="64"/>
        <v>17417</v>
      </c>
      <c r="D1111" t="s">
        <v>2386</v>
      </c>
      <c r="E1111" t="str">
        <f>"3396"</f>
        <v>3396</v>
      </c>
      <c r="F1111" t="s">
        <v>6319</v>
      </c>
      <c r="G1111">
        <v>10</v>
      </c>
      <c r="H1111">
        <v>12</v>
      </c>
      <c r="I1111" t="s">
        <v>6320</v>
      </c>
      <c r="J1111" t="s">
        <v>2388</v>
      </c>
      <c r="K1111" t="s">
        <v>2389</v>
      </c>
      <c r="L1111" t="s">
        <v>25</v>
      </c>
      <c r="M1111" t="s">
        <v>2390</v>
      </c>
      <c r="N1111" t="s">
        <v>6321</v>
      </c>
      <c r="O1111" t="s">
        <v>6322</v>
      </c>
      <c r="P1111" t="s">
        <v>6323</v>
      </c>
      <c r="Q1111" t="s">
        <v>962</v>
      </c>
      <c r="R1111" t="s">
        <v>963</v>
      </c>
      <c r="S1111" t="s">
        <v>58</v>
      </c>
    </row>
    <row r="1112" spans="1:19" x14ac:dyDescent="0.45">
      <c r="A1112" t="str">
        <f t="shared" si="63"/>
        <v>17801</v>
      </c>
      <c r="B1112" t="s">
        <v>19</v>
      </c>
      <c r="C1112" t="str">
        <f t="shared" si="64"/>
        <v>17417</v>
      </c>
      <c r="D1112" t="s">
        <v>2386</v>
      </c>
      <c r="E1112" t="str">
        <f>"3442"</f>
        <v>3442</v>
      </c>
      <c r="F1112" t="s">
        <v>6324</v>
      </c>
      <c r="G1112" t="s">
        <v>22</v>
      </c>
      <c r="H1112">
        <v>5</v>
      </c>
      <c r="I1112" t="s">
        <v>6325</v>
      </c>
      <c r="K1112" t="s">
        <v>6266</v>
      </c>
      <c r="L1112" t="s">
        <v>25</v>
      </c>
      <c r="M1112" t="s">
        <v>6326</v>
      </c>
      <c r="N1112" t="s">
        <v>6327</v>
      </c>
      <c r="O1112" t="s">
        <v>6328</v>
      </c>
      <c r="P1112" t="s">
        <v>6329</v>
      </c>
      <c r="Q1112" t="s">
        <v>30</v>
      </c>
      <c r="R1112" t="s">
        <v>31</v>
      </c>
      <c r="S1112" t="s">
        <v>32</v>
      </c>
    </row>
    <row r="1113" spans="1:19" x14ac:dyDescent="0.45">
      <c r="A1113" t="str">
        <f t="shared" si="63"/>
        <v>17801</v>
      </c>
      <c r="B1113" t="s">
        <v>19</v>
      </c>
      <c r="C1113" t="str">
        <f t="shared" si="64"/>
        <v>17417</v>
      </c>
      <c r="D1113" t="s">
        <v>2386</v>
      </c>
      <c r="E1113" t="str">
        <f>"3492"</f>
        <v>3492</v>
      </c>
      <c r="F1113" t="s">
        <v>6330</v>
      </c>
      <c r="G1113">
        <v>9</v>
      </c>
      <c r="H1113">
        <v>12</v>
      </c>
      <c r="I1113" t="s">
        <v>6331</v>
      </c>
      <c r="K1113" t="s">
        <v>6266</v>
      </c>
      <c r="L1113" t="s">
        <v>25</v>
      </c>
      <c r="M1113" t="s">
        <v>6332</v>
      </c>
      <c r="N1113" t="s">
        <v>6333</v>
      </c>
      <c r="O1113" t="s">
        <v>6334</v>
      </c>
      <c r="P1113" t="s">
        <v>6335</v>
      </c>
      <c r="Q1113" t="s">
        <v>30</v>
      </c>
      <c r="R1113" t="s">
        <v>31</v>
      </c>
      <c r="S1113" t="s">
        <v>58</v>
      </c>
    </row>
    <row r="1114" spans="1:19" x14ac:dyDescent="0.45">
      <c r="A1114" t="str">
        <f t="shared" si="63"/>
        <v>17801</v>
      </c>
      <c r="B1114" t="s">
        <v>19</v>
      </c>
      <c r="C1114" t="str">
        <f t="shared" si="64"/>
        <v>17417</v>
      </c>
      <c r="D1114" t="s">
        <v>2386</v>
      </c>
      <c r="E1114" t="str">
        <f>"3493"</f>
        <v>3493</v>
      </c>
      <c r="F1114" t="s">
        <v>6336</v>
      </c>
      <c r="G1114">
        <v>6</v>
      </c>
      <c r="H1114">
        <v>8</v>
      </c>
      <c r="I1114" t="s">
        <v>6337</v>
      </c>
      <c r="K1114" t="s">
        <v>2389</v>
      </c>
      <c r="L1114" t="s">
        <v>25</v>
      </c>
      <c r="M1114" t="s">
        <v>6338</v>
      </c>
      <c r="N1114" t="s">
        <v>6339</v>
      </c>
      <c r="O1114" t="s">
        <v>6340</v>
      </c>
      <c r="P1114" t="s">
        <v>6341</v>
      </c>
      <c r="Q1114" t="s">
        <v>30</v>
      </c>
      <c r="R1114" t="s">
        <v>31</v>
      </c>
      <c r="S1114" t="s">
        <v>104</v>
      </c>
    </row>
    <row r="1115" spans="1:19" x14ac:dyDescent="0.45">
      <c r="A1115" t="str">
        <f t="shared" si="63"/>
        <v>17801</v>
      </c>
      <c r="B1115" t="s">
        <v>19</v>
      </c>
      <c r="C1115" t="str">
        <f t="shared" si="64"/>
        <v>17417</v>
      </c>
      <c r="D1115" t="s">
        <v>2386</v>
      </c>
      <c r="E1115" t="str">
        <f>"3679"</f>
        <v>3679</v>
      </c>
      <c r="F1115" t="s">
        <v>6342</v>
      </c>
      <c r="G1115" t="s">
        <v>22</v>
      </c>
      <c r="H1115">
        <v>5</v>
      </c>
      <c r="I1115" t="s">
        <v>6343</v>
      </c>
      <c r="K1115" t="s">
        <v>2389</v>
      </c>
      <c r="L1115" t="s">
        <v>25</v>
      </c>
      <c r="M1115" t="s">
        <v>6344</v>
      </c>
      <c r="N1115" t="s">
        <v>6345</v>
      </c>
      <c r="O1115" t="s">
        <v>6346</v>
      </c>
      <c r="P1115" t="s">
        <v>6347</v>
      </c>
      <c r="Q1115" t="s">
        <v>30</v>
      </c>
      <c r="R1115" t="s">
        <v>31</v>
      </c>
      <c r="S1115" t="s">
        <v>32</v>
      </c>
    </row>
    <row r="1116" spans="1:19" x14ac:dyDescent="0.45">
      <c r="A1116" t="str">
        <f t="shared" si="63"/>
        <v>17801</v>
      </c>
      <c r="B1116" t="s">
        <v>19</v>
      </c>
      <c r="C1116" t="str">
        <f t="shared" si="64"/>
        <v>17417</v>
      </c>
      <c r="D1116" t="s">
        <v>2386</v>
      </c>
      <c r="E1116" t="str">
        <f>"3749"</f>
        <v>3749</v>
      </c>
      <c r="F1116" t="s">
        <v>6348</v>
      </c>
      <c r="G1116" t="s">
        <v>22</v>
      </c>
      <c r="H1116">
        <v>5</v>
      </c>
      <c r="I1116" t="s">
        <v>6349</v>
      </c>
      <c r="K1116" t="s">
        <v>2389</v>
      </c>
      <c r="L1116" t="s">
        <v>25</v>
      </c>
      <c r="M1116" t="s">
        <v>6350</v>
      </c>
      <c r="N1116" t="s">
        <v>6351</v>
      </c>
      <c r="O1116" t="s">
        <v>6352</v>
      </c>
      <c r="P1116" t="s">
        <v>6353</v>
      </c>
      <c r="Q1116" t="s">
        <v>30</v>
      </c>
      <c r="R1116" t="s">
        <v>31</v>
      </c>
      <c r="S1116" t="s">
        <v>32</v>
      </c>
    </row>
    <row r="1117" spans="1:19" x14ac:dyDescent="0.45">
      <c r="A1117" t="str">
        <f t="shared" si="63"/>
        <v>17801</v>
      </c>
      <c r="B1117" t="s">
        <v>19</v>
      </c>
      <c r="C1117" t="str">
        <f t="shared" si="64"/>
        <v>17417</v>
      </c>
      <c r="D1117" t="s">
        <v>2386</v>
      </c>
      <c r="E1117" t="str">
        <f>"3790"</f>
        <v>3790</v>
      </c>
      <c r="F1117" t="s">
        <v>6354</v>
      </c>
      <c r="G1117">
        <v>6</v>
      </c>
      <c r="H1117">
        <v>8</v>
      </c>
      <c r="I1117" t="s">
        <v>6355</v>
      </c>
      <c r="K1117" t="s">
        <v>4600</v>
      </c>
      <c r="L1117" t="s">
        <v>25</v>
      </c>
      <c r="M1117" t="s">
        <v>6356</v>
      </c>
      <c r="N1117" t="s">
        <v>6357</v>
      </c>
      <c r="O1117" t="s">
        <v>6358</v>
      </c>
      <c r="P1117" t="s">
        <v>6359</v>
      </c>
      <c r="Q1117" t="s">
        <v>30</v>
      </c>
      <c r="R1117" t="s">
        <v>31</v>
      </c>
      <c r="S1117" t="s">
        <v>104</v>
      </c>
    </row>
    <row r="1118" spans="1:19" x14ac:dyDescent="0.45">
      <c r="A1118" t="str">
        <f t="shared" si="63"/>
        <v>17801</v>
      </c>
      <c r="B1118" t="s">
        <v>19</v>
      </c>
      <c r="C1118" t="str">
        <f t="shared" si="64"/>
        <v>17417</v>
      </c>
      <c r="D1118" t="s">
        <v>2386</v>
      </c>
      <c r="E1118" t="str">
        <f>"3811"</f>
        <v>3811</v>
      </c>
      <c r="F1118" t="s">
        <v>6360</v>
      </c>
      <c r="G1118">
        <v>9</v>
      </c>
      <c r="H1118">
        <v>12</v>
      </c>
      <c r="I1118" t="s">
        <v>6361</v>
      </c>
      <c r="K1118" t="s">
        <v>2389</v>
      </c>
      <c r="L1118" t="s">
        <v>25</v>
      </c>
      <c r="M1118" t="s">
        <v>6362</v>
      </c>
      <c r="N1118" t="s">
        <v>2391</v>
      </c>
      <c r="O1118" t="s">
        <v>2392</v>
      </c>
      <c r="P1118" t="s">
        <v>6253</v>
      </c>
      <c r="Q1118" t="s">
        <v>157</v>
      </c>
      <c r="R1118" t="s">
        <v>158</v>
      </c>
      <c r="S1118" t="s">
        <v>58</v>
      </c>
    </row>
    <row r="1119" spans="1:19" x14ac:dyDescent="0.45">
      <c r="A1119" t="str">
        <f t="shared" si="63"/>
        <v>17801</v>
      </c>
      <c r="B1119" t="s">
        <v>19</v>
      </c>
      <c r="C1119" t="str">
        <f t="shared" si="64"/>
        <v>17417</v>
      </c>
      <c r="D1119" t="s">
        <v>2386</v>
      </c>
      <c r="E1119" t="str">
        <f>"4017"</f>
        <v>4017</v>
      </c>
      <c r="F1119" t="s">
        <v>6363</v>
      </c>
      <c r="G1119" t="s">
        <v>22</v>
      </c>
      <c r="H1119">
        <v>5</v>
      </c>
      <c r="I1119" t="s">
        <v>6364</v>
      </c>
      <c r="K1119" t="s">
        <v>2389</v>
      </c>
      <c r="L1119" t="s">
        <v>25</v>
      </c>
      <c r="M1119" t="s">
        <v>6365</v>
      </c>
      <c r="N1119" t="s">
        <v>6366</v>
      </c>
      <c r="O1119" t="s">
        <v>6367</v>
      </c>
      <c r="P1119" t="s">
        <v>6368</v>
      </c>
      <c r="Q1119" t="s">
        <v>30</v>
      </c>
      <c r="R1119" t="s">
        <v>31</v>
      </c>
      <c r="S1119" t="s">
        <v>32</v>
      </c>
    </row>
    <row r="1120" spans="1:19" x14ac:dyDescent="0.45">
      <c r="A1120" t="str">
        <f t="shared" si="63"/>
        <v>17801</v>
      </c>
      <c r="B1120" t="s">
        <v>19</v>
      </c>
      <c r="C1120" t="str">
        <f t="shared" si="64"/>
        <v>17417</v>
      </c>
      <c r="D1120" t="s">
        <v>2386</v>
      </c>
      <c r="E1120" t="str">
        <f>"4021"</f>
        <v>4021</v>
      </c>
      <c r="F1120" t="s">
        <v>6369</v>
      </c>
      <c r="G1120">
        <v>6</v>
      </c>
      <c r="H1120">
        <v>8</v>
      </c>
      <c r="I1120" t="s">
        <v>6370</v>
      </c>
      <c r="K1120" t="s">
        <v>2389</v>
      </c>
      <c r="L1120" t="s">
        <v>25</v>
      </c>
      <c r="M1120" t="s">
        <v>6371</v>
      </c>
      <c r="N1120" t="s">
        <v>6372</v>
      </c>
      <c r="O1120" t="s">
        <v>6373</v>
      </c>
      <c r="P1120" t="s">
        <v>6374</v>
      </c>
      <c r="Q1120" t="s">
        <v>30</v>
      </c>
      <c r="R1120" t="s">
        <v>31</v>
      </c>
      <c r="S1120" t="s">
        <v>104</v>
      </c>
    </row>
    <row r="1121" spans="1:19" x14ac:dyDescent="0.45">
      <c r="A1121" t="str">
        <f t="shared" si="63"/>
        <v>17801</v>
      </c>
      <c r="B1121" t="s">
        <v>19</v>
      </c>
      <c r="C1121" t="str">
        <f t="shared" si="64"/>
        <v>17417</v>
      </c>
      <c r="D1121" t="s">
        <v>2386</v>
      </c>
      <c r="E1121" t="str">
        <f>"4069"</f>
        <v>4069</v>
      </c>
      <c r="F1121" t="s">
        <v>6375</v>
      </c>
      <c r="G1121" t="s">
        <v>70</v>
      </c>
      <c r="H1121">
        <v>5</v>
      </c>
      <c r="I1121" t="s">
        <v>6376</v>
      </c>
      <c r="K1121" t="s">
        <v>4600</v>
      </c>
      <c r="L1121" t="s">
        <v>25</v>
      </c>
      <c r="M1121" t="s">
        <v>6377</v>
      </c>
      <c r="N1121" t="s">
        <v>6378</v>
      </c>
      <c r="O1121" t="s">
        <v>6379</v>
      </c>
      <c r="P1121" t="s">
        <v>6380</v>
      </c>
      <c r="Q1121" t="s">
        <v>30</v>
      </c>
      <c r="R1121" t="s">
        <v>31</v>
      </c>
      <c r="S1121" t="s">
        <v>32</v>
      </c>
    </row>
    <row r="1122" spans="1:19" x14ac:dyDescent="0.45">
      <c r="A1122" t="str">
        <f t="shared" si="63"/>
        <v>17801</v>
      </c>
      <c r="B1122" t="s">
        <v>19</v>
      </c>
      <c r="C1122" t="str">
        <f t="shared" si="64"/>
        <v>17417</v>
      </c>
      <c r="D1122" t="s">
        <v>2386</v>
      </c>
      <c r="E1122" t="str">
        <f>"4124"</f>
        <v>4124</v>
      </c>
      <c r="F1122" t="s">
        <v>6381</v>
      </c>
      <c r="G1122" t="s">
        <v>22</v>
      </c>
      <c r="H1122">
        <v>5</v>
      </c>
      <c r="I1122" t="s">
        <v>6382</v>
      </c>
      <c r="K1122" t="s">
        <v>4600</v>
      </c>
      <c r="L1122" t="s">
        <v>25</v>
      </c>
      <c r="M1122" t="s">
        <v>6383</v>
      </c>
      <c r="N1122" t="s">
        <v>6384</v>
      </c>
      <c r="O1122" t="s">
        <v>6385</v>
      </c>
      <c r="P1122" t="s">
        <v>6386</v>
      </c>
      <c r="Q1122" t="s">
        <v>30</v>
      </c>
      <c r="R1122" t="s">
        <v>31</v>
      </c>
      <c r="S1122" t="s">
        <v>32</v>
      </c>
    </row>
    <row r="1123" spans="1:19" x14ac:dyDescent="0.45">
      <c r="A1123" t="str">
        <f t="shared" si="63"/>
        <v>17801</v>
      </c>
      <c r="B1123" t="s">
        <v>19</v>
      </c>
      <c r="C1123" t="str">
        <f t="shared" si="64"/>
        <v>17417</v>
      </c>
      <c r="D1123" t="s">
        <v>2386</v>
      </c>
      <c r="E1123" t="str">
        <f>"4187"</f>
        <v>4187</v>
      </c>
      <c r="F1123" t="s">
        <v>105</v>
      </c>
      <c r="G1123" t="s">
        <v>22</v>
      </c>
      <c r="H1123">
        <v>5</v>
      </c>
      <c r="I1123" t="s">
        <v>6387</v>
      </c>
      <c r="K1123" t="s">
        <v>4256</v>
      </c>
      <c r="L1123" t="s">
        <v>25</v>
      </c>
      <c r="M1123" t="s">
        <v>6388</v>
      </c>
      <c r="N1123" t="s">
        <v>6389</v>
      </c>
      <c r="O1123" t="s">
        <v>6390</v>
      </c>
      <c r="P1123" t="s">
        <v>6391</v>
      </c>
      <c r="Q1123" t="s">
        <v>30</v>
      </c>
      <c r="R1123" t="s">
        <v>31</v>
      </c>
      <c r="S1123" t="s">
        <v>32</v>
      </c>
    </row>
    <row r="1124" spans="1:19" x14ac:dyDescent="0.45">
      <c r="A1124" t="str">
        <f t="shared" si="63"/>
        <v>17801</v>
      </c>
      <c r="B1124" t="s">
        <v>19</v>
      </c>
      <c r="C1124" t="str">
        <f t="shared" si="64"/>
        <v>17417</v>
      </c>
      <c r="D1124" t="s">
        <v>2386</v>
      </c>
      <c r="E1124" t="str">
        <f>"4208"</f>
        <v>4208</v>
      </c>
      <c r="F1124" t="s">
        <v>6392</v>
      </c>
      <c r="G1124">
        <v>9</v>
      </c>
      <c r="H1124">
        <v>12</v>
      </c>
      <c r="I1124" t="s">
        <v>6393</v>
      </c>
      <c r="K1124" t="s">
        <v>4600</v>
      </c>
      <c r="L1124" t="s">
        <v>25</v>
      </c>
      <c r="M1124" t="s">
        <v>6394</v>
      </c>
      <c r="N1124" t="s">
        <v>6395</v>
      </c>
      <c r="O1124" t="s">
        <v>6396</v>
      </c>
      <c r="P1124" t="s">
        <v>6397</v>
      </c>
      <c r="Q1124" t="s">
        <v>30</v>
      </c>
      <c r="R1124" t="s">
        <v>31</v>
      </c>
      <c r="S1124" t="s">
        <v>58</v>
      </c>
    </row>
    <row r="1125" spans="1:19" x14ac:dyDescent="0.45">
      <c r="A1125" t="str">
        <f t="shared" si="63"/>
        <v>17801</v>
      </c>
      <c r="B1125" t="s">
        <v>19</v>
      </c>
      <c r="C1125" t="str">
        <f t="shared" si="64"/>
        <v>17417</v>
      </c>
      <c r="D1125" t="s">
        <v>2386</v>
      </c>
      <c r="E1125" t="str">
        <f>"4305"</f>
        <v>4305</v>
      </c>
      <c r="F1125" t="s">
        <v>6398</v>
      </c>
      <c r="G1125" t="s">
        <v>22</v>
      </c>
      <c r="H1125">
        <v>5</v>
      </c>
      <c r="I1125" t="s">
        <v>6399</v>
      </c>
      <c r="K1125" t="s">
        <v>4600</v>
      </c>
      <c r="L1125" t="s">
        <v>25</v>
      </c>
      <c r="M1125" t="s">
        <v>6400</v>
      </c>
      <c r="N1125" t="s">
        <v>6401</v>
      </c>
      <c r="O1125" t="s">
        <v>6402</v>
      </c>
      <c r="P1125" t="s">
        <v>6403</v>
      </c>
      <c r="Q1125" t="s">
        <v>30</v>
      </c>
      <c r="R1125" t="s">
        <v>31</v>
      </c>
      <c r="S1125" t="s">
        <v>32</v>
      </c>
    </row>
    <row r="1126" spans="1:19" x14ac:dyDescent="0.45">
      <c r="A1126" t="str">
        <f t="shared" si="63"/>
        <v>17801</v>
      </c>
      <c r="B1126" t="s">
        <v>19</v>
      </c>
      <c r="C1126" t="str">
        <f t="shared" si="64"/>
        <v>17417</v>
      </c>
      <c r="D1126" t="s">
        <v>2386</v>
      </c>
      <c r="E1126" t="str">
        <f>"4306"</f>
        <v>4306</v>
      </c>
      <c r="F1126" t="s">
        <v>6404</v>
      </c>
      <c r="G1126" t="s">
        <v>22</v>
      </c>
      <c r="H1126">
        <v>5</v>
      </c>
      <c r="I1126" t="s">
        <v>6405</v>
      </c>
      <c r="K1126" t="s">
        <v>2389</v>
      </c>
      <c r="L1126" t="s">
        <v>25</v>
      </c>
      <c r="M1126" t="s">
        <v>6406</v>
      </c>
      <c r="N1126" t="s">
        <v>6407</v>
      </c>
      <c r="O1126" t="s">
        <v>6408</v>
      </c>
      <c r="P1126" t="s">
        <v>6409</v>
      </c>
      <c r="Q1126" t="s">
        <v>30</v>
      </c>
      <c r="R1126" t="s">
        <v>31</v>
      </c>
      <c r="S1126" t="s">
        <v>32</v>
      </c>
    </row>
    <row r="1127" spans="1:19" x14ac:dyDescent="0.45">
      <c r="A1127" t="str">
        <f t="shared" si="63"/>
        <v>17801</v>
      </c>
      <c r="B1127" t="s">
        <v>19</v>
      </c>
      <c r="C1127" t="str">
        <f t="shared" si="64"/>
        <v>17417</v>
      </c>
      <c r="D1127" t="s">
        <v>2386</v>
      </c>
      <c r="E1127" t="str">
        <f>"4355"</f>
        <v>4355</v>
      </c>
      <c r="F1127" t="s">
        <v>6410</v>
      </c>
      <c r="G1127" t="s">
        <v>22</v>
      </c>
      <c r="H1127">
        <v>5</v>
      </c>
      <c r="I1127" t="s">
        <v>6411</v>
      </c>
      <c r="K1127" t="s">
        <v>2389</v>
      </c>
      <c r="L1127" t="s">
        <v>25</v>
      </c>
      <c r="M1127" t="s">
        <v>6412</v>
      </c>
      <c r="N1127" t="s">
        <v>6413</v>
      </c>
      <c r="O1127" t="s">
        <v>6414</v>
      </c>
      <c r="P1127" t="s">
        <v>6415</v>
      </c>
      <c r="Q1127" t="s">
        <v>30</v>
      </c>
      <c r="R1127" t="s">
        <v>31</v>
      </c>
      <c r="S1127" t="s">
        <v>32</v>
      </c>
    </row>
    <row r="1128" spans="1:19" x14ac:dyDescent="0.45">
      <c r="A1128" t="str">
        <f t="shared" si="63"/>
        <v>17801</v>
      </c>
      <c r="B1128" t="s">
        <v>19</v>
      </c>
      <c r="C1128" t="str">
        <f t="shared" si="64"/>
        <v>17417</v>
      </c>
      <c r="D1128" t="s">
        <v>2386</v>
      </c>
      <c r="E1128" t="str">
        <f>"4371"</f>
        <v>4371</v>
      </c>
      <c r="F1128" t="s">
        <v>6416</v>
      </c>
      <c r="G1128">
        <v>6</v>
      </c>
      <c r="H1128">
        <v>8</v>
      </c>
      <c r="I1128" t="s">
        <v>6417</v>
      </c>
      <c r="K1128" t="s">
        <v>2389</v>
      </c>
      <c r="L1128" t="s">
        <v>25</v>
      </c>
      <c r="M1128" t="s">
        <v>6365</v>
      </c>
      <c r="N1128" t="s">
        <v>6418</v>
      </c>
      <c r="O1128" t="s">
        <v>6419</v>
      </c>
      <c r="P1128" t="s">
        <v>6420</v>
      </c>
      <c r="Q1128" t="s">
        <v>30</v>
      </c>
      <c r="R1128" t="s">
        <v>31</v>
      </c>
      <c r="S1128" t="s">
        <v>104</v>
      </c>
    </row>
    <row r="1129" spans="1:19" x14ac:dyDescent="0.45">
      <c r="A1129" t="str">
        <f t="shared" si="63"/>
        <v>17801</v>
      </c>
      <c r="B1129" t="s">
        <v>19</v>
      </c>
      <c r="C1129" t="str">
        <f t="shared" si="64"/>
        <v>17417</v>
      </c>
      <c r="D1129" t="s">
        <v>2386</v>
      </c>
      <c r="E1129" t="str">
        <f>"4377"</f>
        <v>4377</v>
      </c>
      <c r="F1129" t="s">
        <v>6421</v>
      </c>
      <c r="G1129" t="s">
        <v>22</v>
      </c>
      <c r="H1129">
        <v>5</v>
      </c>
      <c r="I1129" t="s">
        <v>6422</v>
      </c>
      <c r="K1129" t="s">
        <v>2389</v>
      </c>
      <c r="L1129" t="s">
        <v>25</v>
      </c>
      <c r="M1129" t="s">
        <v>6423</v>
      </c>
      <c r="N1129" t="s">
        <v>6424</v>
      </c>
      <c r="O1129" t="s">
        <v>6425</v>
      </c>
      <c r="P1129" t="s">
        <v>6426</v>
      </c>
      <c r="Q1129" t="s">
        <v>30</v>
      </c>
      <c r="R1129" t="s">
        <v>31</v>
      </c>
      <c r="S1129" t="s">
        <v>32</v>
      </c>
    </row>
    <row r="1130" spans="1:19" x14ac:dyDescent="0.45">
      <c r="A1130" t="str">
        <f t="shared" si="63"/>
        <v>17801</v>
      </c>
      <c r="B1130" t="s">
        <v>19</v>
      </c>
      <c r="C1130" t="str">
        <f t="shared" si="64"/>
        <v>17417</v>
      </c>
      <c r="D1130" t="s">
        <v>2386</v>
      </c>
      <c r="E1130" t="str">
        <f>"4379"</f>
        <v>4379</v>
      </c>
      <c r="F1130" t="s">
        <v>6427</v>
      </c>
      <c r="G1130" t="s">
        <v>22</v>
      </c>
      <c r="H1130">
        <v>5</v>
      </c>
      <c r="I1130" t="s">
        <v>6428</v>
      </c>
      <c r="K1130" t="s">
        <v>4600</v>
      </c>
      <c r="L1130" t="s">
        <v>25</v>
      </c>
      <c r="M1130" t="s">
        <v>6429</v>
      </c>
      <c r="N1130" t="s">
        <v>6430</v>
      </c>
      <c r="O1130" t="s">
        <v>6431</v>
      </c>
      <c r="P1130" t="s">
        <v>6432</v>
      </c>
      <c r="Q1130" t="s">
        <v>30</v>
      </c>
      <c r="R1130" t="s">
        <v>31</v>
      </c>
      <c r="S1130" t="s">
        <v>32</v>
      </c>
    </row>
    <row r="1131" spans="1:19" x14ac:dyDescent="0.45">
      <c r="A1131" t="str">
        <f t="shared" si="63"/>
        <v>17801</v>
      </c>
      <c r="B1131" t="s">
        <v>19</v>
      </c>
      <c r="C1131" t="str">
        <f t="shared" si="64"/>
        <v>17417</v>
      </c>
      <c r="D1131" t="s">
        <v>2386</v>
      </c>
      <c r="E1131" t="str">
        <f>"4455"</f>
        <v>4455</v>
      </c>
      <c r="F1131" t="s">
        <v>6433</v>
      </c>
      <c r="G1131" t="s">
        <v>70</v>
      </c>
      <c r="H1131">
        <v>5</v>
      </c>
      <c r="I1131" t="s">
        <v>6434</v>
      </c>
      <c r="K1131" t="s">
        <v>4600</v>
      </c>
      <c r="L1131" t="s">
        <v>25</v>
      </c>
      <c r="M1131" t="s">
        <v>6435</v>
      </c>
      <c r="N1131" t="s">
        <v>4693</v>
      </c>
      <c r="O1131" t="s">
        <v>4694</v>
      </c>
      <c r="P1131" t="s">
        <v>6436</v>
      </c>
      <c r="Q1131" t="s">
        <v>30</v>
      </c>
      <c r="R1131" t="s">
        <v>31</v>
      </c>
      <c r="S1131" t="s">
        <v>32</v>
      </c>
    </row>
    <row r="1132" spans="1:19" x14ac:dyDescent="0.45">
      <c r="A1132" t="str">
        <f t="shared" si="63"/>
        <v>17801</v>
      </c>
      <c r="B1132" t="s">
        <v>19</v>
      </c>
      <c r="C1132" t="str">
        <f t="shared" si="64"/>
        <v>17417</v>
      </c>
      <c r="D1132" t="s">
        <v>2386</v>
      </c>
      <c r="E1132" t="str">
        <f>"4516"</f>
        <v>4516</v>
      </c>
      <c r="F1132" t="s">
        <v>6437</v>
      </c>
      <c r="G1132">
        <v>6</v>
      </c>
      <c r="H1132">
        <v>8</v>
      </c>
      <c r="I1132" t="s">
        <v>6438</v>
      </c>
      <c r="K1132" t="s">
        <v>4600</v>
      </c>
      <c r="L1132" t="s">
        <v>25</v>
      </c>
      <c r="M1132" t="s">
        <v>6439</v>
      </c>
      <c r="N1132" t="s">
        <v>6440</v>
      </c>
      <c r="O1132" t="s">
        <v>6441</v>
      </c>
      <c r="P1132" t="s">
        <v>6442</v>
      </c>
      <c r="Q1132" t="s">
        <v>30</v>
      </c>
      <c r="R1132" t="s">
        <v>31</v>
      </c>
      <c r="S1132" t="s">
        <v>104</v>
      </c>
    </row>
    <row r="1133" spans="1:19" x14ac:dyDescent="0.45">
      <c r="A1133" t="str">
        <f t="shared" ref="A1133:A1144" si="65">"18801"</f>
        <v>18801</v>
      </c>
      <c r="B1133" t="s">
        <v>1731</v>
      </c>
      <c r="C1133" t="str">
        <f t="shared" ref="C1133:C1144" si="66">"18100"</f>
        <v>18100</v>
      </c>
      <c r="D1133" t="s">
        <v>2712</v>
      </c>
      <c r="E1133" t="str">
        <f>"1737"</f>
        <v>1737</v>
      </c>
      <c r="F1133" t="s">
        <v>6443</v>
      </c>
      <c r="G1133">
        <v>9</v>
      </c>
      <c r="H1133">
        <v>12</v>
      </c>
      <c r="I1133" t="s">
        <v>6444</v>
      </c>
      <c r="K1133" t="s">
        <v>2253</v>
      </c>
      <c r="L1133" t="s">
        <v>25</v>
      </c>
      <c r="M1133" t="s">
        <v>6445</v>
      </c>
      <c r="N1133" t="s">
        <v>2715</v>
      </c>
      <c r="O1133" t="s">
        <v>6446</v>
      </c>
      <c r="P1133" t="s">
        <v>6447</v>
      </c>
      <c r="Q1133" t="s">
        <v>157</v>
      </c>
      <c r="R1133" t="s">
        <v>158</v>
      </c>
      <c r="S1133" t="s">
        <v>58</v>
      </c>
    </row>
    <row r="1134" spans="1:19" x14ac:dyDescent="0.45">
      <c r="A1134" t="str">
        <f t="shared" si="65"/>
        <v>18801</v>
      </c>
      <c r="B1134" t="s">
        <v>1731</v>
      </c>
      <c r="C1134" t="str">
        <f t="shared" si="66"/>
        <v>18100</v>
      </c>
      <c r="D1134" t="s">
        <v>2712</v>
      </c>
      <c r="E1134" t="str">
        <f>"1749"</f>
        <v>1749</v>
      </c>
      <c r="F1134" t="s">
        <v>6448</v>
      </c>
      <c r="G1134" t="s">
        <v>70</v>
      </c>
      <c r="H1134">
        <v>8</v>
      </c>
      <c r="I1134" t="s">
        <v>6449</v>
      </c>
      <c r="K1134" t="s">
        <v>2253</v>
      </c>
      <c r="L1134" t="s">
        <v>25</v>
      </c>
      <c r="M1134" t="s">
        <v>6450</v>
      </c>
      <c r="N1134" t="s">
        <v>6451</v>
      </c>
      <c r="O1134" t="s">
        <v>6452</v>
      </c>
      <c r="P1134" t="s">
        <v>6453</v>
      </c>
      <c r="Q1134" t="s">
        <v>157</v>
      </c>
      <c r="R1134" t="s">
        <v>158</v>
      </c>
      <c r="S1134" t="s">
        <v>159</v>
      </c>
    </row>
    <row r="1135" spans="1:19" x14ac:dyDescent="0.45">
      <c r="A1135" t="str">
        <f t="shared" si="65"/>
        <v>18801</v>
      </c>
      <c r="B1135" t="s">
        <v>1731</v>
      </c>
      <c r="C1135" t="str">
        <f t="shared" si="66"/>
        <v>18100</v>
      </c>
      <c r="D1135" t="s">
        <v>2712</v>
      </c>
      <c r="E1135" t="str">
        <f>"2613"</f>
        <v>2613</v>
      </c>
      <c r="F1135" t="s">
        <v>6454</v>
      </c>
      <c r="G1135" t="s">
        <v>22</v>
      </c>
      <c r="H1135">
        <v>8</v>
      </c>
      <c r="I1135" t="s">
        <v>6455</v>
      </c>
      <c r="K1135" t="s">
        <v>2253</v>
      </c>
      <c r="L1135" t="s">
        <v>25</v>
      </c>
      <c r="M1135" t="s">
        <v>6456</v>
      </c>
      <c r="N1135" t="s">
        <v>6457</v>
      </c>
      <c r="O1135" t="s">
        <v>6458</v>
      </c>
      <c r="P1135" t="s">
        <v>6459</v>
      </c>
      <c r="Q1135" t="s">
        <v>30</v>
      </c>
      <c r="R1135" t="s">
        <v>31</v>
      </c>
      <c r="S1135" t="s">
        <v>159</v>
      </c>
    </row>
    <row r="1136" spans="1:19" x14ac:dyDescent="0.45">
      <c r="A1136" t="str">
        <f t="shared" si="65"/>
        <v>18801</v>
      </c>
      <c r="B1136" t="s">
        <v>1731</v>
      </c>
      <c r="C1136" t="str">
        <f t="shared" si="66"/>
        <v>18100</v>
      </c>
      <c r="D1136" t="s">
        <v>2712</v>
      </c>
      <c r="E1136" t="str">
        <f>"2853"</f>
        <v>2853</v>
      </c>
      <c r="F1136" t="s">
        <v>6460</v>
      </c>
      <c r="G1136" t="s">
        <v>22</v>
      </c>
      <c r="H1136">
        <v>5</v>
      </c>
      <c r="I1136" t="s">
        <v>6461</v>
      </c>
      <c r="K1136" t="s">
        <v>2253</v>
      </c>
      <c r="L1136" t="s">
        <v>25</v>
      </c>
      <c r="M1136" t="s">
        <v>6462</v>
      </c>
      <c r="N1136" t="s">
        <v>6463</v>
      </c>
      <c r="O1136" t="s">
        <v>6464</v>
      </c>
      <c r="P1136" t="s">
        <v>6465</v>
      </c>
      <c r="Q1136" t="s">
        <v>30</v>
      </c>
      <c r="R1136" t="s">
        <v>31</v>
      </c>
      <c r="S1136" t="s">
        <v>32</v>
      </c>
    </row>
    <row r="1137" spans="1:19" x14ac:dyDescent="0.45">
      <c r="A1137" t="str">
        <f t="shared" si="65"/>
        <v>18801</v>
      </c>
      <c r="B1137" t="s">
        <v>1731</v>
      </c>
      <c r="C1137" t="str">
        <f t="shared" si="66"/>
        <v>18100</v>
      </c>
      <c r="D1137" t="s">
        <v>2712</v>
      </c>
      <c r="E1137" t="str">
        <f>"3108"</f>
        <v>3108</v>
      </c>
      <c r="F1137" t="s">
        <v>6466</v>
      </c>
      <c r="G1137" t="s">
        <v>22</v>
      </c>
      <c r="H1137">
        <v>5</v>
      </c>
      <c r="I1137" t="s">
        <v>6467</v>
      </c>
      <c r="K1137" t="s">
        <v>2253</v>
      </c>
      <c r="L1137" t="s">
        <v>25</v>
      </c>
      <c r="M1137" t="s">
        <v>6468</v>
      </c>
      <c r="N1137" t="s">
        <v>6451</v>
      </c>
      <c r="O1137" t="s">
        <v>6452</v>
      </c>
      <c r="P1137" t="s">
        <v>6453</v>
      </c>
      <c r="Q1137" t="s">
        <v>30</v>
      </c>
      <c r="R1137" t="s">
        <v>31</v>
      </c>
      <c r="S1137" t="s">
        <v>32</v>
      </c>
    </row>
    <row r="1138" spans="1:19" x14ac:dyDescent="0.45">
      <c r="A1138" t="str">
        <f t="shared" si="65"/>
        <v>18801</v>
      </c>
      <c r="B1138" t="s">
        <v>1731</v>
      </c>
      <c r="C1138" t="str">
        <f t="shared" si="66"/>
        <v>18100</v>
      </c>
      <c r="D1138" t="s">
        <v>2712</v>
      </c>
      <c r="E1138" t="str">
        <f>"3109"</f>
        <v>3109</v>
      </c>
      <c r="F1138" t="s">
        <v>6469</v>
      </c>
      <c r="G1138">
        <v>9</v>
      </c>
      <c r="H1138">
        <v>12</v>
      </c>
      <c r="I1138" t="s">
        <v>6470</v>
      </c>
      <c r="K1138" t="s">
        <v>2253</v>
      </c>
      <c r="L1138" t="s">
        <v>25</v>
      </c>
      <c r="M1138" t="s">
        <v>6471</v>
      </c>
      <c r="N1138" t="s">
        <v>6472</v>
      </c>
      <c r="O1138" t="s">
        <v>6473</v>
      </c>
      <c r="P1138" t="s">
        <v>6474</v>
      </c>
      <c r="Q1138" t="s">
        <v>30</v>
      </c>
      <c r="R1138" t="s">
        <v>31</v>
      </c>
      <c r="S1138" t="s">
        <v>58</v>
      </c>
    </row>
    <row r="1139" spans="1:19" x14ac:dyDescent="0.45">
      <c r="A1139" t="str">
        <f t="shared" si="65"/>
        <v>18801</v>
      </c>
      <c r="B1139" t="s">
        <v>1731</v>
      </c>
      <c r="C1139" t="str">
        <f t="shared" si="66"/>
        <v>18100</v>
      </c>
      <c r="D1139" t="s">
        <v>2712</v>
      </c>
      <c r="E1139" t="str">
        <f>"3171"</f>
        <v>3171</v>
      </c>
      <c r="F1139" t="s">
        <v>6475</v>
      </c>
      <c r="G1139" t="s">
        <v>22</v>
      </c>
      <c r="H1139">
        <v>3</v>
      </c>
      <c r="I1139" t="s">
        <v>6476</v>
      </c>
      <c r="K1139" t="s">
        <v>2253</v>
      </c>
      <c r="L1139" t="s">
        <v>25</v>
      </c>
      <c r="M1139" t="s">
        <v>6450</v>
      </c>
      <c r="N1139" t="s">
        <v>6477</v>
      </c>
      <c r="O1139" t="s">
        <v>6478</v>
      </c>
      <c r="P1139" t="s">
        <v>6479</v>
      </c>
      <c r="Q1139" t="s">
        <v>30</v>
      </c>
      <c r="R1139" t="s">
        <v>31</v>
      </c>
      <c r="S1139" t="s">
        <v>32</v>
      </c>
    </row>
    <row r="1140" spans="1:19" x14ac:dyDescent="0.45">
      <c r="A1140" t="str">
        <f t="shared" si="65"/>
        <v>18801</v>
      </c>
      <c r="B1140" t="s">
        <v>1731</v>
      </c>
      <c r="C1140" t="str">
        <f t="shared" si="66"/>
        <v>18100</v>
      </c>
      <c r="D1140" t="s">
        <v>2712</v>
      </c>
      <c r="E1140" t="str">
        <f>"3641"</f>
        <v>3641</v>
      </c>
      <c r="F1140" t="s">
        <v>6480</v>
      </c>
      <c r="G1140" t="s">
        <v>70</v>
      </c>
      <c r="H1140">
        <v>5</v>
      </c>
      <c r="I1140" t="s">
        <v>6481</v>
      </c>
      <c r="K1140" t="s">
        <v>2253</v>
      </c>
      <c r="L1140" t="s">
        <v>25</v>
      </c>
      <c r="M1140" t="s">
        <v>6482</v>
      </c>
      <c r="N1140" t="s">
        <v>6483</v>
      </c>
      <c r="O1140" t="s">
        <v>6484</v>
      </c>
      <c r="P1140" t="s">
        <v>6485</v>
      </c>
      <c r="Q1140" t="s">
        <v>30</v>
      </c>
      <c r="R1140" t="s">
        <v>31</v>
      </c>
      <c r="S1140" t="s">
        <v>32</v>
      </c>
    </row>
    <row r="1141" spans="1:19" x14ac:dyDescent="0.45">
      <c r="A1141" t="str">
        <f t="shared" si="65"/>
        <v>18801</v>
      </c>
      <c r="B1141" t="s">
        <v>1731</v>
      </c>
      <c r="C1141" t="str">
        <f t="shared" si="66"/>
        <v>18100</v>
      </c>
      <c r="D1141" t="s">
        <v>2712</v>
      </c>
      <c r="E1141" t="str">
        <f>"3883"</f>
        <v>3883</v>
      </c>
      <c r="F1141" t="s">
        <v>6486</v>
      </c>
      <c r="G1141">
        <v>10</v>
      </c>
      <c r="H1141">
        <v>12</v>
      </c>
      <c r="I1141" t="s">
        <v>6470</v>
      </c>
      <c r="K1141" t="s">
        <v>2253</v>
      </c>
      <c r="L1141" t="s">
        <v>25</v>
      </c>
      <c r="M1141" t="s">
        <v>6471</v>
      </c>
      <c r="N1141" t="s">
        <v>6487</v>
      </c>
      <c r="O1141" t="s">
        <v>6488</v>
      </c>
      <c r="P1141" t="s">
        <v>6489</v>
      </c>
      <c r="Q1141" t="s">
        <v>962</v>
      </c>
      <c r="R1141" t="s">
        <v>963</v>
      </c>
      <c r="S1141" t="s">
        <v>58</v>
      </c>
    </row>
    <row r="1142" spans="1:19" x14ac:dyDescent="0.45">
      <c r="A1142" t="str">
        <f t="shared" si="65"/>
        <v>18801</v>
      </c>
      <c r="B1142" t="s">
        <v>1731</v>
      </c>
      <c r="C1142" t="str">
        <f t="shared" si="66"/>
        <v>18100</v>
      </c>
      <c r="D1142" t="s">
        <v>2712</v>
      </c>
      <c r="E1142" t="str">
        <f>"4038"</f>
        <v>4038</v>
      </c>
      <c r="F1142" t="s">
        <v>6490</v>
      </c>
      <c r="G1142">
        <v>11</v>
      </c>
      <c r="H1142">
        <v>12</v>
      </c>
      <c r="I1142" t="s">
        <v>6491</v>
      </c>
      <c r="K1142" t="s">
        <v>2253</v>
      </c>
      <c r="L1142" t="s">
        <v>25</v>
      </c>
      <c r="M1142" t="s">
        <v>6492</v>
      </c>
      <c r="N1142" t="s">
        <v>6493</v>
      </c>
      <c r="O1142" t="s">
        <v>6494</v>
      </c>
      <c r="P1142" t="s">
        <v>6495</v>
      </c>
      <c r="Q1142" t="s">
        <v>172</v>
      </c>
      <c r="R1142" t="s">
        <v>173</v>
      </c>
      <c r="S1142" t="s">
        <v>58</v>
      </c>
    </row>
    <row r="1143" spans="1:19" x14ac:dyDescent="0.45">
      <c r="A1143" t="str">
        <f t="shared" si="65"/>
        <v>18801</v>
      </c>
      <c r="B1143" t="s">
        <v>1731</v>
      </c>
      <c r="C1143" t="str">
        <f t="shared" si="66"/>
        <v>18100</v>
      </c>
      <c r="D1143" t="s">
        <v>2712</v>
      </c>
      <c r="E1143" t="str">
        <f>"4421"</f>
        <v>4421</v>
      </c>
      <c r="F1143" t="s">
        <v>6496</v>
      </c>
      <c r="G1143" t="s">
        <v>70</v>
      </c>
      <c r="H1143">
        <v>5</v>
      </c>
      <c r="I1143" t="s">
        <v>6497</v>
      </c>
      <c r="K1143" t="s">
        <v>2253</v>
      </c>
      <c r="L1143" t="s">
        <v>25</v>
      </c>
      <c r="M1143" t="s">
        <v>6498</v>
      </c>
      <c r="N1143" t="s">
        <v>6499</v>
      </c>
      <c r="O1143" t="s">
        <v>6500</v>
      </c>
      <c r="P1143" t="s">
        <v>6501</v>
      </c>
      <c r="Q1143" t="s">
        <v>30</v>
      </c>
      <c r="R1143" t="s">
        <v>31</v>
      </c>
      <c r="S1143" t="s">
        <v>32</v>
      </c>
    </row>
    <row r="1144" spans="1:19" x14ac:dyDescent="0.45">
      <c r="A1144" t="str">
        <f t="shared" si="65"/>
        <v>18801</v>
      </c>
      <c r="B1144" t="s">
        <v>1731</v>
      </c>
      <c r="C1144" t="str">
        <f t="shared" si="66"/>
        <v>18100</v>
      </c>
      <c r="D1144" t="s">
        <v>2712</v>
      </c>
      <c r="E1144" t="str">
        <f>"4441"</f>
        <v>4441</v>
      </c>
      <c r="F1144" t="s">
        <v>6502</v>
      </c>
      <c r="G1144">
        <v>6</v>
      </c>
      <c r="H1144">
        <v>8</v>
      </c>
      <c r="I1144" t="s">
        <v>6503</v>
      </c>
      <c r="K1144" t="s">
        <v>2253</v>
      </c>
      <c r="L1144" t="s">
        <v>25</v>
      </c>
      <c r="M1144" t="s">
        <v>6504</v>
      </c>
      <c r="N1144" t="s">
        <v>6505</v>
      </c>
      <c r="O1144" t="s">
        <v>6506</v>
      </c>
      <c r="P1144" t="s">
        <v>6507</v>
      </c>
      <c r="Q1144" t="s">
        <v>30</v>
      </c>
      <c r="R1144" t="s">
        <v>31</v>
      </c>
      <c r="S1144" t="s">
        <v>104</v>
      </c>
    </row>
    <row r="1145" spans="1:19" x14ac:dyDescent="0.45">
      <c r="A1145" t="str">
        <f t="shared" ref="A1145:A1152" si="67">"17801"</f>
        <v>17801</v>
      </c>
      <c r="B1145" t="s">
        <v>19</v>
      </c>
      <c r="C1145" t="str">
        <f t="shared" ref="C1145:C1152" si="68">"18303"</f>
        <v>18303</v>
      </c>
      <c r="D1145" t="s">
        <v>6508</v>
      </c>
      <c r="E1145" t="str">
        <f>"1699"</f>
        <v>1699</v>
      </c>
      <c r="F1145" t="s">
        <v>6509</v>
      </c>
      <c r="G1145" t="s">
        <v>70</v>
      </c>
      <c r="H1145">
        <v>8</v>
      </c>
      <c r="I1145" t="s">
        <v>6510</v>
      </c>
      <c r="K1145" t="s">
        <v>6511</v>
      </c>
      <c r="L1145" t="s">
        <v>25</v>
      </c>
      <c r="M1145" t="s">
        <v>6512</v>
      </c>
      <c r="N1145" t="s">
        <v>6513</v>
      </c>
      <c r="O1145" t="s">
        <v>6514</v>
      </c>
      <c r="P1145" t="s">
        <v>6515</v>
      </c>
      <c r="Q1145" t="s">
        <v>30</v>
      </c>
      <c r="R1145" t="s">
        <v>31</v>
      </c>
      <c r="S1145" t="s">
        <v>159</v>
      </c>
    </row>
    <row r="1146" spans="1:19" x14ac:dyDescent="0.45">
      <c r="A1146" t="str">
        <f t="shared" si="67"/>
        <v>17801</v>
      </c>
      <c r="B1146" t="s">
        <v>19</v>
      </c>
      <c r="C1146" t="str">
        <f t="shared" si="68"/>
        <v>18303</v>
      </c>
      <c r="D1146" t="s">
        <v>6508</v>
      </c>
      <c r="E1146" t="str">
        <f>"1841"</f>
        <v>1841</v>
      </c>
      <c r="F1146" t="s">
        <v>6516</v>
      </c>
      <c r="G1146" t="s">
        <v>70</v>
      </c>
      <c r="H1146">
        <v>8</v>
      </c>
      <c r="I1146" t="s">
        <v>6510</v>
      </c>
      <c r="K1146" t="s">
        <v>6511</v>
      </c>
      <c r="L1146" t="s">
        <v>25</v>
      </c>
      <c r="M1146" t="s">
        <v>6512</v>
      </c>
      <c r="N1146" t="s">
        <v>6513</v>
      </c>
      <c r="O1146" t="s">
        <v>6514</v>
      </c>
      <c r="P1146" t="s">
        <v>6515</v>
      </c>
      <c r="Q1146" t="s">
        <v>157</v>
      </c>
      <c r="R1146" t="s">
        <v>158</v>
      </c>
      <c r="S1146" t="s">
        <v>159</v>
      </c>
    </row>
    <row r="1147" spans="1:19" x14ac:dyDescent="0.45">
      <c r="A1147" t="str">
        <f t="shared" si="67"/>
        <v>17801</v>
      </c>
      <c r="B1147" t="s">
        <v>19</v>
      </c>
      <c r="C1147" t="str">
        <f t="shared" si="68"/>
        <v>18303</v>
      </c>
      <c r="D1147" t="s">
        <v>6508</v>
      </c>
      <c r="E1147" t="str">
        <f>"2395"</f>
        <v>2395</v>
      </c>
      <c r="F1147" t="s">
        <v>6517</v>
      </c>
      <c r="G1147">
        <v>9</v>
      </c>
      <c r="H1147">
        <v>12</v>
      </c>
      <c r="I1147" t="s">
        <v>6518</v>
      </c>
      <c r="K1147" t="s">
        <v>6511</v>
      </c>
      <c r="L1147" t="s">
        <v>25</v>
      </c>
      <c r="M1147" t="s">
        <v>6519</v>
      </c>
      <c r="N1147" t="s">
        <v>6520</v>
      </c>
      <c r="O1147" t="s">
        <v>6521</v>
      </c>
      <c r="P1147" t="s">
        <v>6522</v>
      </c>
      <c r="Q1147" t="s">
        <v>30</v>
      </c>
      <c r="R1147" t="s">
        <v>31</v>
      </c>
      <c r="S1147" t="s">
        <v>58</v>
      </c>
    </row>
    <row r="1148" spans="1:19" x14ac:dyDescent="0.45">
      <c r="A1148" t="str">
        <f t="shared" si="67"/>
        <v>17801</v>
      </c>
      <c r="B1148" t="s">
        <v>19</v>
      </c>
      <c r="C1148" t="str">
        <f t="shared" si="68"/>
        <v>18303</v>
      </c>
      <c r="D1148" t="s">
        <v>6508</v>
      </c>
      <c r="E1148" t="str">
        <f>"3043"</f>
        <v>3043</v>
      </c>
      <c r="F1148" t="s">
        <v>6523</v>
      </c>
      <c r="G1148" t="s">
        <v>22</v>
      </c>
      <c r="H1148">
        <v>4</v>
      </c>
      <c r="I1148" t="s">
        <v>6524</v>
      </c>
      <c r="K1148" t="s">
        <v>6511</v>
      </c>
      <c r="L1148" t="s">
        <v>25</v>
      </c>
      <c r="M1148" t="s">
        <v>6525</v>
      </c>
      <c r="N1148" t="s">
        <v>6526</v>
      </c>
      <c r="O1148" t="s">
        <v>6527</v>
      </c>
      <c r="P1148" t="s">
        <v>6528</v>
      </c>
      <c r="Q1148" t="s">
        <v>30</v>
      </c>
      <c r="R1148" t="s">
        <v>31</v>
      </c>
      <c r="S1148" t="s">
        <v>32</v>
      </c>
    </row>
    <row r="1149" spans="1:19" x14ac:dyDescent="0.45">
      <c r="A1149" t="str">
        <f t="shared" si="67"/>
        <v>17801</v>
      </c>
      <c r="B1149" t="s">
        <v>19</v>
      </c>
      <c r="C1149" t="str">
        <f t="shared" si="68"/>
        <v>18303</v>
      </c>
      <c r="D1149" t="s">
        <v>6508</v>
      </c>
      <c r="E1149" t="str">
        <f>"3552"</f>
        <v>3552</v>
      </c>
      <c r="F1149" t="s">
        <v>6529</v>
      </c>
      <c r="G1149" t="s">
        <v>22</v>
      </c>
      <c r="H1149">
        <v>4</v>
      </c>
      <c r="I1149" t="s">
        <v>6530</v>
      </c>
      <c r="K1149" t="s">
        <v>6511</v>
      </c>
      <c r="L1149" t="s">
        <v>25</v>
      </c>
      <c r="M1149" t="s">
        <v>6531</v>
      </c>
      <c r="N1149" t="s">
        <v>6532</v>
      </c>
      <c r="O1149" t="s">
        <v>6533</v>
      </c>
      <c r="P1149" t="s">
        <v>6534</v>
      </c>
      <c r="Q1149" t="s">
        <v>30</v>
      </c>
      <c r="R1149" t="s">
        <v>31</v>
      </c>
      <c r="S1149" t="s">
        <v>32</v>
      </c>
    </row>
    <row r="1150" spans="1:19" x14ac:dyDescent="0.45">
      <c r="A1150" t="str">
        <f t="shared" si="67"/>
        <v>17801</v>
      </c>
      <c r="B1150" t="s">
        <v>19</v>
      </c>
      <c r="C1150" t="str">
        <f t="shared" si="68"/>
        <v>18303</v>
      </c>
      <c r="D1150" t="s">
        <v>6508</v>
      </c>
      <c r="E1150" t="str">
        <f>"4062"</f>
        <v>4062</v>
      </c>
      <c r="F1150" t="s">
        <v>6535</v>
      </c>
      <c r="G1150" t="s">
        <v>70</v>
      </c>
      <c r="H1150">
        <v>4</v>
      </c>
      <c r="I1150" t="s">
        <v>6536</v>
      </c>
      <c r="K1150" t="s">
        <v>6511</v>
      </c>
      <c r="L1150" t="s">
        <v>25</v>
      </c>
      <c r="M1150" t="s">
        <v>6537</v>
      </c>
      <c r="N1150" t="s">
        <v>6538</v>
      </c>
      <c r="O1150" t="s">
        <v>6539</v>
      </c>
      <c r="P1150" t="s">
        <v>6540</v>
      </c>
      <c r="Q1150" t="s">
        <v>30</v>
      </c>
      <c r="R1150" t="s">
        <v>31</v>
      </c>
      <c r="S1150" t="s">
        <v>32</v>
      </c>
    </row>
    <row r="1151" spans="1:19" x14ac:dyDescent="0.45">
      <c r="A1151" t="str">
        <f t="shared" si="67"/>
        <v>17801</v>
      </c>
      <c r="B1151" t="s">
        <v>19</v>
      </c>
      <c r="C1151" t="str">
        <f t="shared" si="68"/>
        <v>18303</v>
      </c>
      <c r="D1151" t="s">
        <v>6508</v>
      </c>
      <c r="E1151" t="str">
        <f>"4505"</f>
        <v>4505</v>
      </c>
      <c r="F1151" t="s">
        <v>6541</v>
      </c>
      <c r="G1151">
        <v>7</v>
      </c>
      <c r="H1151">
        <v>8</v>
      </c>
      <c r="I1151" t="s">
        <v>6542</v>
      </c>
      <c r="K1151" t="s">
        <v>6511</v>
      </c>
      <c r="L1151" t="s">
        <v>25</v>
      </c>
      <c r="M1151" t="s">
        <v>6543</v>
      </c>
      <c r="N1151" t="s">
        <v>6544</v>
      </c>
      <c r="O1151" t="s">
        <v>6545</v>
      </c>
      <c r="P1151" t="s">
        <v>6546</v>
      </c>
      <c r="Q1151" t="s">
        <v>30</v>
      </c>
      <c r="R1151" t="s">
        <v>31</v>
      </c>
      <c r="S1151" t="s">
        <v>104</v>
      </c>
    </row>
    <row r="1152" spans="1:19" x14ac:dyDescent="0.45">
      <c r="A1152" t="str">
        <f t="shared" si="67"/>
        <v>17801</v>
      </c>
      <c r="B1152" t="s">
        <v>19</v>
      </c>
      <c r="C1152" t="str">
        <f t="shared" si="68"/>
        <v>18303</v>
      </c>
      <c r="D1152" t="s">
        <v>6508</v>
      </c>
      <c r="E1152" t="str">
        <f>"4542"</f>
        <v>4542</v>
      </c>
      <c r="F1152" t="s">
        <v>6547</v>
      </c>
      <c r="G1152">
        <v>5</v>
      </c>
      <c r="H1152">
        <v>6</v>
      </c>
      <c r="I1152" t="s">
        <v>6548</v>
      </c>
      <c r="K1152" t="s">
        <v>6511</v>
      </c>
      <c r="L1152" t="s">
        <v>25</v>
      </c>
      <c r="M1152" t="s">
        <v>6549</v>
      </c>
      <c r="N1152" t="s">
        <v>6550</v>
      </c>
      <c r="O1152" t="s">
        <v>6551</v>
      </c>
      <c r="P1152" t="s">
        <v>6552</v>
      </c>
      <c r="Q1152" t="s">
        <v>30</v>
      </c>
      <c r="R1152" t="s">
        <v>31</v>
      </c>
      <c r="S1152" t="s">
        <v>32</v>
      </c>
    </row>
    <row r="1153" spans="1:19" x14ac:dyDescent="0.45">
      <c r="A1153" t="str">
        <f t="shared" ref="A1153:A1189" si="69">"18801"</f>
        <v>18801</v>
      </c>
      <c r="B1153" t="s">
        <v>1731</v>
      </c>
      <c r="C1153" t="str">
        <f t="shared" ref="C1153:C1164" si="70">"18400"</f>
        <v>18400</v>
      </c>
      <c r="D1153" t="s">
        <v>4425</v>
      </c>
      <c r="E1153" t="str">
        <f>"1677"</f>
        <v>1677</v>
      </c>
      <c r="F1153" t="s">
        <v>1463</v>
      </c>
      <c r="G1153" t="s">
        <v>22</v>
      </c>
      <c r="H1153">
        <v>12</v>
      </c>
      <c r="I1153" t="s">
        <v>6553</v>
      </c>
      <c r="K1153" t="s">
        <v>2333</v>
      </c>
      <c r="L1153" t="s">
        <v>25</v>
      </c>
      <c r="M1153" t="s">
        <v>6554</v>
      </c>
      <c r="N1153" t="s">
        <v>6555</v>
      </c>
      <c r="O1153" t="s">
        <v>6556</v>
      </c>
      <c r="P1153" t="s">
        <v>6557</v>
      </c>
      <c r="Q1153" t="s">
        <v>66</v>
      </c>
      <c r="R1153" t="s">
        <v>67</v>
      </c>
      <c r="S1153" t="s">
        <v>68</v>
      </c>
    </row>
    <row r="1154" spans="1:19" x14ac:dyDescent="0.45">
      <c r="A1154" t="str">
        <f t="shared" si="69"/>
        <v>18801</v>
      </c>
      <c r="B1154" t="s">
        <v>1731</v>
      </c>
      <c r="C1154" t="str">
        <f t="shared" si="70"/>
        <v>18400</v>
      </c>
      <c r="D1154" t="s">
        <v>4425</v>
      </c>
      <c r="E1154" t="str">
        <f>"1733"</f>
        <v>1733</v>
      </c>
      <c r="F1154" t="s">
        <v>6558</v>
      </c>
      <c r="G1154" t="s">
        <v>70</v>
      </c>
      <c r="H1154">
        <v>12</v>
      </c>
      <c r="I1154" t="s">
        <v>4427</v>
      </c>
      <c r="K1154" t="s">
        <v>4428</v>
      </c>
      <c r="L1154" t="s">
        <v>25</v>
      </c>
      <c r="M1154">
        <v>98346</v>
      </c>
      <c r="N1154" t="s">
        <v>4429</v>
      </c>
      <c r="O1154" t="s">
        <v>4430</v>
      </c>
      <c r="P1154" t="s">
        <v>4431</v>
      </c>
      <c r="Q1154" t="s">
        <v>157</v>
      </c>
      <c r="R1154" t="s">
        <v>158</v>
      </c>
      <c r="S1154" t="s">
        <v>330</v>
      </c>
    </row>
    <row r="1155" spans="1:19" x14ac:dyDescent="0.45">
      <c r="A1155" t="str">
        <f t="shared" si="69"/>
        <v>18801</v>
      </c>
      <c r="B1155" t="s">
        <v>1731</v>
      </c>
      <c r="C1155" t="str">
        <f t="shared" si="70"/>
        <v>18400</v>
      </c>
      <c r="D1155" t="s">
        <v>4425</v>
      </c>
      <c r="E1155" t="str">
        <f>"2026"</f>
        <v>2026</v>
      </c>
      <c r="F1155" t="s">
        <v>6559</v>
      </c>
      <c r="G1155" t="s">
        <v>22</v>
      </c>
      <c r="H1155">
        <v>5</v>
      </c>
      <c r="I1155" t="s">
        <v>6560</v>
      </c>
      <c r="K1155" t="s">
        <v>2333</v>
      </c>
      <c r="L1155" t="s">
        <v>25</v>
      </c>
      <c r="M1155" t="s">
        <v>6561</v>
      </c>
      <c r="N1155" t="s">
        <v>6562</v>
      </c>
      <c r="O1155" t="s">
        <v>6563</v>
      </c>
      <c r="P1155" t="s">
        <v>6564</v>
      </c>
      <c r="Q1155" t="s">
        <v>30</v>
      </c>
      <c r="R1155" t="s">
        <v>31</v>
      </c>
      <c r="S1155" t="s">
        <v>32</v>
      </c>
    </row>
    <row r="1156" spans="1:19" x14ac:dyDescent="0.45">
      <c r="A1156" t="str">
        <f t="shared" si="69"/>
        <v>18801</v>
      </c>
      <c r="B1156" t="s">
        <v>1731</v>
      </c>
      <c r="C1156" t="str">
        <f t="shared" si="70"/>
        <v>18400</v>
      </c>
      <c r="D1156" t="s">
        <v>4425</v>
      </c>
      <c r="E1156" t="str">
        <f>"2476"</f>
        <v>2476</v>
      </c>
      <c r="F1156" t="s">
        <v>6565</v>
      </c>
      <c r="G1156">
        <v>6</v>
      </c>
      <c r="H1156">
        <v>8</v>
      </c>
      <c r="I1156" t="s">
        <v>6566</v>
      </c>
      <c r="K1156" t="s">
        <v>2333</v>
      </c>
      <c r="L1156" t="s">
        <v>25</v>
      </c>
      <c r="M1156" t="s">
        <v>6567</v>
      </c>
      <c r="N1156" t="s">
        <v>6568</v>
      </c>
      <c r="O1156" t="s">
        <v>6569</v>
      </c>
      <c r="P1156" t="s">
        <v>6570</v>
      </c>
      <c r="Q1156" t="s">
        <v>30</v>
      </c>
      <c r="R1156" t="s">
        <v>31</v>
      </c>
      <c r="S1156" t="s">
        <v>104</v>
      </c>
    </row>
    <row r="1157" spans="1:19" x14ac:dyDescent="0.45">
      <c r="A1157" t="str">
        <f t="shared" si="69"/>
        <v>18801</v>
      </c>
      <c r="B1157" t="s">
        <v>1731</v>
      </c>
      <c r="C1157" t="str">
        <f t="shared" si="70"/>
        <v>18400</v>
      </c>
      <c r="D1157" t="s">
        <v>4425</v>
      </c>
      <c r="E1157" t="str">
        <f>"2798"</f>
        <v>2798</v>
      </c>
      <c r="F1157" t="s">
        <v>6571</v>
      </c>
      <c r="G1157" t="s">
        <v>22</v>
      </c>
      <c r="H1157">
        <v>5</v>
      </c>
      <c r="I1157" t="s">
        <v>6572</v>
      </c>
      <c r="K1157" t="s">
        <v>4428</v>
      </c>
      <c r="L1157" t="s">
        <v>25</v>
      </c>
      <c r="M1157" t="s">
        <v>6573</v>
      </c>
      <c r="N1157" t="s">
        <v>6574</v>
      </c>
      <c r="O1157" t="s">
        <v>6575</v>
      </c>
      <c r="P1157" t="s">
        <v>6576</v>
      </c>
      <c r="Q1157" t="s">
        <v>30</v>
      </c>
      <c r="R1157" t="s">
        <v>31</v>
      </c>
      <c r="S1157" t="s">
        <v>32</v>
      </c>
    </row>
    <row r="1158" spans="1:19" x14ac:dyDescent="0.45">
      <c r="A1158" t="str">
        <f t="shared" si="69"/>
        <v>18801</v>
      </c>
      <c r="B1158" t="s">
        <v>1731</v>
      </c>
      <c r="C1158" t="str">
        <f t="shared" si="70"/>
        <v>18400</v>
      </c>
      <c r="D1158" t="s">
        <v>4425</v>
      </c>
      <c r="E1158" t="str">
        <f>"2854"</f>
        <v>2854</v>
      </c>
      <c r="F1158" t="s">
        <v>6577</v>
      </c>
      <c r="G1158" t="s">
        <v>22</v>
      </c>
      <c r="H1158">
        <v>5</v>
      </c>
      <c r="I1158" t="s">
        <v>6578</v>
      </c>
      <c r="K1158" t="s">
        <v>2333</v>
      </c>
      <c r="L1158" t="s">
        <v>25</v>
      </c>
      <c r="M1158" t="s">
        <v>6579</v>
      </c>
      <c r="N1158" t="s">
        <v>6580</v>
      </c>
      <c r="O1158" t="s">
        <v>6581</v>
      </c>
      <c r="P1158" t="s">
        <v>6582</v>
      </c>
      <c r="Q1158" t="s">
        <v>30</v>
      </c>
      <c r="R1158" t="s">
        <v>31</v>
      </c>
      <c r="S1158" t="s">
        <v>32</v>
      </c>
    </row>
    <row r="1159" spans="1:19" x14ac:dyDescent="0.45">
      <c r="A1159" t="str">
        <f t="shared" si="69"/>
        <v>18801</v>
      </c>
      <c r="B1159" t="s">
        <v>1731</v>
      </c>
      <c r="C1159" t="str">
        <f t="shared" si="70"/>
        <v>18400</v>
      </c>
      <c r="D1159" t="s">
        <v>4425</v>
      </c>
      <c r="E1159" t="str">
        <f>"3126"</f>
        <v>3126</v>
      </c>
      <c r="F1159" t="s">
        <v>6583</v>
      </c>
      <c r="G1159">
        <v>6</v>
      </c>
      <c r="H1159">
        <v>8</v>
      </c>
      <c r="I1159" t="s">
        <v>6584</v>
      </c>
      <c r="K1159" t="s">
        <v>4428</v>
      </c>
      <c r="L1159" t="s">
        <v>25</v>
      </c>
      <c r="M1159" t="s">
        <v>6585</v>
      </c>
      <c r="N1159" t="s">
        <v>6586</v>
      </c>
      <c r="O1159" t="s">
        <v>6587</v>
      </c>
      <c r="P1159" t="s">
        <v>6588</v>
      </c>
      <c r="Q1159" t="s">
        <v>30</v>
      </c>
      <c r="R1159" t="s">
        <v>31</v>
      </c>
      <c r="S1159" t="s">
        <v>104</v>
      </c>
    </row>
    <row r="1160" spans="1:19" x14ac:dyDescent="0.45">
      <c r="A1160" t="str">
        <f t="shared" si="69"/>
        <v>18801</v>
      </c>
      <c r="B1160" t="s">
        <v>1731</v>
      </c>
      <c r="C1160" t="str">
        <f t="shared" si="70"/>
        <v>18400</v>
      </c>
      <c r="D1160" t="s">
        <v>4425</v>
      </c>
      <c r="E1160" t="str">
        <f>"3236"</f>
        <v>3236</v>
      </c>
      <c r="F1160" t="s">
        <v>6589</v>
      </c>
      <c r="G1160">
        <v>9</v>
      </c>
      <c r="H1160">
        <v>12</v>
      </c>
      <c r="I1160" t="s">
        <v>6590</v>
      </c>
      <c r="K1160" t="s">
        <v>2333</v>
      </c>
      <c r="L1160" t="s">
        <v>25</v>
      </c>
      <c r="M1160" t="s">
        <v>6591</v>
      </c>
      <c r="N1160" t="s">
        <v>6592</v>
      </c>
      <c r="O1160" t="s">
        <v>6593</v>
      </c>
      <c r="P1160" t="s">
        <v>6594</v>
      </c>
      <c r="Q1160" t="s">
        <v>30</v>
      </c>
      <c r="R1160" t="s">
        <v>31</v>
      </c>
      <c r="S1160" t="s">
        <v>58</v>
      </c>
    </row>
    <row r="1161" spans="1:19" x14ac:dyDescent="0.45">
      <c r="A1161" t="str">
        <f t="shared" si="69"/>
        <v>18801</v>
      </c>
      <c r="B1161" t="s">
        <v>1731</v>
      </c>
      <c r="C1161" t="str">
        <f t="shared" si="70"/>
        <v>18400</v>
      </c>
      <c r="D1161" t="s">
        <v>4425</v>
      </c>
      <c r="E1161" t="str">
        <f>"3391"</f>
        <v>3391</v>
      </c>
      <c r="F1161" t="s">
        <v>6595</v>
      </c>
      <c r="G1161" t="s">
        <v>22</v>
      </c>
      <c r="H1161">
        <v>5</v>
      </c>
      <c r="I1161" t="s">
        <v>6596</v>
      </c>
      <c r="K1161" t="s">
        <v>6597</v>
      </c>
      <c r="L1161" t="s">
        <v>25</v>
      </c>
      <c r="M1161" t="s">
        <v>6598</v>
      </c>
      <c r="N1161" t="s">
        <v>6599</v>
      </c>
      <c r="O1161" t="s">
        <v>6600</v>
      </c>
      <c r="P1161" t="s">
        <v>6601</v>
      </c>
      <c r="Q1161" t="s">
        <v>30</v>
      </c>
      <c r="R1161" t="s">
        <v>31</v>
      </c>
      <c r="S1161" t="s">
        <v>32</v>
      </c>
    </row>
    <row r="1162" spans="1:19" x14ac:dyDescent="0.45">
      <c r="A1162" t="str">
        <f t="shared" si="69"/>
        <v>18801</v>
      </c>
      <c r="B1162" t="s">
        <v>1731</v>
      </c>
      <c r="C1162" t="str">
        <f t="shared" si="70"/>
        <v>18400</v>
      </c>
      <c r="D1162" t="s">
        <v>4425</v>
      </c>
      <c r="E1162" t="str">
        <f>"4359"</f>
        <v>4359</v>
      </c>
      <c r="F1162" t="s">
        <v>6602</v>
      </c>
      <c r="G1162">
        <v>6</v>
      </c>
      <c r="H1162">
        <v>8</v>
      </c>
      <c r="I1162" t="s">
        <v>6603</v>
      </c>
      <c r="K1162" t="s">
        <v>4428</v>
      </c>
      <c r="L1162" t="s">
        <v>25</v>
      </c>
      <c r="M1162" t="s">
        <v>6604</v>
      </c>
      <c r="N1162" t="s">
        <v>6605</v>
      </c>
      <c r="O1162" t="s">
        <v>6606</v>
      </c>
      <c r="P1162" t="s">
        <v>6607</v>
      </c>
      <c r="Q1162" t="s">
        <v>30</v>
      </c>
      <c r="R1162" t="s">
        <v>31</v>
      </c>
      <c r="S1162" t="s">
        <v>6608</v>
      </c>
    </row>
    <row r="1163" spans="1:19" x14ac:dyDescent="0.45">
      <c r="A1163" t="str">
        <f t="shared" si="69"/>
        <v>18801</v>
      </c>
      <c r="B1163" t="s">
        <v>1731</v>
      </c>
      <c r="C1163" t="str">
        <f t="shared" si="70"/>
        <v>18400</v>
      </c>
      <c r="D1163" t="s">
        <v>4425</v>
      </c>
      <c r="E1163" t="str">
        <f>"4461"</f>
        <v>4461</v>
      </c>
      <c r="F1163" t="s">
        <v>6609</v>
      </c>
      <c r="G1163" t="s">
        <v>22</v>
      </c>
      <c r="H1163">
        <v>5</v>
      </c>
      <c r="I1163" t="s">
        <v>6610</v>
      </c>
      <c r="K1163" t="s">
        <v>2333</v>
      </c>
      <c r="L1163" t="s">
        <v>25</v>
      </c>
      <c r="M1163" t="s">
        <v>6611</v>
      </c>
      <c r="N1163" t="s">
        <v>6612</v>
      </c>
      <c r="O1163" t="s">
        <v>6613</v>
      </c>
      <c r="P1163" t="s">
        <v>6614</v>
      </c>
      <c r="Q1163" t="s">
        <v>30</v>
      </c>
      <c r="R1163" t="s">
        <v>31</v>
      </c>
      <c r="S1163" t="s">
        <v>32</v>
      </c>
    </row>
    <row r="1164" spans="1:19" x14ac:dyDescent="0.45">
      <c r="A1164" t="str">
        <f t="shared" si="69"/>
        <v>18801</v>
      </c>
      <c r="B1164" t="s">
        <v>1731</v>
      </c>
      <c r="C1164" t="str">
        <f t="shared" si="70"/>
        <v>18400</v>
      </c>
      <c r="D1164" t="s">
        <v>4425</v>
      </c>
      <c r="E1164" t="str">
        <f>"4467"</f>
        <v>4467</v>
      </c>
      <c r="F1164" t="s">
        <v>6615</v>
      </c>
      <c r="G1164" t="s">
        <v>22</v>
      </c>
      <c r="H1164">
        <v>5</v>
      </c>
      <c r="I1164" t="s">
        <v>6584</v>
      </c>
      <c r="K1164" t="s">
        <v>4428</v>
      </c>
      <c r="L1164" t="s">
        <v>25</v>
      </c>
      <c r="M1164" t="s">
        <v>6585</v>
      </c>
      <c r="N1164" t="s">
        <v>6586</v>
      </c>
      <c r="O1164" t="s">
        <v>6587</v>
      </c>
      <c r="P1164" t="s">
        <v>6616</v>
      </c>
      <c r="Q1164" t="s">
        <v>30</v>
      </c>
      <c r="R1164" t="s">
        <v>31</v>
      </c>
      <c r="S1164" t="s">
        <v>32</v>
      </c>
    </row>
    <row r="1165" spans="1:19" x14ac:dyDescent="0.45">
      <c r="A1165" t="str">
        <f t="shared" si="69"/>
        <v>18801</v>
      </c>
      <c r="B1165" t="s">
        <v>1731</v>
      </c>
      <c r="C1165" t="str">
        <f t="shared" ref="C1165:C1182" si="71">"18401"</f>
        <v>18401</v>
      </c>
      <c r="D1165" t="s">
        <v>3058</v>
      </c>
      <c r="E1165" t="str">
        <f>"2615"</f>
        <v>2615</v>
      </c>
      <c r="F1165" t="s">
        <v>6617</v>
      </c>
      <c r="G1165">
        <v>9</v>
      </c>
      <c r="H1165">
        <v>12</v>
      </c>
      <c r="I1165" t="s">
        <v>6618</v>
      </c>
      <c r="K1165" t="s">
        <v>6619</v>
      </c>
      <c r="L1165" t="s">
        <v>25</v>
      </c>
      <c r="M1165">
        <v>98383</v>
      </c>
      <c r="N1165" t="s">
        <v>6620</v>
      </c>
      <c r="O1165" t="s">
        <v>6621</v>
      </c>
      <c r="P1165" t="s">
        <v>6622</v>
      </c>
      <c r="Q1165" t="s">
        <v>30</v>
      </c>
      <c r="R1165" t="s">
        <v>31</v>
      </c>
      <c r="S1165" t="s">
        <v>58</v>
      </c>
    </row>
    <row r="1166" spans="1:19" x14ac:dyDescent="0.45">
      <c r="A1166" t="str">
        <f t="shared" si="69"/>
        <v>18801</v>
      </c>
      <c r="B1166" t="s">
        <v>1731</v>
      </c>
      <c r="C1166" t="str">
        <f t="shared" si="71"/>
        <v>18401</v>
      </c>
      <c r="D1166" t="s">
        <v>3058</v>
      </c>
      <c r="E1166" t="str">
        <f>"2994"</f>
        <v>2994</v>
      </c>
      <c r="F1166" t="s">
        <v>6623</v>
      </c>
      <c r="G1166" t="s">
        <v>22</v>
      </c>
      <c r="H1166">
        <v>5</v>
      </c>
      <c r="I1166" t="s">
        <v>6624</v>
      </c>
      <c r="K1166" t="s">
        <v>6625</v>
      </c>
      <c r="L1166" t="s">
        <v>25</v>
      </c>
      <c r="M1166">
        <v>98311</v>
      </c>
      <c r="N1166" t="s">
        <v>6626</v>
      </c>
      <c r="O1166" t="s">
        <v>6627</v>
      </c>
      <c r="P1166" t="s">
        <v>6628</v>
      </c>
      <c r="Q1166" t="s">
        <v>30</v>
      </c>
      <c r="R1166" t="s">
        <v>31</v>
      </c>
      <c r="S1166" t="s">
        <v>32</v>
      </c>
    </row>
    <row r="1167" spans="1:19" x14ac:dyDescent="0.45">
      <c r="A1167" t="str">
        <f t="shared" si="69"/>
        <v>18801</v>
      </c>
      <c r="B1167" t="s">
        <v>1731</v>
      </c>
      <c r="C1167" t="str">
        <f t="shared" si="71"/>
        <v>18401</v>
      </c>
      <c r="D1167" t="s">
        <v>3058</v>
      </c>
      <c r="E1167" t="str">
        <f>"3237"</f>
        <v>3237</v>
      </c>
      <c r="F1167" t="s">
        <v>6629</v>
      </c>
      <c r="G1167">
        <v>6</v>
      </c>
      <c r="H1167">
        <v>8</v>
      </c>
      <c r="I1167" t="s">
        <v>6630</v>
      </c>
      <c r="K1167" t="s">
        <v>6619</v>
      </c>
      <c r="L1167" t="s">
        <v>25</v>
      </c>
      <c r="M1167" t="s">
        <v>6631</v>
      </c>
      <c r="N1167" t="s">
        <v>6632</v>
      </c>
      <c r="O1167" t="s">
        <v>6633</v>
      </c>
      <c r="P1167" t="s">
        <v>6634</v>
      </c>
      <c r="Q1167" t="s">
        <v>30</v>
      </c>
      <c r="R1167" t="s">
        <v>31</v>
      </c>
      <c r="S1167" t="s">
        <v>104</v>
      </c>
    </row>
    <row r="1168" spans="1:19" x14ac:dyDescent="0.45">
      <c r="A1168" t="str">
        <f t="shared" si="69"/>
        <v>18801</v>
      </c>
      <c r="B1168" t="s">
        <v>1731</v>
      </c>
      <c r="C1168" t="str">
        <f t="shared" si="71"/>
        <v>18401</v>
      </c>
      <c r="D1168" t="s">
        <v>3058</v>
      </c>
      <c r="E1168" t="str">
        <f>"3594"</f>
        <v>3594</v>
      </c>
      <c r="F1168" t="s">
        <v>6635</v>
      </c>
      <c r="G1168" t="s">
        <v>22</v>
      </c>
      <c r="H1168">
        <v>5</v>
      </c>
      <c r="I1168" t="s">
        <v>6636</v>
      </c>
      <c r="K1168" t="s">
        <v>6625</v>
      </c>
      <c r="L1168" t="s">
        <v>25</v>
      </c>
      <c r="M1168">
        <v>98312</v>
      </c>
      <c r="N1168" t="s">
        <v>6637</v>
      </c>
      <c r="O1168" t="s">
        <v>6638</v>
      </c>
      <c r="P1168" t="s">
        <v>6639</v>
      </c>
      <c r="Q1168" t="s">
        <v>30</v>
      </c>
      <c r="R1168" t="s">
        <v>31</v>
      </c>
      <c r="S1168" t="s">
        <v>32</v>
      </c>
    </row>
    <row r="1169" spans="1:19" x14ac:dyDescent="0.45">
      <c r="A1169" t="str">
        <f t="shared" si="69"/>
        <v>18801</v>
      </c>
      <c r="B1169" t="s">
        <v>1731</v>
      </c>
      <c r="C1169" t="str">
        <f t="shared" si="71"/>
        <v>18401</v>
      </c>
      <c r="D1169" t="s">
        <v>3058</v>
      </c>
      <c r="E1169" t="str">
        <f>"3791"</f>
        <v>3791</v>
      </c>
      <c r="F1169" t="s">
        <v>6640</v>
      </c>
      <c r="G1169">
        <v>6</v>
      </c>
      <c r="H1169">
        <v>8</v>
      </c>
      <c r="I1169" t="s">
        <v>6641</v>
      </c>
      <c r="K1169" t="s">
        <v>6625</v>
      </c>
      <c r="L1169" t="s">
        <v>25</v>
      </c>
      <c r="M1169">
        <v>98310</v>
      </c>
      <c r="N1169" t="s">
        <v>6642</v>
      </c>
      <c r="O1169" t="s">
        <v>6643</v>
      </c>
      <c r="P1169" t="s">
        <v>6644</v>
      </c>
      <c r="Q1169" t="s">
        <v>30</v>
      </c>
      <c r="R1169" t="s">
        <v>31</v>
      </c>
      <c r="S1169" t="s">
        <v>104</v>
      </c>
    </row>
    <row r="1170" spans="1:19" x14ac:dyDescent="0.45">
      <c r="A1170" t="str">
        <f t="shared" si="69"/>
        <v>18801</v>
      </c>
      <c r="B1170" t="s">
        <v>1731</v>
      </c>
      <c r="C1170" t="str">
        <f t="shared" si="71"/>
        <v>18401</v>
      </c>
      <c r="D1170" t="s">
        <v>3058</v>
      </c>
      <c r="E1170" t="str">
        <f>"4014"</f>
        <v>4014</v>
      </c>
      <c r="F1170" t="s">
        <v>6645</v>
      </c>
      <c r="G1170" t="s">
        <v>22</v>
      </c>
      <c r="H1170">
        <v>5</v>
      </c>
      <c r="I1170" t="s">
        <v>6646</v>
      </c>
      <c r="K1170" t="s">
        <v>6625</v>
      </c>
      <c r="L1170" t="s">
        <v>25</v>
      </c>
      <c r="M1170">
        <v>98311</v>
      </c>
      <c r="N1170" t="s">
        <v>6647</v>
      </c>
      <c r="O1170" t="s">
        <v>6648</v>
      </c>
      <c r="P1170" t="s">
        <v>6649</v>
      </c>
      <c r="Q1170" t="s">
        <v>30</v>
      </c>
      <c r="R1170" t="s">
        <v>31</v>
      </c>
      <c r="S1170" t="s">
        <v>32</v>
      </c>
    </row>
    <row r="1171" spans="1:19" x14ac:dyDescent="0.45">
      <c r="A1171" t="str">
        <f t="shared" si="69"/>
        <v>18801</v>
      </c>
      <c r="B1171" t="s">
        <v>1731</v>
      </c>
      <c r="C1171" t="str">
        <f t="shared" si="71"/>
        <v>18401</v>
      </c>
      <c r="D1171" t="s">
        <v>3058</v>
      </c>
      <c r="E1171" t="str">
        <f>"4015"</f>
        <v>4015</v>
      </c>
      <c r="F1171" t="s">
        <v>6650</v>
      </c>
      <c r="G1171" t="s">
        <v>22</v>
      </c>
      <c r="H1171">
        <v>5</v>
      </c>
      <c r="I1171" t="s">
        <v>6651</v>
      </c>
      <c r="K1171" t="s">
        <v>6625</v>
      </c>
      <c r="L1171" t="s">
        <v>25</v>
      </c>
      <c r="M1171">
        <v>98311</v>
      </c>
      <c r="N1171" t="s">
        <v>6652</v>
      </c>
      <c r="O1171" t="s">
        <v>6653</v>
      </c>
      <c r="P1171" t="s">
        <v>6654</v>
      </c>
      <c r="Q1171" t="s">
        <v>30</v>
      </c>
      <c r="R1171" t="s">
        <v>31</v>
      </c>
      <c r="S1171" t="s">
        <v>32</v>
      </c>
    </row>
    <row r="1172" spans="1:19" x14ac:dyDescent="0.45">
      <c r="A1172" t="str">
        <f t="shared" si="69"/>
        <v>18801</v>
      </c>
      <c r="B1172" t="s">
        <v>1731</v>
      </c>
      <c r="C1172" t="str">
        <f t="shared" si="71"/>
        <v>18401</v>
      </c>
      <c r="D1172" t="s">
        <v>3058</v>
      </c>
      <c r="E1172" t="str">
        <f>"4016"</f>
        <v>4016</v>
      </c>
      <c r="F1172" t="s">
        <v>6655</v>
      </c>
      <c r="G1172" t="s">
        <v>22</v>
      </c>
      <c r="H1172">
        <v>5</v>
      </c>
      <c r="I1172" t="s">
        <v>6656</v>
      </c>
      <c r="K1172" t="s">
        <v>6619</v>
      </c>
      <c r="L1172" t="s">
        <v>25</v>
      </c>
      <c r="M1172" t="s">
        <v>6657</v>
      </c>
      <c r="N1172" t="s">
        <v>6658</v>
      </c>
      <c r="O1172" t="s">
        <v>6659</v>
      </c>
      <c r="P1172" t="s">
        <v>6660</v>
      </c>
      <c r="Q1172" t="s">
        <v>30</v>
      </c>
      <c r="R1172" t="s">
        <v>31</v>
      </c>
      <c r="S1172" t="s">
        <v>32</v>
      </c>
    </row>
    <row r="1173" spans="1:19" x14ac:dyDescent="0.45">
      <c r="A1173" t="str">
        <f t="shared" si="69"/>
        <v>18801</v>
      </c>
      <c r="B1173" t="s">
        <v>1731</v>
      </c>
      <c r="C1173" t="str">
        <f t="shared" si="71"/>
        <v>18401</v>
      </c>
      <c r="D1173" t="s">
        <v>3058</v>
      </c>
      <c r="E1173" t="str">
        <f>"4100"</f>
        <v>4100</v>
      </c>
      <c r="F1173" t="s">
        <v>6661</v>
      </c>
      <c r="G1173">
        <v>9</v>
      </c>
      <c r="H1173">
        <v>12</v>
      </c>
      <c r="I1173" t="s">
        <v>6662</v>
      </c>
      <c r="K1173" t="s">
        <v>6625</v>
      </c>
      <c r="L1173" t="s">
        <v>25</v>
      </c>
      <c r="M1173">
        <v>98311</v>
      </c>
      <c r="N1173" t="s">
        <v>6663</v>
      </c>
      <c r="O1173" t="s">
        <v>6664</v>
      </c>
      <c r="P1173" t="s">
        <v>6665</v>
      </c>
      <c r="Q1173" t="s">
        <v>30</v>
      </c>
      <c r="R1173" t="s">
        <v>31</v>
      </c>
      <c r="S1173" t="s">
        <v>58</v>
      </c>
    </row>
    <row r="1174" spans="1:19" x14ac:dyDescent="0.45">
      <c r="A1174" t="str">
        <f t="shared" si="69"/>
        <v>18801</v>
      </c>
      <c r="B1174" t="s">
        <v>1731</v>
      </c>
      <c r="C1174" t="str">
        <f t="shared" si="71"/>
        <v>18401</v>
      </c>
      <c r="D1174" t="s">
        <v>3058</v>
      </c>
      <c r="E1174" t="str">
        <f>"4101"</f>
        <v>4101</v>
      </c>
      <c r="F1174" t="s">
        <v>6666</v>
      </c>
      <c r="G1174" t="s">
        <v>22</v>
      </c>
      <c r="H1174">
        <v>5</v>
      </c>
      <c r="I1174" t="s">
        <v>6667</v>
      </c>
      <c r="K1174" t="s">
        <v>6619</v>
      </c>
      <c r="L1174" t="s">
        <v>25</v>
      </c>
      <c r="M1174" t="s">
        <v>6631</v>
      </c>
      <c r="N1174" t="s">
        <v>6668</v>
      </c>
      <c r="O1174" t="s">
        <v>6669</v>
      </c>
      <c r="P1174" t="s">
        <v>6670</v>
      </c>
      <c r="Q1174" t="s">
        <v>30</v>
      </c>
      <c r="R1174" t="s">
        <v>31</v>
      </c>
      <c r="S1174" t="s">
        <v>32</v>
      </c>
    </row>
    <row r="1175" spans="1:19" x14ac:dyDescent="0.45">
      <c r="A1175" t="str">
        <f t="shared" si="69"/>
        <v>18801</v>
      </c>
      <c r="B1175" t="s">
        <v>1731</v>
      </c>
      <c r="C1175" t="str">
        <f t="shared" si="71"/>
        <v>18401</v>
      </c>
      <c r="D1175" t="s">
        <v>3058</v>
      </c>
      <c r="E1175" t="str">
        <f>"4135"</f>
        <v>4135</v>
      </c>
      <c r="F1175" t="s">
        <v>6671</v>
      </c>
      <c r="G1175" t="s">
        <v>70</v>
      </c>
      <c r="H1175">
        <v>5</v>
      </c>
      <c r="I1175" t="s">
        <v>6672</v>
      </c>
      <c r="K1175" t="s">
        <v>6625</v>
      </c>
      <c r="L1175" t="s">
        <v>25</v>
      </c>
      <c r="M1175">
        <v>98311</v>
      </c>
      <c r="N1175" t="s">
        <v>6673</v>
      </c>
      <c r="O1175" t="s">
        <v>6674</v>
      </c>
      <c r="P1175" t="s">
        <v>6675</v>
      </c>
      <c r="Q1175" t="s">
        <v>30</v>
      </c>
      <c r="R1175" t="s">
        <v>31</v>
      </c>
      <c r="S1175" t="s">
        <v>32</v>
      </c>
    </row>
    <row r="1176" spans="1:19" x14ac:dyDescent="0.45">
      <c r="A1176" t="str">
        <f t="shared" si="69"/>
        <v>18801</v>
      </c>
      <c r="B1176" t="s">
        <v>1731</v>
      </c>
      <c r="C1176" t="str">
        <f t="shared" si="71"/>
        <v>18401</v>
      </c>
      <c r="D1176" t="s">
        <v>3058</v>
      </c>
      <c r="E1176" t="str">
        <f>"4249"</f>
        <v>4249</v>
      </c>
      <c r="F1176" t="s">
        <v>6676</v>
      </c>
      <c r="G1176">
        <v>6</v>
      </c>
      <c r="H1176">
        <v>8</v>
      </c>
      <c r="I1176" t="s">
        <v>6677</v>
      </c>
      <c r="K1176" t="s">
        <v>6619</v>
      </c>
      <c r="L1176" t="s">
        <v>25</v>
      </c>
      <c r="M1176" t="s">
        <v>6631</v>
      </c>
      <c r="N1176" t="s">
        <v>6678</v>
      </c>
      <c r="O1176" t="s">
        <v>6679</v>
      </c>
      <c r="P1176" t="s">
        <v>6680</v>
      </c>
      <c r="Q1176" t="s">
        <v>30</v>
      </c>
      <c r="R1176" t="s">
        <v>31</v>
      </c>
      <c r="S1176" t="s">
        <v>104</v>
      </c>
    </row>
    <row r="1177" spans="1:19" x14ac:dyDescent="0.45">
      <c r="A1177" t="str">
        <f t="shared" si="69"/>
        <v>18801</v>
      </c>
      <c r="B1177" t="s">
        <v>1731</v>
      </c>
      <c r="C1177" t="str">
        <f t="shared" si="71"/>
        <v>18401</v>
      </c>
      <c r="D1177" t="s">
        <v>3058</v>
      </c>
      <c r="E1177" t="str">
        <f>"4341"</f>
        <v>4341</v>
      </c>
      <c r="F1177" t="s">
        <v>6681</v>
      </c>
      <c r="G1177" t="s">
        <v>22</v>
      </c>
      <c r="H1177">
        <v>5</v>
      </c>
      <c r="I1177" t="s">
        <v>6682</v>
      </c>
      <c r="K1177" t="s">
        <v>6619</v>
      </c>
      <c r="L1177" t="s">
        <v>25</v>
      </c>
      <c r="M1177" t="s">
        <v>6631</v>
      </c>
      <c r="N1177" t="s">
        <v>6637</v>
      </c>
      <c r="O1177" t="s">
        <v>6683</v>
      </c>
      <c r="P1177" t="s">
        <v>6684</v>
      </c>
      <c r="Q1177" t="s">
        <v>30</v>
      </c>
      <c r="R1177" t="s">
        <v>31</v>
      </c>
      <c r="S1177" t="s">
        <v>32</v>
      </c>
    </row>
    <row r="1178" spans="1:19" x14ac:dyDescent="0.45">
      <c r="A1178" t="str">
        <f t="shared" si="69"/>
        <v>18801</v>
      </c>
      <c r="B1178" t="s">
        <v>1731</v>
      </c>
      <c r="C1178" t="str">
        <f t="shared" si="71"/>
        <v>18401</v>
      </c>
      <c r="D1178" t="s">
        <v>3058</v>
      </c>
      <c r="E1178" t="str">
        <f>"4372"</f>
        <v>4372</v>
      </c>
      <c r="F1178" t="s">
        <v>6685</v>
      </c>
      <c r="G1178" t="s">
        <v>22</v>
      </c>
      <c r="H1178">
        <v>5</v>
      </c>
      <c r="I1178" t="s">
        <v>6686</v>
      </c>
      <c r="K1178" t="s">
        <v>6619</v>
      </c>
      <c r="L1178" t="s">
        <v>25</v>
      </c>
      <c r="M1178" t="s">
        <v>6631</v>
      </c>
      <c r="N1178" t="s">
        <v>6687</v>
      </c>
      <c r="O1178" t="s">
        <v>6688</v>
      </c>
      <c r="P1178" t="s">
        <v>6689</v>
      </c>
      <c r="Q1178" t="s">
        <v>30</v>
      </c>
      <c r="R1178" t="s">
        <v>31</v>
      </c>
      <c r="S1178" t="s">
        <v>32</v>
      </c>
    </row>
    <row r="1179" spans="1:19" x14ac:dyDescent="0.45">
      <c r="A1179" t="str">
        <f t="shared" si="69"/>
        <v>18801</v>
      </c>
      <c r="B1179" t="s">
        <v>1731</v>
      </c>
      <c r="C1179" t="str">
        <f t="shared" si="71"/>
        <v>18401</v>
      </c>
      <c r="D1179" t="s">
        <v>3058</v>
      </c>
      <c r="E1179" t="str">
        <f>"4393"</f>
        <v>4393</v>
      </c>
      <c r="F1179" t="s">
        <v>6690</v>
      </c>
      <c r="G1179" t="s">
        <v>22</v>
      </c>
      <c r="H1179">
        <v>5</v>
      </c>
      <c r="I1179" t="s">
        <v>6691</v>
      </c>
      <c r="K1179" t="s">
        <v>6625</v>
      </c>
      <c r="L1179" t="s">
        <v>25</v>
      </c>
      <c r="M1179">
        <v>98312</v>
      </c>
      <c r="N1179" t="s">
        <v>6692</v>
      </c>
      <c r="O1179" t="s">
        <v>6693</v>
      </c>
      <c r="P1179" t="s">
        <v>6694</v>
      </c>
      <c r="Q1179" t="s">
        <v>30</v>
      </c>
      <c r="R1179" t="s">
        <v>31</v>
      </c>
      <c r="S1179" t="s">
        <v>32</v>
      </c>
    </row>
    <row r="1180" spans="1:19" x14ac:dyDescent="0.45">
      <c r="A1180" t="str">
        <f t="shared" si="69"/>
        <v>18801</v>
      </c>
      <c r="B1180" t="s">
        <v>1731</v>
      </c>
      <c r="C1180" t="str">
        <f t="shared" si="71"/>
        <v>18401</v>
      </c>
      <c r="D1180" t="s">
        <v>3058</v>
      </c>
      <c r="E1180" t="str">
        <f>"4444"</f>
        <v>4444</v>
      </c>
      <c r="F1180" t="s">
        <v>6695</v>
      </c>
      <c r="G1180" t="s">
        <v>22</v>
      </c>
      <c r="H1180">
        <v>5</v>
      </c>
      <c r="I1180" t="s">
        <v>6696</v>
      </c>
      <c r="K1180" t="s">
        <v>6619</v>
      </c>
      <c r="L1180" t="s">
        <v>25</v>
      </c>
      <c r="M1180" t="s">
        <v>6631</v>
      </c>
      <c r="N1180" t="s">
        <v>6697</v>
      </c>
      <c r="O1180" t="s">
        <v>6698</v>
      </c>
      <c r="P1180" t="s">
        <v>6699</v>
      </c>
      <c r="Q1180" t="s">
        <v>30</v>
      </c>
      <c r="R1180" t="s">
        <v>31</v>
      </c>
      <c r="S1180" t="s">
        <v>32</v>
      </c>
    </row>
    <row r="1181" spans="1:19" x14ac:dyDescent="0.45">
      <c r="A1181" t="str">
        <f t="shared" si="69"/>
        <v>18801</v>
      </c>
      <c r="B1181" t="s">
        <v>1731</v>
      </c>
      <c r="C1181" t="str">
        <f t="shared" si="71"/>
        <v>18401</v>
      </c>
      <c r="D1181" t="s">
        <v>3058</v>
      </c>
      <c r="E1181" t="str">
        <f>"4509"</f>
        <v>4509</v>
      </c>
      <c r="F1181" t="s">
        <v>6700</v>
      </c>
      <c r="G1181">
        <v>6</v>
      </c>
      <c r="H1181">
        <v>12</v>
      </c>
      <c r="I1181" t="s">
        <v>6701</v>
      </c>
      <c r="K1181" t="s">
        <v>6619</v>
      </c>
      <c r="L1181" t="s">
        <v>25</v>
      </c>
      <c r="M1181" t="s">
        <v>6631</v>
      </c>
      <c r="N1181" t="s">
        <v>6702</v>
      </c>
      <c r="O1181" t="s">
        <v>6703</v>
      </c>
      <c r="P1181" t="s">
        <v>6704</v>
      </c>
      <c r="Q1181" t="s">
        <v>30</v>
      </c>
      <c r="R1181" t="s">
        <v>31</v>
      </c>
      <c r="S1181" t="s">
        <v>159</v>
      </c>
    </row>
    <row r="1182" spans="1:19" x14ac:dyDescent="0.45">
      <c r="A1182" t="str">
        <f t="shared" si="69"/>
        <v>18801</v>
      </c>
      <c r="B1182" t="s">
        <v>1731</v>
      </c>
      <c r="C1182" t="str">
        <f t="shared" si="71"/>
        <v>18401</v>
      </c>
      <c r="D1182" t="s">
        <v>3058</v>
      </c>
      <c r="E1182" t="str">
        <f>"4527"</f>
        <v>4527</v>
      </c>
      <c r="F1182" t="s">
        <v>6705</v>
      </c>
      <c r="G1182" t="s">
        <v>22</v>
      </c>
      <c r="H1182">
        <v>5</v>
      </c>
      <c r="I1182" t="s">
        <v>6706</v>
      </c>
      <c r="K1182" t="s">
        <v>6625</v>
      </c>
      <c r="L1182" t="s">
        <v>25</v>
      </c>
      <c r="M1182">
        <v>98311</v>
      </c>
      <c r="N1182" t="s">
        <v>6707</v>
      </c>
      <c r="O1182" t="s">
        <v>6708</v>
      </c>
      <c r="P1182" t="s">
        <v>6709</v>
      </c>
      <c r="Q1182" t="s">
        <v>30</v>
      </c>
      <c r="R1182" t="s">
        <v>31</v>
      </c>
      <c r="S1182" t="s">
        <v>32</v>
      </c>
    </row>
    <row r="1183" spans="1:19" x14ac:dyDescent="0.45">
      <c r="A1183" t="str">
        <f t="shared" si="69"/>
        <v>18801</v>
      </c>
      <c r="B1183" t="s">
        <v>1731</v>
      </c>
      <c r="C1183" t="str">
        <f t="shared" ref="C1183:C1189" si="72">"18402"</f>
        <v>18402</v>
      </c>
      <c r="D1183" t="s">
        <v>4504</v>
      </c>
      <c r="E1183" t="str">
        <f>"1718"</f>
        <v>1718</v>
      </c>
      <c r="F1183" t="s">
        <v>6710</v>
      </c>
      <c r="G1183" t="s">
        <v>70</v>
      </c>
      <c r="H1183">
        <v>12</v>
      </c>
      <c r="I1183" t="s">
        <v>6711</v>
      </c>
      <c r="K1183" t="s">
        <v>6712</v>
      </c>
      <c r="L1183" t="s">
        <v>25</v>
      </c>
      <c r="M1183" t="s">
        <v>6713</v>
      </c>
      <c r="N1183" t="s">
        <v>6714</v>
      </c>
      <c r="O1183" t="s">
        <v>6715</v>
      </c>
      <c r="P1183" t="s">
        <v>6716</v>
      </c>
      <c r="Q1183" t="s">
        <v>157</v>
      </c>
      <c r="R1183" t="s">
        <v>158</v>
      </c>
      <c r="S1183" t="s">
        <v>330</v>
      </c>
    </row>
    <row r="1184" spans="1:19" x14ac:dyDescent="0.45">
      <c r="A1184" t="str">
        <f t="shared" si="69"/>
        <v>18801</v>
      </c>
      <c r="B1184" t="s">
        <v>1731</v>
      </c>
      <c r="C1184" t="str">
        <f t="shared" si="72"/>
        <v>18402</v>
      </c>
      <c r="D1184" t="s">
        <v>4504</v>
      </c>
      <c r="E1184" t="str">
        <f>"2272"</f>
        <v>2272</v>
      </c>
      <c r="F1184" t="s">
        <v>6717</v>
      </c>
      <c r="G1184">
        <v>9</v>
      </c>
      <c r="H1184">
        <v>12</v>
      </c>
      <c r="I1184" t="s">
        <v>6718</v>
      </c>
      <c r="K1184" t="s">
        <v>6712</v>
      </c>
      <c r="L1184" t="s">
        <v>25</v>
      </c>
      <c r="M1184" t="s">
        <v>6713</v>
      </c>
      <c r="N1184" t="s">
        <v>6719</v>
      </c>
      <c r="O1184" t="s">
        <v>6720</v>
      </c>
      <c r="P1184" t="s">
        <v>6721</v>
      </c>
      <c r="Q1184" t="s">
        <v>30</v>
      </c>
      <c r="R1184" t="s">
        <v>31</v>
      </c>
      <c r="S1184" t="s">
        <v>58</v>
      </c>
    </row>
    <row r="1185" spans="1:19" x14ac:dyDescent="0.45">
      <c r="A1185" t="str">
        <f t="shared" si="69"/>
        <v>18801</v>
      </c>
      <c r="B1185" t="s">
        <v>1731</v>
      </c>
      <c r="C1185" t="str">
        <f t="shared" si="72"/>
        <v>18402</v>
      </c>
      <c r="D1185" t="s">
        <v>4504</v>
      </c>
      <c r="E1185" t="str">
        <f>"2641"</f>
        <v>2641</v>
      </c>
      <c r="F1185" t="s">
        <v>6722</v>
      </c>
      <c r="G1185" t="s">
        <v>22</v>
      </c>
      <c r="H1185">
        <v>5</v>
      </c>
      <c r="I1185" t="s">
        <v>6723</v>
      </c>
      <c r="K1185" t="s">
        <v>6712</v>
      </c>
      <c r="L1185" t="s">
        <v>25</v>
      </c>
      <c r="M1185" t="s">
        <v>6713</v>
      </c>
      <c r="N1185" t="s">
        <v>6724</v>
      </c>
      <c r="O1185" t="s">
        <v>6725</v>
      </c>
      <c r="P1185" t="s">
        <v>6726</v>
      </c>
      <c r="Q1185" t="s">
        <v>30</v>
      </c>
      <c r="R1185" t="s">
        <v>31</v>
      </c>
      <c r="S1185" t="s">
        <v>32</v>
      </c>
    </row>
    <row r="1186" spans="1:19" x14ac:dyDescent="0.45">
      <c r="A1186" t="str">
        <f t="shared" si="69"/>
        <v>18801</v>
      </c>
      <c r="B1186" t="s">
        <v>1731</v>
      </c>
      <c r="C1186" t="str">
        <f t="shared" si="72"/>
        <v>18402</v>
      </c>
      <c r="D1186" t="s">
        <v>4504</v>
      </c>
      <c r="E1186" t="str">
        <f>"2650"</f>
        <v>2650</v>
      </c>
      <c r="F1186" t="s">
        <v>6727</v>
      </c>
      <c r="G1186" t="s">
        <v>22</v>
      </c>
      <c r="H1186">
        <v>5</v>
      </c>
      <c r="I1186" t="s">
        <v>6728</v>
      </c>
      <c r="K1186" t="s">
        <v>6712</v>
      </c>
      <c r="L1186" t="s">
        <v>25</v>
      </c>
      <c r="M1186" t="s">
        <v>6713</v>
      </c>
      <c r="N1186" t="s">
        <v>6729</v>
      </c>
      <c r="O1186" t="s">
        <v>6730</v>
      </c>
      <c r="P1186" t="s">
        <v>6731</v>
      </c>
      <c r="Q1186" t="s">
        <v>30</v>
      </c>
      <c r="R1186" t="s">
        <v>31</v>
      </c>
      <c r="S1186" t="s">
        <v>32</v>
      </c>
    </row>
    <row r="1187" spans="1:19" x14ac:dyDescent="0.45">
      <c r="A1187" t="str">
        <f t="shared" si="69"/>
        <v>18801</v>
      </c>
      <c r="B1187" t="s">
        <v>1731</v>
      </c>
      <c r="C1187" t="str">
        <f t="shared" si="72"/>
        <v>18402</v>
      </c>
      <c r="D1187" t="s">
        <v>4504</v>
      </c>
      <c r="E1187" t="str">
        <f>"2995"</f>
        <v>2995</v>
      </c>
      <c r="F1187" t="s">
        <v>6732</v>
      </c>
      <c r="G1187" t="s">
        <v>22</v>
      </c>
      <c r="H1187">
        <v>5</v>
      </c>
      <c r="I1187" t="s">
        <v>6733</v>
      </c>
      <c r="K1187" t="s">
        <v>6712</v>
      </c>
      <c r="L1187" t="s">
        <v>25</v>
      </c>
      <c r="M1187" t="s">
        <v>6734</v>
      </c>
      <c r="N1187" t="s">
        <v>6735</v>
      </c>
      <c r="O1187" t="s">
        <v>6736</v>
      </c>
      <c r="P1187" t="s">
        <v>6737</v>
      </c>
      <c r="Q1187" t="s">
        <v>30</v>
      </c>
      <c r="R1187" t="s">
        <v>31</v>
      </c>
      <c r="S1187" t="s">
        <v>32</v>
      </c>
    </row>
    <row r="1188" spans="1:19" x14ac:dyDescent="0.45">
      <c r="A1188" t="str">
        <f t="shared" si="69"/>
        <v>18801</v>
      </c>
      <c r="B1188" t="s">
        <v>1731</v>
      </c>
      <c r="C1188" t="str">
        <f t="shared" si="72"/>
        <v>18402</v>
      </c>
      <c r="D1188" t="s">
        <v>4504</v>
      </c>
      <c r="E1188" t="str">
        <f>"3046"</f>
        <v>3046</v>
      </c>
      <c r="F1188" t="s">
        <v>6738</v>
      </c>
      <c r="G1188">
        <v>6</v>
      </c>
      <c r="H1188">
        <v>8</v>
      </c>
      <c r="I1188" t="s">
        <v>6739</v>
      </c>
      <c r="K1188" t="s">
        <v>6712</v>
      </c>
      <c r="L1188" t="s">
        <v>25</v>
      </c>
      <c r="M1188" t="s">
        <v>6713</v>
      </c>
      <c r="N1188" t="s">
        <v>6740</v>
      </c>
      <c r="O1188" t="s">
        <v>6741</v>
      </c>
      <c r="P1188" t="s">
        <v>6742</v>
      </c>
      <c r="Q1188" t="s">
        <v>30</v>
      </c>
      <c r="R1188" t="s">
        <v>31</v>
      </c>
      <c r="S1188" t="s">
        <v>104</v>
      </c>
    </row>
    <row r="1189" spans="1:19" x14ac:dyDescent="0.45">
      <c r="A1189" t="str">
        <f t="shared" si="69"/>
        <v>18801</v>
      </c>
      <c r="B1189" t="s">
        <v>1731</v>
      </c>
      <c r="C1189" t="str">
        <f t="shared" si="72"/>
        <v>18402</v>
      </c>
      <c r="D1189" t="s">
        <v>4504</v>
      </c>
      <c r="E1189" t="str">
        <f>"3110"</f>
        <v>3110</v>
      </c>
      <c r="F1189" t="s">
        <v>6743</v>
      </c>
      <c r="G1189" t="s">
        <v>22</v>
      </c>
      <c r="H1189">
        <v>5</v>
      </c>
      <c r="I1189" t="s">
        <v>6744</v>
      </c>
      <c r="K1189" t="s">
        <v>6745</v>
      </c>
      <c r="L1189" t="s">
        <v>25</v>
      </c>
      <c r="M1189" t="s">
        <v>6713</v>
      </c>
      <c r="N1189" t="s">
        <v>6746</v>
      </c>
      <c r="O1189" t="s">
        <v>6747</v>
      </c>
      <c r="P1189" t="s">
        <v>6748</v>
      </c>
      <c r="Q1189" t="s">
        <v>30</v>
      </c>
      <c r="R1189" t="s">
        <v>31</v>
      </c>
      <c r="S1189" t="s">
        <v>32</v>
      </c>
    </row>
    <row r="1190" spans="1:19" x14ac:dyDescent="0.45">
      <c r="A1190" t="str">
        <f>"OSPI"</f>
        <v>OSPI</v>
      </c>
      <c r="B1190" t="s">
        <v>1763</v>
      </c>
      <c r="C1190" t="str">
        <f>"18801"</f>
        <v>18801</v>
      </c>
      <c r="D1190" t="s">
        <v>1731</v>
      </c>
      <c r="E1190" t="str">
        <f>"3481"</f>
        <v>3481</v>
      </c>
      <c r="F1190" t="s">
        <v>6749</v>
      </c>
      <c r="G1190">
        <v>8</v>
      </c>
      <c r="H1190">
        <v>12</v>
      </c>
      <c r="I1190" t="s">
        <v>6750</v>
      </c>
      <c r="K1190" t="s">
        <v>6712</v>
      </c>
      <c r="L1190" t="s">
        <v>25</v>
      </c>
      <c r="M1190" t="s">
        <v>6751</v>
      </c>
      <c r="N1190" t="s">
        <v>1767</v>
      </c>
      <c r="O1190" t="s">
        <v>6752</v>
      </c>
      <c r="P1190" t="s">
        <v>6753</v>
      </c>
      <c r="Q1190" t="s">
        <v>1312</v>
      </c>
      <c r="R1190" t="s">
        <v>1313</v>
      </c>
      <c r="S1190" t="s">
        <v>58</v>
      </c>
    </row>
    <row r="1191" spans="1:19" x14ac:dyDescent="0.45">
      <c r="A1191" t="str">
        <f t="shared" ref="A1191:A1199" si="73">"18801"</f>
        <v>18801</v>
      </c>
      <c r="B1191" t="s">
        <v>1731</v>
      </c>
      <c r="C1191" t="str">
        <f t="shared" ref="C1191:C1199" si="74">"18402"</f>
        <v>18402</v>
      </c>
      <c r="D1191" t="s">
        <v>4504</v>
      </c>
      <c r="E1191" t="str">
        <f>"3680"</f>
        <v>3680</v>
      </c>
      <c r="F1191" t="s">
        <v>6204</v>
      </c>
      <c r="G1191">
        <v>6</v>
      </c>
      <c r="H1191">
        <v>8</v>
      </c>
      <c r="I1191" t="s">
        <v>6754</v>
      </c>
      <c r="K1191" t="s">
        <v>6712</v>
      </c>
      <c r="L1191" t="s">
        <v>25</v>
      </c>
      <c r="M1191" t="s">
        <v>6713</v>
      </c>
      <c r="N1191" t="s">
        <v>6755</v>
      </c>
      <c r="O1191" t="s">
        <v>6756</v>
      </c>
      <c r="P1191" t="s">
        <v>6757</v>
      </c>
      <c r="Q1191" t="s">
        <v>30</v>
      </c>
      <c r="R1191" t="s">
        <v>31</v>
      </c>
      <c r="S1191" t="s">
        <v>104</v>
      </c>
    </row>
    <row r="1192" spans="1:19" x14ac:dyDescent="0.45">
      <c r="A1192" t="str">
        <f t="shared" si="73"/>
        <v>18801</v>
      </c>
      <c r="B1192" t="s">
        <v>1731</v>
      </c>
      <c r="C1192" t="str">
        <f t="shared" si="74"/>
        <v>18402</v>
      </c>
      <c r="D1192" t="s">
        <v>4504</v>
      </c>
      <c r="E1192" t="str">
        <f>"3899"</f>
        <v>3899</v>
      </c>
      <c r="F1192" t="s">
        <v>6758</v>
      </c>
      <c r="G1192">
        <v>9</v>
      </c>
      <c r="H1192">
        <v>12</v>
      </c>
      <c r="I1192" t="s">
        <v>6759</v>
      </c>
      <c r="K1192" t="s">
        <v>6712</v>
      </c>
      <c r="L1192" t="s">
        <v>25</v>
      </c>
      <c r="M1192" t="s">
        <v>6713</v>
      </c>
      <c r="N1192" t="s">
        <v>6714</v>
      </c>
      <c r="O1192" t="s">
        <v>6715</v>
      </c>
      <c r="P1192" t="s">
        <v>6760</v>
      </c>
      <c r="Q1192" t="s">
        <v>157</v>
      </c>
      <c r="R1192" t="s">
        <v>158</v>
      </c>
      <c r="S1192" t="s">
        <v>58</v>
      </c>
    </row>
    <row r="1193" spans="1:19" x14ac:dyDescent="0.45">
      <c r="A1193" t="str">
        <f t="shared" si="73"/>
        <v>18801</v>
      </c>
      <c r="B1193" t="s">
        <v>1731</v>
      </c>
      <c r="C1193" t="str">
        <f t="shared" si="74"/>
        <v>18402</v>
      </c>
      <c r="D1193" t="s">
        <v>4504</v>
      </c>
      <c r="E1193" t="str">
        <f>"4029"</f>
        <v>4029</v>
      </c>
      <c r="F1193" t="s">
        <v>6761</v>
      </c>
      <c r="G1193" t="s">
        <v>22</v>
      </c>
      <c r="H1193">
        <v>5</v>
      </c>
      <c r="I1193" t="s">
        <v>6762</v>
      </c>
      <c r="K1193" t="s">
        <v>6712</v>
      </c>
      <c r="L1193" t="s">
        <v>25</v>
      </c>
      <c r="M1193" t="s">
        <v>6763</v>
      </c>
      <c r="N1193" t="s">
        <v>6764</v>
      </c>
      <c r="O1193" t="s">
        <v>6765</v>
      </c>
      <c r="P1193" t="s">
        <v>6766</v>
      </c>
      <c r="Q1193" t="s">
        <v>30</v>
      </c>
      <c r="R1193" t="s">
        <v>31</v>
      </c>
      <c r="S1193" t="s">
        <v>32</v>
      </c>
    </row>
    <row r="1194" spans="1:19" x14ac:dyDescent="0.45">
      <c r="A1194" t="str">
        <f t="shared" si="73"/>
        <v>18801</v>
      </c>
      <c r="B1194" t="s">
        <v>1731</v>
      </c>
      <c r="C1194" t="str">
        <f t="shared" si="74"/>
        <v>18402</v>
      </c>
      <c r="D1194" t="s">
        <v>4504</v>
      </c>
      <c r="E1194" t="str">
        <f>"4079"</f>
        <v>4079</v>
      </c>
      <c r="F1194" t="s">
        <v>6767</v>
      </c>
      <c r="G1194" t="s">
        <v>22</v>
      </c>
      <c r="H1194">
        <v>5</v>
      </c>
      <c r="I1194" t="s">
        <v>6768</v>
      </c>
      <c r="K1194" t="s">
        <v>6712</v>
      </c>
      <c r="L1194" t="s">
        <v>25</v>
      </c>
      <c r="M1194" t="s">
        <v>6713</v>
      </c>
      <c r="N1194" t="s">
        <v>6769</v>
      </c>
      <c r="O1194" t="s">
        <v>6770</v>
      </c>
      <c r="P1194" t="s">
        <v>6771</v>
      </c>
      <c r="Q1194" t="s">
        <v>30</v>
      </c>
      <c r="R1194" t="s">
        <v>31</v>
      </c>
      <c r="S1194" t="s">
        <v>32</v>
      </c>
    </row>
    <row r="1195" spans="1:19" x14ac:dyDescent="0.45">
      <c r="A1195" t="str">
        <f t="shared" si="73"/>
        <v>18801</v>
      </c>
      <c r="B1195" t="s">
        <v>1731</v>
      </c>
      <c r="C1195" t="str">
        <f t="shared" si="74"/>
        <v>18402</v>
      </c>
      <c r="D1195" t="s">
        <v>4504</v>
      </c>
      <c r="E1195" t="str">
        <f>"4141"</f>
        <v>4141</v>
      </c>
      <c r="F1195" t="s">
        <v>1696</v>
      </c>
      <c r="G1195" t="s">
        <v>22</v>
      </c>
      <c r="H1195">
        <v>5</v>
      </c>
      <c r="I1195" t="s">
        <v>6772</v>
      </c>
      <c r="K1195" t="s">
        <v>6712</v>
      </c>
      <c r="L1195" t="s">
        <v>25</v>
      </c>
      <c r="M1195" t="s">
        <v>6763</v>
      </c>
      <c r="N1195" t="s">
        <v>6773</v>
      </c>
      <c r="O1195" t="s">
        <v>6774</v>
      </c>
      <c r="P1195" t="s">
        <v>6775</v>
      </c>
      <c r="Q1195" t="s">
        <v>30</v>
      </c>
      <c r="R1195" t="s">
        <v>31</v>
      </c>
      <c r="S1195" t="s">
        <v>32</v>
      </c>
    </row>
    <row r="1196" spans="1:19" x14ac:dyDescent="0.45">
      <c r="A1196" t="str">
        <f t="shared" si="73"/>
        <v>18801</v>
      </c>
      <c r="B1196" t="s">
        <v>1731</v>
      </c>
      <c r="C1196" t="str">
        <f t="shared" si="74"/>
        <v>18402</v>
      </c>
      <c r="D1196" t="s">
        <v>4504</v>
      </c>
      <c r="E1196" t="str">
        <f>"4142"</f>
        <v>4142</v>
      </c>
      <c r="F1196" t="s">
        <v>6776</v>
      </c>
      <c r="G1196">
        <v>6</v>
      </c>
      <c r="H1196">
        <v>8</v>
      </c>
      <c r="I1196" t="s">
        <v>6777</v>
      </c>
      <c r="K1196" t="s">
        <v>6712</v>
      </c>
      <c r="L1196" t="s">
        <v>25</v>
      </c>
      <c r="M1196" t="s">
        <v>6713</v>
      </c>
      <c r="N1196" t="s">
        <v>6778</v>
      </c>
      <c r="O1196" t="s">
        <v>6779</v>
      </c>
      <c r="P1196" t="s">
        <v>6780</v>
      </c>
      <c r="Q1196" t="s">
        <v>30</v>
      </c>
      <c r="R1196" t="s">
        <v>31</v>
      </c>
      <c r="S1196" t="s">
        <v>104</v>
      </c>
    </row>
    <row r="1197" spans="1:19" x14ac:dyDescent="0.45">
      <c r="A1197" t="str">
        <f t="shared" si="73"/>
        <v>18801</v>
      </c>
      <c r="B1197" t="s">
        <v>1731</v>
      </c>
      <c r="C1197" t="str">
        <f t="shared" si="74"/>
        <v>18402</v>
      </c>
      <c r="D1197" t="s">
        <v>4504</v>
      </c>
      <c r="E1197" t="str">
        <f>"4348"</f>
        <v>4348</v>
      </c>
      <c r="F1197" t="s">
        <v>6781</v>
      </c>
      <c r="G1197" t="s">
        <v>22</v>
      </c>
      <c r="H1197">
        <v>5</v>
      </c>
      <c r="I1197" t="s">
        <v>6782</v>
      </c>
      <c r="K1197" t="s">
        <v>6712</v>
      </c>
      <c r="L1197" t="s">
        <v>25</v>
      </c>
      <c r="M1197" t="s">
        <v>6763</v>
      </c>
      <c r="N1197" t="s">
        <v>6783</v>
      </c>
      <c r="O1197" t="s">
        <v>6784</v>
      </c>
      <c r="P1197" t="s">
        <v>6785</v>
      </c>
      <c r="Q1197" t="s">
        <v>30</v>
      </c>
      <c r="R1197" t="s">
        <v>31</v>
      </c>
      <c r="S1197" t="s">
        <v>32</v>
      </c>
    </row>
    <row r="1198" spans="1:19" x14ac:dyDescent="0.45">
      <c r="A1198" t="str">
        <f t="shared" si="73"/>
        <v>18801</v>
      </c>
      <c r="B1198" t="s">
        <v>1731</v>
      </c>
      <c r="C1198" t="str">
        <f t="shared" si="74"/>
        <v>18402</v>
      </c>
      <c r="D1198" t="s">
        <v>4504</v>
      </c>
      <c r="E1198" t="str">
        <f>"4349"</f>
        <v>4349</v>
      </c>
      <c r="F1198" t="s">
        <v>6786</v>
      </c>
      <c r="G1198" t="s">
        <v>22</v>
      </c>
      <c r="H1198">
        <v>5</v>
      </c>
      <c r="I1198" t="s">
        <v>6787</v>
      </c>
      <c r="K1198" t="s">
        <v>6712</v>
      </c>
      <c r="L1198" t="s">
        <v>25</v>
      </c>
      <c r="M1198" t="s">
        <v>6713</v>
      </c>
      <c r="N1198" t="s">
        <v>6788</v>
      </c>
      <c r="O1198" t="s">
        <v>6789</v>
      </c>
      <c r="P1198" t="s">
        <v>6790</v>
      </c>
      <c r="Q1198" t="s">
        <v>30</v>
      </c>
      <c r="R1198" t="s">
        <v>31</v>
      </c>
      <c r="S1198" t="s">
        <v>32</v>
      </c>
    </row>
    <row r="1199" spans="1:19" x14ac:dyDescent="0.45">
      <c r="A1199" t="str">
        <f t="shared" si="73"/>
        <v>18801</v>
      </c>
      <c r="B1199" t="s">
        <v>1731</v>
      </c>
      <c r="C1199" t="str">
        <f t="shared" si="74"/>
        <v>18402</v>
      </c>
      <c r="D1199" t="s">
        <v>4504</v>
      </c>
      <c r="E1199" t="str">
        <f>"4350"</f>
        <v>4350</v>
      </c>
      <c r="F1199" t="s">
        <v>6791</v>
      </c>
      <c r="G1199" t="s">
        <v>22</v>
      </c>
      <c r="H1199">
        <v>5</v>
      </c>
      <c r="I1199" t="s">
        <v>6792</v>
      </c>
      <c r="K1199" t="s">
        <v>6712</v>
      </c>
      <c r="L1199" t="s">
        <v>25</v>
      </c>
      <c r="M1199" t="s">
        <v>6763</v>
      </c>
      <c r="N1199" t="s">
        <v>6793</v>
      </c>
      <c r="O1199" t="s">
        <v>6794</v>
      </c>
      <c r="P1199" t="s">
        <v>6795</v>
      </c>
      <c r="Q1199" t="s">
        <v>30</v>
      </c>
      <c r="R1199" t="s">
        <v>31</v>
      </c>
      <c r="S1199" t="s">
        <v>32</v>
      </c>
    </row>
    <row r="1200" spans="1:19" x14ac:dyDescent="0.45">
      <c r="A1200" t="str">
        <f t="shared" ref="A1200:A1213" si="75">"39801"</f>
        <v>39801</v>
      </c>
      <c r="B1200" t="s">
        <v>2395</v>
      </c>
      <c r="C1200" t="str">
        <f>"19007"</f>
        <v>19007</v>
      </c>
      <c r="D1200" t="s">
        <v>6796</v>
      </c>
      <c r="E1200" t="str">
        <f>"2077"</f>
        <v>2077</v>
      </c>
      <c r="F1200" t="s">
        <v>6797</v>
      </c>
      <c r="G1200" t="s">
        <v>70</v>
      </c>
      <c r="H1200">
        <v>5</v>
      </c>
      <c r="I1200" t="s">
        <v>6798</v>
      </c>
      <c r="K1200" t="s">
        <v>6799</v>
      </c>
      <c r="L1200" t="s">
        <v>25</v>
      </c>
      <c r="M1200" t="s">
        <v>6800</v>
      </c>
      <c r="N1200" t="s">
        <v>6801</v>
      </c>
      <c r="O1200" t="s">
        <v>6802</v>
      </c>
      <c r="P1200" t="s">
        <v>6803</v>
      </c>
      <c r="Q1200" t="s">
        <v>30</v>
      </c>
      <c r="R1200" t="s">
        <v>31</v>
      </c>
      <c r="S1200" t="s">
        <v>32</v>
      </c>
    </row>
    <row r="1201" spans="1:19" x14ac:dyDescent="0.45">
      <c r="A1201" t="str">
        <f t="shared" si="75"/>
        <v>39801</v>
      </c>
      <c r="B1201" t="s">
        <v>2395</v>
      </c>
      <c r="C1201" t="str">
        <f>"19028"</f>
        <v>19028</v>
      </c>
      <c r="D1201" t="s">
        <v>6804</v>
      </c>
      <c r="E1201" t="str">
        <f>"3554"</f>
        <v>3554</v>
      </c>
      <c r="F1201" t="s">
        <v>6805</v>
      </c>
      <c r="G1201" t="s">
        <v>70</v>
      </c>
      <c r="H1201">
        <v>12</v>
      </c>
      <c r="I1201" t="s">
        <v>6806</v>
      </c>
      <c r="K1201" t="s">
        <v>6807</v>
      </c>
      <c r="L1201" t="s">
        <v>25</v>
      </c>
      <c r="M1201" t="s">
        <v>6808</v>
      </c>
      <c r="N1201" t="s">
        <v>6809</v>
      </c>
      <c r="O1201" t="s">
        <v>6810</v>
      </c>
      <c r="P1201" t="s">
        <v>6811</v>
      </c>
      <c r="Q1201" t="s">
        <v>30</v>
      </c>
      <c r="R1201" t="s">
        <v>31</v>
      </c>
      <c r="S1201" t="s">
        <v>330</v>
      </c>
    </row>
    <row r="1202" spans="1:19" x14ac:dyDescent="0.45">
      <c r="A1202" t="str">
        <f t="shared" si="75"/>
        <v>39801</v>
      </c>
      <c r="B1202" t="s">
        <v>2395</v>
      </c>
      <c r="C1202" t="str">
        <f>"19400"</f>
        <v>19400</v>
      </c>
      <c r="D1202" t="s">
        <v>6812</v>
      </c>
      <c r="E1202" t="str">
        <f>"2514"</f>
        <v>2514</v>
      </c>
      <c r="F1202" t="s">
        <v>6813</v>
      </c>
      <c r="G1202" t="s">
        <v>70</v>
      </c>
      <c r="H1202">
        <v>12</v>
      </c>
      <c r="I1202" t="s">
        <v>6814</v>
      </c>
      <c r="J1202" t="s">
        <v>6815</v>
      </c>
      <c r="K1202" t="s">
        <v>6816</v>
      </c>
      <c r="L1202" t="s">
        <v>25</v>
      </c>
      <c r="M1202" t="s">
        <v>6817</v>
      </c>
      <c r="N1202" t="s">
        <v>6818</v>
      </c>
      <c r="O1202" t="s">
        <v>6819</v>
      </c>
      <c r="P1202" t="s">
        <v>6820</v>
      </c>
      <c r="Q1202" t="s">
        <v>30</v>
      </c>
      <c r="R1202" t="s">
        <v>31</v>
      </c>
      <c r="S1202" t="s">
        <v>330</v>
      </c>
    </row>
    <row r="1203" spans="1:19" x14ac:dyDescent="0.45">
      <c r="A1203" t="str">
        <f t="shared" si="75"/>
        <v>39801</v>
      </c>
      <c r="B1203" t="s">
        <v>2395</v>
      </c>
      <c r="C1203" t="str">
        <f>"19401"</f>
        <v>19401</v>
      </c>
      <c r="D1203" t="s">
        <v>6821</v>
      </c>
      <c r="E1203" t="str">
        <f>"2453"</f>
        <v>2453</v>
      </c>
      <c r="F1203" t="s">
        <v>6822</v>
      </c>
      <c r="G1203">
        <v>6</v>
      </c>
      <c r="H1203">
        <v>8</v>
      </c>
      <c r="I1203" t="s">
        <v>6823</v>
      </c>
      <c r="K1203" t="s">
        <v>6799</v>
      </c>
      <c r="L1203" t="s">
        <v>25</v>
      </c>
      <c r="M1203" t="s">
        <v>6800</v>
      </c>
      <c r="N1203" t="s">
        <v>6824</v>
      </c>
      <c r="O1203" t="s">
        <v>6825</v>
      </c>
      <c r="P1203" t="s">
        <v>6826</v>
      </c>
      <c r="Q1203" t="s">
        <v>30</v>
      </c>
      <c r="R1203" t="s">
        <v>31</v>
      </c>
      <c r="S1203" t="s">
        <v>104</v>
      </c>
    </row>
    <row r="1204" spans="1:19" x14ac:dyDescent="0.45">
      <c r="A1204" t="str">
        <f t="shared" si="75"/>
        <v>39801</v>
      </c>
      <c r="B1204" t="s">
        <v>2395</v>
      </c>
      <c r="C1204" t="str">
        <f>"19401"</f>
        <v>19401</v>
      </c>
      <c r="D1204" t="s">
        <v>6821</v>
      </c>
      <c r="E1204" t="str">
        <f>"2741"</f>
        <v>2741</v>
      </c>
      <c r="F1204" t="s">
        <v>4755</v>
      </c>
      <c r="G1204" t="s">
        <v>70</v>
      </c>
      <c r="H1204">
        <v>5</v>
      </c>
      <c r="I1204" t="s">
        <v>6827</v>
      </c>
      <c r="K1204" t="s">
        <v>6799</v>
      </c>
      <c r="L1204" t="s">
        <v>25</v>
      </c>
      <c r="M1204" t="s">
        <v>6800</v>
      </c>
      <c r="N1204" t="s">
        <v>6828</v>
      </c>
      <c r="O1204" t="s">
        <v>6829</v>
      </c>
      <c r="P1204" t="s">
        <v>6830</v>
      </c>
      <c r="Q1204" t="s">
        <v>30</v>
      </c>
      <c r="R1204" t="s">
        <v>31</v>
      </c>
      <c r="S1204" t="s">
        <v>32</v>
      </c>
    </row>
    <row r="1205" spans="1:19" x14ac:dyDescent="0.45">
      <c r="A1205" t="str">
        <f t="shared" si="75"/>
        <v>39801</v>
      </c>
      <c r="B1205" t="s">
        <v>2395</v>
      </c>
      <c r="C1205" t="str">
        <f>"19401"</f>
        <v>19401</v>
      </c>
      <c r="D1205" t="s">
        <v>6821</v>
      </c>
      <c r="E1205" t="str">
        <f>"2996"</f>
        <v>2996</v>
      </c>
      <c r="F1205" t="s">
        <v>6831</v>
      </c>
      <c r="G1205">
        <v>9</v>
      </c>
      <c r="H1205">
        <v>12</v>
      </c>
      <c r="I1205" t="s">
        <v>6832</v>
      </c>
      <c r="K1205" t="s">
        <v>6799</v>
      </c>
      <c r="L1205" t="s">
        <v>25</v>
      </c>
      <c r="M1205" t="s">
        <v>6800</v>
      </c>
      <c r="N1205" t="s">
        <v>6833</v>
      </c>
      <c r="O1205" t="s">
        <v>6834</v>
      </c>
      <c r="P1205" t="s">
        <v>6835</v>
      </c>
      <c r="Q1205" t="s">
        <v>30</v>
      </c>
      <c r="R1205" t="s">
        <v>31</v>
      </c>
      <c r="S1205" t="s">
        <v>58</v>
      </c>
    </row>
    <row r="1206" spans="1:19" x14ac:dyDescent="0.45">
      <c r="A1206" t="str">
        <f t="shared" si="75"/>
        <v>39801</v>
      </c>
      <c r="B1206" t="s">
        <v>2395</v>
      </c>
      <c r="C1206" t="str">
        <f>"19401"</f>
        <v>19401</v>
      </c>
      <c r="D1206" t="s">
        <v>6821</v>
      </c>
      <c r="E1206" t="str">
        <f>"3596"</f>
        <v>3596</v>
      </c>
      <c r="F1206" t="s">
        <v>6836</v>
      </c>
      <c r="G1206" t="s">
        <v>70</v>
      </c>
      <c r="H1206">
        <v>5</v>
      </c>
      <c r="I1206" t="s">
        <v>6837</v>
      </c>
      <c r="K1206" t="s">
        <v>6799</v>
      </c>
      <c r="L1206" t="s">
        <v>25</v>
      </c>
      <c r="M1206" t="s">
        <v>6800</v>
      </c>
      <c r="N1206" t="s">
        <v>6838</v>
      </c>
      <c r="O1206" t="s">
        <v>6839</v>
      </c>
      <c r="P1206" t="s">
        <v>6840</v>
      </c>
      <c r="Q1206" t="s">
        <v>30</v>
      </c>
      <c r="R1206" t="s">
        <v>31</v>
      </c>
      <c r="S1206" t="s">
        <v>32</v>
      </c>
    </row>
    <row r="1207" spans="1:19" x14ac:dyDescent="0.45">
      <c r="A1207" t="str">
        <f t="shared" si="75"/>
        <v>39801</v>
      </c>
      <c r="B1207" t="s">
        <v>2395</v>
      </c>
      <c r="C1207" t="str">
        <f>"19401"</f>
        <v>19401</v>
      </c>
      <c r="D1207" t="s">
        <v>6821</v>
      </c>
      <c r="E1207" t="str">
        <f>"4411"</f>
        <v>4411</v>
      </c>
      <c r="F1207" t="s">
        <v>6841</v>
      </c>
      <c r="G1207" t="s">
        <v>70</v>
      </c>
      <c r="H1207">
        <v>5</v>
      </c>
      <c r="I1207" t="s">
        <v>6842</v>
      </c>
      <c r="K1207" t="s">
        <v>6799</v>
      </c>
      <c r="L1207" t="s">
        <v>25</v>
      </c>
      <c r="M1207" t="s">
        <v>6843</v>
      </c>
      <c r="N1207" t="s">
        <v>6844</v>
      </c>
      <c r="O1207" t="s">
        <v>6845</v>
      </c>
      <c r="P1207" t="s">
        <v>6846</v>
      </c>
      <c r="Q1207" t="s">
        <v>30</v>
      </c>
      <c r="R1207" t="s">
        <v>31</v>
      </c>
      <c r="S1207" t="s">
        <v>32</v>
      </c>
    </row>
    <row r="1208" spans="1:19" x14ac:dyDescent="0.45">
      <c r="A1208" t="str">
        <f t="shared" si="75"/>
        <v>39801</v>
      </c>
      <c r="B1208" t="s">
        <v>2395</v>
      </c>
      <c r="C1208" t="str">
        <f>"19403"</f>
        <v>19403</v>
      </c>
      <c r="D1208" t="s">
        <v>6847</v>
      </c>
      <c r="E1208" t="str">
        <f>"2569"</f>
        <v>2569</v>
      </c>
      <c r="F1208" t="s">
        <v>6848</v>
      </c>
      <c r="G1208" t="s">
        <v>70</v>
      </c>
      <c r="H1208">
        <v>5</v>
      </c>
      <c r="I1208" t="s">
        <v>6849</v>
      </c>
      <c r="K1208" t="s">
        <v>6850</v>
      </c>
      <c r="L1208" t="s">
        <v>25</v>
      </c>
      <c r="M1208">
        <v>98934</v>
      </c>
      <c r="N1208" t="s">
        <v>6851</v>
      </c>
      <c r="O1208" t="s">
        <v>6852</v>
      </c>
      <c r="P1208" t="s">
        <v>6853</v>
      </c>
      <c r="Q1208" t="s">
        <v>30</v>
      </c>
      <c r="R1208" t="s">
        <v>31</v>
      </c>
      <c r="S1208" t="s">
        <v>32</v>
      </c>
    </row>
    <row r="1209" spans="1:19" x14ac:dyDescent="0.45">
      <c r="A1209" t="str">
        <f t="shared" si="75"/>
        <v>39801</v>
      </c>
      <c r="B1209" t="s">
        <v>2395</v>
      </c>
      <c r="C1209" t="str">
        <f>"19403"</f>
        <v>19403</v>
      </c>
      <c r="D1209" t="s">
        <v>6847</v>
      </c>
      <c r="E1209" t="str">
        <f>"2766"</f>
        <v>2766</v>
      </c>
      <c r="F1209" t="s">
        <v>6854</v>
      </c>
      <c r="G1209">
        <v>6</v>
      </c>
      <c r="H1209">
        <v>12</v>
      </c>
      <c r="I1209" t="s">
        <v>6849</v>
      </c>
      <c r="K1209" t="s">
        <v>6850</v>
      </c>
      <c r="L1209" t="s">
        <v>25</v>
      </c>
      <c r="M1209">
        <v>98934</v>
      </c>
      <c r="N1209" t="s">
        <v>6855</v>
      </c>
      <c r="O1209" t="s">
        <v>6856</v>
      </c>
      <c r="P1209" t="s">
        <v>6857</v>
      </c>
      <c r="Q1209" t="s">
        <v>30</v>
      </c>
      <c r="R1209" t="s">
        <v>31</v>
      </c>
      <c r="S1209" t="s">
        <v>159</v>
      </c>
    </row>
    <row r="1210" spans="1:19" x14ac:dyDescent="0.45">
      <c r="A1210" t="str">
        <f t="shared" si="75"/>
        <v>39801</v>
      </c>
      <c r="B1210" t="s">
        <v>2395</v>
      </c>
      <c r="C1210" t="str">
        <f>"19403"</f>
        <v>19403</v>
      </c>
      <c r="D1210" t="s">
        <v>6847</v>
      </c>
      <c r="E1210" t="str">
        <f>"3213"</f>
        <v>3213</v>
      </c>
      <c r="F1210" t="s">
        <v>6858</v>
      </c>
      <c r="G1210">
        <v>8</v>
      </c>
      <c r="H1210">
        <v>12</v>
      </c>
      <c r="I1210" t="s">
        <v>6859</v>
      </c>
      <c r="K1210" t="s">
        <v>6799</v>
      </c>
      <c r="L1210" t="s">
        <v>25</v>
      </c>
      <c r="M1210" t="s">
        <v>6800</v>
      </c>
      <c r="N1210" t="s">
        <v>6860</v>
      </c>
      <c r="P1210" t="s">
        <v>6861</v>
      </c>
      <c r="Q1210" t="s">
        <v>962</v>
      </c>
      <c r="R1210" t="s">
        <v>963</v>
      </c>
      <c r="S1210" t="s">
        <v>58</v>
      </c>
    </row>
    <row r="1211" spans="1:19" x14ac:dyDescent="0.45">
      <c r="A1211" t="str">
        <f t="shared" si="75"/>
        <v>39801</v>
      </c>
      <c r="B1211" t="s">
        <v>2395</v>
      </c>
      <c r="C1211" t="str">
        <f>"19404"</f>
        <v>19404</v>
      </c>
      <c r="D1211" t="s">
        <v>6862</v>
      </c>
      <c r="E1211" t="str">
        <f>"2328"</f>
        <v>2328</v>
      </c>
      <c r="F1211" t="s">
        <v>6863</v>
      </c>
      <c r="G1211" t="s">
        <v>22</v>
      </c>
      <c r="H1211">
        <v>5</v>
      </c>
      <c r="I1211" t="s">
        <v>6864</v>
      </c>
      <c r="K1211" t="s">
        <v>6865</v>
      </c>
      <c r="L1211" t="s">
        <v>25</v>
      </c>
      <c r="M1211" t="s">
        <v>6866</v>
      </c>
      <c r="N1211" t="s">
        <v>6867</v>
      </c>
      <c r="O1211" t="s">
        <v>6868</v>
      </c>
      <c r="P1211" t="s">
        <v>6869</v>
      </c>
      <c r="Q1211" t="s">
        <v>30</v>
      </c>
      <c r="R1211" t="s">
        <v>31</v>
      </c>
      <c r="S1211" t="s">
        <v>32</v>
      </c>
    </row>
    <row r="1212" spans="1:19" x14ac:dyDescent="0.45">
      <c r="A1212" t="str">
        <f t="shared" si="75"/>
        <v>39801</v>
      </c>
      <c r="B1212" t="s">
        <v>2395</v>
      </c>
      <c r="C1212" t="str">
        <f>"19404"</f>
        <v>19404</v>
      </c>
      <c r="D1212" t="s">
        <v>6862</v>
      </c>
      <c r="E1212" t="str">
        <f>"2329"</f>
        <v>2329</v>
      </c>
      <c r="F1212" t="s">
        <v>6870</v>
      </c>
      <c r="G1212">
        <v>9</v>
      </c>
      <c r="H1212">
        <v>12</v>
      </c>
      <c r="I1212" t="s">
        <v>6871</v>
      </c>
      <c r="K1212" t="s">
        <v>6872</v>
      </c>
      <c r="L1212" t="s">
        <v>25</v>
      </c>
      <c r="M1212" t="s">
        <v>6873</v>
      </c>
      <c r="N1212" t="s">
        <v>3848</v>
      </c>
      <c r="O1212" t="s">
        <v>6874</v>
      </c>
      <c r="P1212" t="s">
        <v>6875</v>
      </c>
      <c r="Q1212" t="s">
        <v>30</v>
      </c>
      <c r="R1212" t="s">
        <v>31</v>
      </c>
      <c r="S1212" t="s">
        <v>58</v>
      </c>
    </row>
    <row r="1213" spans="1:19" x14ac:dyDescent="0.45">
      <c r="A1213" t="str">
        <f t="shared" si="75"/>
        <v>39801</v>
      </c>
      <c r="B1213" t="s">
        <v>2395</v>
      </c>
      <c r="C1213" t="str">
        <f>"19404"</f>
        <v>19404</v>
      </c>
      <c r="D1213" t="s">
        <v>6862</v>
      </c>
      <c r="E1213" t="str">
        <f>"2570"</f>
        <v>2570</v>
      </c>
      <c r="F1213" t="s">
        <v>6876</v>
      </c>
      <c r="G1213">
        <v>6</v>
      </c>
      <c r="H1213">
        <v>8</v>
      </c>
      <c r="I1213" t="s">
        <v>6877</v>
      </c>
      <c r="K1213" t="s">
        <v>6865</v>
      </c>
      <c r="L1213" t="s">
        <v>25</v>
      </c>
      <c r="M1213" t="s">
        <v>6878</v>
      </c>
      <c r="N1213" t="s">
        <v>6879</v>
      </c>
      <c r="O1213" t="s">
        <v>6880</v>
      </c>
      <c r="P1213" t="s">
        <v>6881</v>
      </c>
      <c r="Q1213" t="s">
        <v>30</v>
      </c>
      <c r="R1213" t="s">
        <v>31</v>
      </c>
      <c r="S1213" t="s">
        <v>104</v>
      </c>
    </row>
    <row r="1214" spans="1:19" x14ac:dyDescent="0.45">
      <c r="A1214" t="str">
        <f>"06801"</f>
        <v>06801</v>
      </c>
      <c r="B1214" t="s">
        <v>1870</v>
      </c>
      <c r="C1214" t="str">
        <f>"20094"</f>
        <v>20094</v>
      </c>
      <c r="D1214" t="s">
        <v>6882</v>
      </c>
      <c r="E1214" t="str">
        <f>"2605"</f>
        <v>2605</v>
      </c>
      <c r="F1214" t="s">
        <v>6883</v>
      </c>
      <c r="G1214" t="s">
        <v>22</v>
      </c>
      <c r="H1214">
        <v>12</v>
      </c>
      <c r="I1214" t="s">
        <v>3060</v>
      </c>
      <c r="K1214" t="s">
        <v>6884</v>
      </c>
      <c r="L1214" t="s">
        <v>25</v>
      </c>
      <c r="M1214" t="s">
        <v>6885</v>
      </c>
      <c r="N1214" t="s">
        <v>6886</v>
      </c>
      <c r="O1214" t="s">
        <v>6887</v>
      </c>
      <c r="P1214" t="s">
        <v>6888</v>
      </c>
      <c r="Q1214" t="s">
        <v>30</v>
      </c>
      <c r="R1214" t="s">
        <v>31</v>
      </c>
      <c r="S1214" t="s">
        <v>68</v>
      </c>
    </row>
    <row r="1215" spans="1:19" x14ac:dyDescent="0.45">
      <c r="A1215" t="str">
        <f>"39801"</f>
        <v>39801</v>
      </c>
      <c r="B1215" t="s">
        <v>2395</v>
      </c>
      <c r="C1215" t="str">
        <f>"20203"</f>
        <v>20203</v>
      </c>
      <c r="D1215" t="s">
        <v>6889</v>
      </c>
      <c r="E1215" t="str">
        <f>"3392"</f>
        <v>3392</v>
      </c>
      <c r="F1215" t="s">
        <v>6890</v>
      </c>
      <c r="G1215" t="s">
        <v>70</v>
      </c>
      <c r="H1215">
        <v>12</v>
      </c>
      <c r="I1215" t="s">
        <v>6891</v>
      </c>
      <c r="K1215" t="s">
        <v>6892</v>
      </c>
      <c r="L1215" t="s">
        <v>25</v>
      </c>
      <c r="M1215">
        <v>99322</v>
      </c>
      <c r="N1215" t="s">
        <v>6893</v>
      </c>
      <c r="O1215" t="s">
        <v>6894</v>
      </c>
      <c r="P1215" t="s">
        <v>6895</v>
      </c>
      <c r="Q1215" t="s">
        <v>30</v>
      </c>
      <c r="R1215" t="s">
        <v>31</v>
      </c>
      <c r="S1215" t="s">
        <v>330</v>
      </c>
    </row>
    <row r="1216" spans="1:19" x14ac:dyDescent="0.45">
      <c r="A1216" t="str">
        <f t="shared" ref="A1216:A1222" si="76">"06801"</f>
        <v>06801</v>
      </c>
      <c r="B1216" t="s">
        <v>1870</v>
      </c>
      <c r="C1216" t="str">
        <f>"20215"</f>
        <v>20215</v>
      </c>
      <c r="D1216" t="s">
        <v>6896</v>
      </c>
      <c r="E1216" t="str">
        <f>"2251"</f>
        <v>2251</v>
      </c>
      <c r="F1216" t="s">
        <v>6897</v>
      </c>
      <c r="G1216" t="s">
        <v>70</v>
      </c>
      <c r="H1216">
        <v>8</v>
      </c>
      <c r="I1216" t="s">
        <v>6898</v>
      </c>
      <c r="K1216" t="s">
        <v>6899</v>
      </c>
      <c r="L1216" t="s">
        <v>25</v>
      </c>
      <c r="M1216" t="s">
        <v>6900</v>
      </c>
      <c r="N1216" t="s">
        <v>6901</v>
      </c>
      <c r="O1216" t="s">
        <v>6902</v>
      </c>
      <c r="P1216" t="s">
        <v>6903</v>
      </c>
      <c r="Q1216" t="s">
        <v>30</v>
      </c>
      <c r="R1216" t="s">
        <v>31</v>
      </c>
      <c r="S1216" t="s">
        <v>159</v>
      </c>
    </row>
    <row r="1217" spans="1:19" x14ac:dyDescent="0.45">
      <c r="A1217" t="str">
        <f t="shared" si="76"/>
        <v>06801</v>
      </c>
      <c r="B1217" t="s">
        <v>1870</v>
      </c>
      <c r="C1217" t="str">
        <f>"20400"</f>
        <v>20400</v>
      </c>
      <c r="D1217" t="s">
        <v>6904</v>
      </c>
      <c r="E1217" t="str">
        <f>"2676"</f>
        <v>2676</v>
      </c>
      <c r="F1217" t="s">
        <v>6905</v>
      </c>
      <c r="G1217">
        <v>5</v>
      </c>
      <c r="H1217">
        <v>12</v>
      </c>
      <c r="I1217" t="s">
        <v>6906</v>
      </c>
      <c r="K1217" t="s">
        <v>6907</v>
      </c>
      <c r="L1217" t="s">
        <v>25</v>
      </c>
      <c r="M1217" t="s">
        <v>6908</v>
      </c>
      <c r="N1217" t="s">
        <v>6909</v>
      </c>
      <c r="O1217" t="s">
        <v>6910</v>
      </c>
      <c r="P1217" t="s">
        <v>6911</v>
      </c>
      <c r="Q1217" t="s">
        <v>30</v>
      </c>
      <c r="R1217" t="s">
        <v>31</v>
      </c>
      <c r="S1217" t="s">
        <v>159</v>
      </c>
    </row>
    <row r="1218" spans="1:19" x14ac:dyDescent="0.45">
      <c r="A1218" t="str">
        <f t="shared" si="76"/>
        <v>06801</v>
      </c>
      <c r="B1218" t="s">
        <v>1870</v>
      </c>
      <c r="C1218" t="str">
        <f>"20400"</f>
        <v>20400</v>
      </c>
      <c r="D1218" t="s">
        <v>6904</v>
      </c>
      <c r="E1218" t="str">
        <f>"3062"</f>
        <v>3062</v>
      </c>
      <c r="F1218" t="s">
        <v>6912</v>
      </c>
      <c r="G1218" t="s">
        <v>70</v>
      </c>
      <c r="H1218">
        <v>4</v>
      </c>
      <c r="I1218" t="s">
        <v>6906</v>
      </c>
      <c r="K1218" t="s">
        <v>6907</v>
      </c>
      <c r="L1218" t="s">
        <v>25</v>
      </c>
      <c r="M1218" t="s">
        <v>6913</v>
      </c>
      <c r="N1218" t="s">
        <v>6909</v>
      </c>
      <c r="O1218" t="s">
        <v>6910</v>
      </c>
      <c r="P1218" t="s">
        <v>6911</v>
      </c>
      <c r="Q1218" t="s">
        <v>30</v>
      </c>
      <c r="R1218" t="s">
        <v>31</v>
      </c>
      <c r="S1218" t="s">
        <v>32</v>
      </c>
    </row>
    <row r="1219" spans="1:19" x14ac:dyDescent="0.45">
      <c r="A1219" t="str">
        <f t="shared" si="76"/>
        <v>06801</v>
      </c>
      <c r="B1219" t="s">
        <v>1870</v>
      </c>
      <c r="C1219" t="str">
        <f>"20401"</f>
        <v>20401</v>
      </c>
      <c r="D1219" t="s">
        <v>6914</v>
      </c>
      <c r="E1219" t="str">
        <f>"3047"</f>
        <v>3047</v>
      </c>
      <c r="F1219" t="s">
        <v>6915</v>
      </c>
      <c r="G1219" t="s">
        <v>22</v>
      </c>
      <c r="H1219">
        <v>6</v>
      </c>
      <c r="I1219" t="s">
        <v>6916</v>
      </c>
      <c r="K1219" t="s">
        <v>6917</v>
      </c>
      <c r="L1219" t="s">
        <v>25</v>
      </c>
      <c r="M1219" t="s">
        <v>6918</v>
      </c>
      <c r="N1219" t="s">
        <v>6919</v>
      </c>
      <c r="O1219" t="s">
        <v>6920</v>
      </c>
      <c r="P1219" t="s">
        <v>6921</v>
      </c>
      <c r="Q1219" t="s">
        <v>30</v>
      </c>
      <c r="R1219" t="s">
        <v>31</v>
      </c>
      <c r="S1219" t="s">
        <v>32</v>
      </c>
    </row>
    <row r="1220" spans="1:19" x14ac:dyDescent="0.45">
      <c r="A1220" t="str">
        <f t="shared" si="76"/>
        <v>06801</v>
      </c>
      <c r="B1220" t="s">
        <v>1870</v>
      </c>
      <c r="C1220" t="str">
        <f>"20401"</f>
        <v>20401</v>
      </c>
      <c r="D1220" t="s">
        <v>6914</v>
      </c>
      <c r="E1220" t="str">
        <f>"3048"</f>
        <v>3048</v>
      </c>
      <c r="F1220" t="s">
        <v>6922</v>
      </c>
      <c r="G1220">
        <v>7</v>
      </c>
      <c r="H1220">
        <v>12</v>
      </c>
      <c r="I1220" t="s">
        <v>6923</v>
      </c>
      <c r="J1220" t="s">
        <v>6924</v>
      </c>
      <c r="K1220" t="s">
        <v>6917</v>
      </c>
      <c r="L1220" t="s">
        <v>25</v>
      </c>
      <c r="M1220" t="s">
        <v>6918</v>
      </c>
      <c r="N1220" t="s">
        <v>6925</v>
      </c>
      <c r="O1220" t="s">
        <v>6926</v>
      </c>
      <c r="P1220" t="s">
        <v>6921</v>
      </c>
      <c r="Q1220" t="s">
        <v>30</v>
      </c>
      <c r="R1220" t="s">
        <v>31</v>
      </c>
      <c r="S1220" t="s">
        <v>159</v>
      </c>
    </row>
    <row r="1221" spans="1:19" x14ac:dyDescent="0.45">
      <c r="A1221" t="str">
        <f t="shared" si="76"/>
        <v>06801</v>
      </c>
      <c r="B1221" t="s">
        <v>1870</v>
      </c>
      <c r="C1221" t="str">
        <f>"20402"</f>
        <v>20402</v>
      </c>
      <c r="D1221" t="s">
        <v>6927</v>
      </c>
      <c r="E1221" t="str">
        <f>"3494"</f>
        <v>3494</v>
      </c>
      <c r="F1221" t="s">
        <v>6928</v>
      </c>
      <c r="G1221" t="s">
        <v>70</v>
      </c>
      <c r="H1221">
        <v>12</v>
      </c>
      <c r="I1221" t="s">
        <v>6929</v>
      </c>
      <c r="K1221" t="s">
        <v>6930</v>
      </c>
      <c r="L1221" t="s">
        <v>25</v>
      </c>
      <c r="M1221" t="s">
        <v>6931</v>
      </c>
      <c r="N1221" t="s">
        <v>6932</v>
      </c>
      <c r="O1221" t="s">
        <v>6933</v>
      </c>
      <c r="P1221" t="s">
        <v>6934</v>
      </c>
      <c r="Q1221" t="s">
        <v>30</v>
      </c>
      <c r="R1221" t="s">
        <v>31</v>
      </c>
      <c r="S1221" t="s">
        <v>330</v>
      </c>
    </row>
    <row r="1222" spans="1:19" x14ac:dyDescent="0.45">
      <c r="A1222" t="str">
        <f t="shared" si="76"/>
        <v>06801</v>
      </c>
      <c r="B1222" t="s">
        <v>1870</v>
      </c>
      <c r="C1222" t="str">
        <f>"20403"</f>
        <v>20403</v>
      </c>
      <c r="D1222" t="s">
        <v>6935</v>
      </c>
      <c r="E1222" t="str">
        <f>"3530"</f>
        <v>3530</v>
      </c>
      <c r="F1222" t="s">
        <v>2077</v>
      </c>
      <c r="G1222" t="s">
        <v>70</v>
      </c>
      <c r="H1222">
        <v>6</v>
      </c>
      <c r="I1222" t="s">
        <v>6936</v>
      </c>
      <c r="K1222" t="s">
        <v>6937</v>
      </c>
      <c r="L1222" t="s">
        <v>25</v>
      </c>
      <c r="M1222" t="s">
        <v>6938</v>
      </c>
      <c r="N1222" t="s">
        <v>6939</v>
      </c>
      <c r="O1222" t="s">
        <v>6940</v>
      </c>
      <c r="P1222" t="s">
        <v>6941</v>
      </c>
      <c r="Q1222" t="s">
        <v>30</v>
      </c>
      <c r="R1222" t="s">
        <v>31</v>
      </c>
      <c r="S1222" t="s">
        <v>32</v>
      </c>
    </row>
    <row r="1223" spans="1:19" x14ac:dyDescent="0.45">
      <c r="A1223" t="str">
        <f>"39801"</f>
        <v>39801</v>
      </c>
      <c r="B1223" t="s">
        <v>2395</v>
      </c>
      <c r="C1223" t="str">
        <f>"20404"</f>
        <v>20404</v>
      </c>
      <c r="D1223" t="s">
        <v>6942</v>
      </c>
      <c r="E1223" t="str">
        <f>"2677"</f>
        <v>2677</v>
      </c>
      <c r="F1223" t="s">
        <v>6943</v>
      </c>
      <c r="G1223" t="s">
        <v>70</v>
      </c>
      <c r="H1223">
        <v>4</v>
      </c>
      <c r="I1223" t="s">
        <v>6944</v>
      </c>
      <c r="K1223" t="s">
        <v>6945</v>
      </c>
      <c r="L1223" t="s">
        <v>25</v>
      </c>
      <c r="M1223" t="s">
        <v>6946</v>
      </c>
      <c r="N1223" t="s">
        <v>6947</v>
      </c>
      <c r="O1223" t="s">
        <v>6948</v>
      </c>
      <c r="P1223" t="s">
        <v>6949</v>
      </c>
      <c r="Q1223" t="s">
        <v>30</v>
      </c>
      <c r="R1223" t="s">
        <v>31</v>
      </c>
      <c r="S1223" t="s">
        <v>32</v>
      </c>
    </row>
    <row r="1224" spans="1:19" x14ac:dyDescent="0.45">
      <c r="A1224" t="str">
        <f>"39801"</f>
        <v>39801</v>
      </c>
      <c r="B1224" t="s">
        <v>2395</v>
      </c>
      <c r="C1224" t="str">
        <f>"20404"</f>
        <v>20404</v>
      </c>
      <c r="D1224" t="s">
        <v>6942</v>
      </c>
      <c r="E1224" t="str">
        <f>"2856"</f>
        <v>2856</v>
      </c>
      <c r="F1224" t="s">
        <v>6950</v>
      </c>
      <c r="G1224">
        <v>9</v>
      </c>
      <c r="H1224">
        <v>12</v>
      </c>
      <c r="I1224" t="s">
        <v>6951</v>
      </c>
      <c r="K1224" t="s">
        <v>6945</v>
      </c>
      <c r="L1224" t="s">
        <v>25</v>
      </c>
      <c r="M1224" t="s">
        <v>6952</v>
      </c>
      <c r="N1224" t="s">
        <v>6953</v>
      </c>
      <c r="O1224" t="s">
        <v>6954</v>
      </c>
      <c r="P1224" t="s">
        <v>6955</v>
      </c>
      <c r="Q1224" t="s">
        <v>30</v>
      </c>
      <c r="R1224" t="s">
        <v>31</v>
      </c>
      <c r="S1224" t="s">
        <v>58</v>
      </c>
    </row>
    <row r="1225" spans="1:19" x14ac:dyDescent="0.45">
      <c r="A1225" t="str">
        <f>"39801"</f>
        <v>39801</v>
      </c>
      <c r="B1225" t="s">
        <v>2395</v>
      </c>
      <c r="C1225" t="str">
        <f>"20404"</f>
        <v>20404</v>
      </c>
      <c r="D1225" t="s">
        <v>6942</v>
      </c>
      <c r="E1225" t="str">
        <f>"3393"</f>
        <v>3393</v>
      </c>
      <c r="F1225" t="s">
        <v>6956</v>
      </c>
      <c r="G1225">
        <v>5</v>
      </c>
      <c r="H1225">
        <v>8</v>
      </c>
      <c r="I1225" t="s">
        <v>6957</v>
      </c>
      <c r="K1225" t="s">
        <v>6945</v>
      </c>
      <c r="L1225" t="s">
        <v>25</v>
      </c>
      <c r="M1225" t="s">
        <v>6958</v>
      </c>
      <c r="N1225" t="s">
        <v>6959</v>
      </c>
      <c r="O1225" t="s">
        <v>6960</v>
      </c>
      <c r="P1225" t="s">
        <v>6961</v>
      </c>
      <c r="Q1225" t="s">
        <v>30</v>
      </c>
      <c r="R1225" t="s">
        <v>31</v>
      </c>
      <c r="S1225" t="s">
        <v>104</v>
      </c>
    </row>
    <row r="1226" spans="1:19" x14ac:dyDescent="0.45">
      <c r="A1226" t="str">
        <f t="shared" ref="A1226:A1231" si="77">"06801"</f>
        <v>06801</v>
      </c>
      <c r="B1226" t="s">
        <v>1870</v>
      </c>
      <c r="C1226" t="str">
        <f>"20405"</f>
        <v>20405</v>
      </c>
      <c r="D1226" t="s">
        <v>2590</v>
      </c>
      <c r="E1226" t="str">
        <f>"2330"</f>
        <v>2330</v>
      </c>
      <c r="F1226" t="s">
        <v>6962</v>
      </c>
      <c r="G1226">
        <v>9</v>
      </c>
      <c r="H1226">
        <v>12</v>
      </c>
      <c r="I1226" t="s">
        <v>6963</v>
      </c>
      <c r="K1226" t="s">
        <v>6964</v>
      </c>
      <c r="L1226" t="s">
        <v>25</v>
      </c>
      <c r="M1226" t="s">
        <v>6965</v>
      </c>
      <c r="N1226" t="s">
        <v>6966</v>
      </c>
      <c r="O1226" t="s">
        <v>6967</v>
      </c>
      <c r="P1226" t="s">
        <v>6968</v>
      </c>
      <c r="Q1226" t="s">
        <v>30</v>
      </c>
      <c r="R1226" t="s">
        <v>31</v>
      </c>
      <c r="S1226" t="s">
        <v>58</v>
      </c>
    </row>
    <row r="1227" spans="1:19" x14ac:dyDescent="0.45">
      <c r="A1227" t="str">
        <f t="shared" si="77"/>
        <v>06801</v>
      </c>
      <c r="B1227" t="s">
        <v>1870</v>
      </c>
      <c r="C1227" t="str">
        <f>"20405"</f>
        <v>20405</v>
      </c>
      <c r="D1227" t="s">
        <v>2590</v>
      </c>
      <c r="E1227" t="str">
        <f>"2997"</f>
        <v>2997</v>
      </c>
      <c r="F1227" t="s">
        <v>6969</v>
      </c>
      <c r="G1227" t="s">
        <v>70</v>
      </c>
      <c r="H1227">
        <v>3</v>
      </c>
      <c r="I1227" t="s">
        <v>6970</v>
      </c>
      <c r="K1227" t="s">
        <v>6964</v>
      </c>
      <c r="L1227" t="s">
        <v>25</v>
      </c>
      <c r="M1227" t="s">
        <v>6971</v>
      </c>
      <c r="N1227" t="s">
        <v>6972</v>
      </c>
      <c r="O1227" t="s">
        <v>6973</v>
      </c>
      <c r="P1227" t="s">
        <v>6974</v>
      </c>
      <c r="Q1227" t="s">
        <v>30</v>
      </c>
      <c r="R1227" t="s">
        <v>31</v>
      </c>
      <c r="S1227" t="s">
        <v>32</v>
      </c>
    </row>
    <row r="1228" spans="1:19" x14ac:dyDescent="0.45">
      <c r="A1228" t="str">
        <f t="shared" si="77"/>
        <v>06801</v>
      </c>
      <c r="B1228" t="s">
        <v>1870</v>
      </c>
      <c r="C1228" t="str">
        <f>"20405"</f>
        <v>20405</v>
      </c>
      <c r="D1228" t="s">
        <v>2590</v>
      </c>
      <c r="E1228" t="str">
        <f>"3394"</f>
        <v>3394</v>
      </c>
      <c r="F1228" t="s">
        <v>6975</v>
      </c>
      <c r="G1228">
        <v>7</v>
      </c>
      <c r="H1228">
        <v>8</v>
      </c>
      <c r="I1228" t="s">
        <v>6976</v>
      </c>
      <c r="K1228" t="s">
        <v>6964</v>
      </c>
      <c r="L1228" t="s">
        <v>25</v>
      </c>
      <c r="M1228" t="s">
        <v>6965</v>
      </c>
      <c r="N1228" t="s">
        <v>6977</v>
      </c>
      <c r="O1228" t="s">
        <v>6978</v>
      </c>
      <c r="P1228" t="s">
        <v>6979</v>
      </c>
      <c r="Q1228" t="s">
        <v>30</v>
      </c>
      <c r="R1228" t="s">
        <v>31</v>
      </c>
      <c r="S1228" t="s">
        <v>104</v>
      </c>
    </row>
    <row r="1229" spans="1:19" x14ac:dyDescent="0.45">
      <c r="A1229" t="str">
        <f t="shared" si="77"/>
        <v>06801</v>
      </c>
      <c r="B1229" t="s">
        <v>1870</v>
      </c>
      <c r="C1229" t="str">
        <f>"20406"</f>
        <v>20406</v>
      </c>
      <c r="D1229" t="s">
        <v>6980</v>
      </c>
      <c r="E1229" t="str">
        <f>"3049"</f>
        <v>3049</v>
      </c>
      <c r="F1229" t="s">
        <v>6981</v>
      </c>
      <c r="G1229" t="s">
        <v>70</v>
      </c>
      <c r="H1229">
        <v>5</v>
      </c>
      <c r="I1229" t="s">
        <v>6982</v>
      </c>
      <c r="K1229" t="s">
        <v>6983</v>
      </c>
      <c r="L1229" t="s">
        <v>25</v>
      </c>
      <c r="M1229">
        <v>98635</v>
      </c>
      <c r="N1229" t="s">
        <v>6984</v>
      </c>
      <c r="O1229" t="s">
        <v>6985</v>
      </c>
      <c r="P1229" t="s">
        <v>6986</v>
      </c>
      <c r="Q1229" t="s">
        <v>30</v>
      </c>
      <c r="R1229" t="s">
        <v>31</v>
      </c>
      <c r="S1229" t="s">
        <v>32</v>
      </c>
    </row>
    <row r="1230" spans="1:19" x14ac:dyDescent="0.45">
      <c r="A1230" t="str">
        <f t="shared" si="77"/>
        <v>06801</v>
      </c>
      <c r="B1230" t="s">
        <v>1870</v>
      </c>
      <c r="C1230" t="str">
        <f>"20406"</f>
        <v>20406</v>
      </c>
      <c r="D1230" t="s">
        <v>6980</v>
      </c>
      <c r="E1230" t="str">
        <f>"3111"</f>
        <v>3111</v>
      </c>
      <c r="F1230" t="s">
        <v>6987</v>
      </c>
      <c r="G1230">
        <v>9</v>
      </c>
      <c r="H1230">
        <v>12</v>
      </c>
      <c r="I1230" t="s">
        <v>6982</v>
      </c>
      <c r="K1230" t="s">
        <v>6983</v>
      </c>
      <c r="L1230" t="s">
        <v>25</v>
      </c>
      <c r="M1230" t="s">
        <v>6988</v>
      </c>
      <c r="N1230" t="s">
        <v>6989</v>
      </c>
      <c r="O1230" t="s">
        <v>6990</v>
      </c>
      <c r="P1230" t="s">
        <v>6991</v>
      </c>
      <c r="Q1230" t="s">
        <v>30</v>
      </c>
      <c r="R1230" t="s">
        <v>31</v>
      </c>
      <c r="S1230" t="s">
        <v>58</v>
      </c>
    </row>
    <row r="1231" spans="1:19" x14ac:dyDescent="0.45">
      <c r="A1231" t="str">
        <f t="shared" si="77"/>
        <v>06801</v>
      </c>
      <c r="B1231" t="s">
        <v>1870</v>
      </c>
      <c r="C1231" t="str">
        <f>"20406"</f>
        <v>20406</v>
      </c>
      <c r="D1231" t="s">
        <v>6980</v>
      </c>
      <c r="E1231" t="str">
        <f>"3643"</f>
        <v>3643</v>
      </c>
      <c r="F1231" t="s">
        <v>6992</v>
      </c>
      <c r="G1231">
        <v>6</v>
      </c>
      <c r="H1231">
        <v>8</v>
      </c>
      <c r="I1231" t="s">
        <v>6982</v>
      </c>
      <c r="K1231" t="s">
        <v>6983</v>
      </c>
      <c r="L1231" t="s">
        <v>25</v>
      </c>
      <c r="M1231" t="s">
        <v>6988</v>
      </c>
      <c r="N1231" t="s">
        <v>6989</v>
      </c>
      <c r="O1231" t="s">
        <v>6990</v>
      </c>
      <c r="P1231" t="s">
        <v>6991</v>
      </c>
      <c r="Q1231" t="s">
        <v>30</v>
      </c>
      <c r="R1231" t="s">
        <v>31</v>
      </c>
      <c r="S1231" t="s">
        <v>104</v>
      </c>
    </row>
    <row r="1232" spans="1:19" x14ac:dyDescent="0.45">
      <c r="A1232" t="str">
        <f t="shared" ref="A1232:A1265" si="78">"34801"</f>
        <v>34801</v>
      </c>
      <c r="B1232" t="s">
        <v>2257</v>
      </c>
      <c r="C1232" t="str">
        <f>"21014"</f>
        <v>21014</v>
      </c>
      <c r="D1232" t="s">
        <v>6993</v>
      </c>
      <c r="E1232" t="str">
        <f>"2273"</f>
        <v>2273</v>
      </c>
      <c r="F1232" t="s">
        <v>6994</v>
      </c>
      <c r="G1232">
        <v>7</v>
      </c>
      <c r="H1232">
        <v>12</v>
      </c>
      <c r="I1232" t="s">
        <v>6995</v>
      </c>
      <c r="K1232" t="s">
        <v>6996</v>
      </c>
      <c r="L1232" t="s">
        <v>25</v>
      </c>
      <c r="M1232" t="s">
        <v>6997</v>
      </c>
      <c r="N1232" t="s">
        <v>6998</v>
      </c>
      <c r="O1232" t="s">
        <v>6999</v>
      </c>
      <c r="P1232" t="s">
        <v>7000</v>
      </c>
      <c r="Q1232" t="s">
        <v>30</v>
      </c>
      <c r="R1232" t="s">
        <v>31</v>
      </c>
      <c r="S1232" t="s">
        <v>159</v>
      </c>
    </row>
    <row r="1233" spans="1:19" x14ac:dyDescent="0.45">
      <c r="A1233" t="str">
        <f t="shared" si="78"/>
        <v>34801</v>
      </c>
      <c r="B1233" t="s">
        <v>2257</v>
      </c>
      <c r="C1233" t="str">
        <f>"21014"</f>
        <v>21014</v>
      </c>
      <c r="D1233" t="s">
        <v>6993</v>
      </c>
      <c r="E1233" t="str">
        <f>"3288"</f>
        <v>3288</v>
      </c>
      <c r="F1233" t="s">
        <v>7001</v>
      </c>
      <c r="G1233" t="s">
        <v>22</v>
      </c>
      <c r="H1233">
        <v>6</v>
      </c>
      <c r="I1233" t="s">
        <v>7002</v>
      </c>
      <c r="K1233" t="s">
        <v>6996</v>
      </c>
      <c r="L1233" t="s">
        <v>25</v>
      </c>
      <c r="M1233" t="s">
        <v>6997</v>
      </c>
      <c r="N1233" t="s">
        <v>7003</v>
      </c>
      <c r="O1233" t="s">
        <v>7004</v>
      </c>
      <c r="P1233" t="s">
        <v>7005</v>
      </c>
      <c r="Q1233" t="s">
        <v>30</v>
      </c>
      <c r="R1233" t="s">
        <v>31</v>
      </c>
      <c r="S1233" t="s">
        <v>32</v>
      </c>
    </row>
    <row r="1234" spans="1:19" x14ac:dyDescent="0.45">
      <c r="A1234" t="str">
        <f t="shared" si="78"/>
        <v>34801</v>
      </c>
      <c r="B1234" t="s">
        <v>2257</v>
      </c>
      <c r="C1234" t="str">
        <f>"21036"</f>
        <v>21036</v>
      </c>
      <c r="D1234" t="s">
        <v>7006</v>
      </c>
      <c r="E1234" t="str">
        <f>"2355"</f>
        <v>2355</v>
      </c>
      <c r="F1234" t="s">
        <v>7007</v>
      </c>
      <c r="G1234" t="s">
        <v>70</v>
      </c>
      <c r="H1234">
        <v>6</v>
      </c>
      <c r="I1234" t="s">
        <v>7008</v>
      </c>
      <c r="K1234" t="s">
        <v>7009</v>
      </c>
      <c r="L1234" t="s">
        <v>25</v>
      </c>
      <c r="M1234" t="s">
        <v>7010</v>
      </c>
      <c r="N1234" t="s">
        <v>7011</v>
      </c>
      <c r="O1234" t="s">
        <v>7012</v>
      </c>
      <c r="P1234" t="s">
        <v>7013</v>
      </c>
      <c r="Q1234" t="s">
        <v>30</v>
      </c>
      <c r="R1234" t="s">
        <v>31</v>
      </c>
      <c r="S1234" t="s">
        <v>32</v>
      </c>
    </row>
    <row r="1235" spans="1:19" x14ac:dyDescent="0.45">
      <c r="A1235" t="str">
        <f t="shared" si="78"/>
        <v>34801</v>
      </c>
      <c r="B1235" t="s">
        <v>2257</v>
      </c>
      <c r="C1235" t="str">
        <f>"21206"</f>
        <v>21206</v>
      </c>
      <c r="D1235" t="s">
        <v>2798</v>
      </c>
      <c r="E1235" t="str">
        <f>"2572"</f>
        <v>2572</v>
      </c>
      <c r="F1235" t="s">
        <v>7014</v>
      </c>
      <c r="G1235" t="s">
        <v>70</v>
      </c>
      <c r="H1235">
        <v>6</v>
      </c>
      <c r="I1235" t="s">
        <v>7015</v>
      </c>
      <c r="J1235" t="s">
        <v>7016</v>
      </c>
      <c r="K1235" t="s">
        <v>7017</v>
      </c>
      <c r="L1235" t="s">
        <v>25</v>
      </c>
      <c r="M1235" t="s">
        <v>7018</v>
      </c>
      <c r="N1235" t="s">
        <v>7019</v>
      </c>
      <c r="O1235" t="s">
        <v>7020</v>
      </c>
      <c r="P1235" t="s">
        <v>7021</v>
      </c>
      <c r="Q1235" t="s">
        <v>30</v>
      </c>
      <c r="R1235" t="s">
        <v>31</v>
      </c>
      <c r="S1235" t="s">
        <v>32</v>
      </c>
    </row>
    <row r="1236" spans="1:19" x14ac:dyDescent="0.45">
      <c r="A1236" t="str">
        <f t="shared" si="78"/>
        <v>34801</v>
      </c>
      <c r="B1236" t="s">
        <v>2257</v>
      </c>
      <c r="C1236" t="str">
        <f>"21206"</f>
        <v>21206</v>
      </c>
      <c r="D1236" t="s">
        <v>2798</v>
      </c>
      <c r="E1236" t="str">
        <f>"3238"</f>
        <v>3238</v>
      </c>
      <c r="F1236" t="s">
        <v>7022</v>
      </c>
      <c r="G1236">
        <v>7</v>
      </c>
      <c r="H1236">
        <v>12</v>
      </c>
      <c r="I1236" t="s">
        <v>7023</v>
      </c>
      <c r="J1236" t="s">
        <v>7024</v>
      </c>
      <c r="K1236" t="s">
        <v>2801</v>
      </c>
      <c r="L1236" t="s">
        <v>25</v>
      </c>
      <c r="M1236">
        <v>98564</v>
      </c>
      <c r="N1236" t="s">
        <v>2802</v>
      </c>
      <c r="O1236" t="s">
        <v>2803</v>
      </c>
      <c r="P1236" t="s">
        <v>2804</v>
      </c>
      <c r="Q1236" t="s">
        <v>30</v>
      </c>
      <c r="R1236" t="s">
        <v>31</v>
      </c>
      <c r="S1236" t="s">
        <v>159</v>
      </c>
    </row>
    <row r="1237" spans="1:19" x14ac:dyDescent="0.45">
      <c r="A1237" t="str">
        <f t="shared" si="78"/>
        <v>34801</v>
      </c>
      <c r="B1237" t="s">
        <v>2257</v>
      </c>
      <c r="C1237" t="str">
        <f>"21214"</f>
        <v>21214</v>
      </c>
      <c r="D1237" t="s">
        <v>7025</v>
      </c>
      <c r="E1237" t="str">
        <f>"2678"</f>
        <v>2678</v>
      </c>
      <c r="F1237" t="s">
        <v>7026</v>
      </c>
      <c r="G1237" t="s">
        <v>22</v>
      </c>
      <c r="H1237">
        <v>6</v>
      </c>
      <c r="I1237" t="s">
        <v>7027</v>
      </c>
      <c r="K1237" t="s">
        <v>7028</v>
      </c>
      <c r="L1237" t="s">
        <v>25</v>
      </c>
      <c r="M1237" t="s">
        <v>7029</v>
      </c>
      <c r="N1237" t="s">
        <v>7030</v>
      </c>
      <c r="O1237" t="s">
        <v>7031</v>
      </c>
      <c r="P1237" t="s">
        <v>7032</v>
      </c>
      <c r="Q1237" t="s">
        <v>30</v>
      </c>
      <c r="R1237" t="s">
        <v>31</v>
      </c>
      <c r="S1237" t="s">
        <v>32</v>
      </c>
    </row>
    <row r="1238" spans="1:19" x14ac:dyDescent="0.45">
      <c r="A1238" t="str">
        <f t="shared" si="78"/>
        <v>34801</v>
      </c>
      <c r="B1238" t="s">
        <v>2257</v>
      </c>
      <c r="C1238" t="str">
        <f>"21214"</f>
        <v>21214</v>
      </c>
      <c r="D1238" t="s">
        <v>7025</v>
      </c>
      <c r="E1238" t="str">
        <f>"3112"</f>
        <v>3112</v>
      </c>
      <c r="F1238" t="s">
        <v>7033</v>
      </c>
      <c r="G1238">
        <v>7</v>
      </c>
      <c r="H1238">
        <v>12</v>
      </c>
      <c r="I1238" t="s">
        <v>7034</v>
      </c>
      <c r="K1238" t="s">
        <v>7028</v>
      </c>
      <c r="L1238" t="s">
        <v>25</v>
      </c>
      <c r="M1238" t="s">
        <v>7035</v>
      </c>
      <c r="N1238" t="s">
        <v>7036</v>
      </c>
      <c r="O1238" t="s">
        <v>7037</v>
      </c>
      <c r="P1238" t="s">
        <v>7038</v>
      </c>
      <c r="Q1238" t="s">
        <v>30</v>
      </c>
      <c r="R1238" t="s">
        <v>31</v>
      </c>
      <c r="S1238" t="s">
        <v>159</v>
      </c>
    </row>
    <row r="1239" spans="1:19" x14ac:dyDescent="0.45">
      <c r="A1239" t="str">
        <f t="shared" si="78"/>
        <v>34801</v>
      </c>
      <c r="B1239" t="s">
        <v>2257</v>
      </c>
      <c r="C1239" t="str">
        <f>"21226"</f>
        <v>21226</v>
      </c>
      <c r="D1239" t="s">
        <v>7039</v>
      </c>
      <c r="E1239" t="str">
        <f>"2227"</f>
        <v>2227</v>
      </c>
      <c r="F1239" t="s">
        <v>7040</v>
      </c>
      <c r="G1239" t="s">
        <v>22</v>
      </c>
      <c r="H1239">
        <v>5</v>
      </c>
      <c r="I1239" t="s">
        <v>7041</v>
      </c>
      <c r="K1239" t="s">
        <v>7042</v>
      </c>
      <c r="L1239" t="s">
        <v>25</v>
      </c>
      <c r="M1239" t="s">
        <v>7043</v>
      </c>
      <c r="N1239" t="s">
        <v>7044</v>
      </c>
      <c r="O1239" t="s">
        <v>7045</v>
      </c>
      <c r="P1239" t="s">
        <v>7046</v>
      </c>
      <c r="Q1239" t="s">
        <v>30</v>
      </c>
      <c r="R1239" t="s">
        <v>31</v>
      </c>
      <c r="S1239" t="s">
        <v>32</v>
      </c>
    </row>
    <row r="1240" spans="1:19" x14ac:dyDescent="0.45">
      <c r="A1240" t="str">
        <f t="shared" si="78"/>
        <v>34801</v>
      </c>
      <c r="B1240" t="s">
        <v>2257</v>
      </c>
      <c r="C1240" t="str">
        <f>"21226"</f>
        <v>21226</v>
      </c>
      <c r="D1240" t="s">
        <v>7039</v>
      </c>
      <c r="E1240" t="str">
        <f>"2441"</f>
        <v>2441</v>
      </c>
      <c r="F1240" t="s">
        <v>7047</v>
      </c>
      <c r="G1240">
        <v>6</v>
      </c>
      <c r="H1240">
        <v>12</v>
      </c>
      <c r="I1240" t="s">
        <v>7048</v>
      </c>
      <c r="K1240" t="s">
        <v>7042</v>
      </c>
      <c r="L1240" t="s">
        <v>25</v>
      </c>
      <c r="M1240" t="s">
        <v>7049</v>
      </c>
      <c r="N1240" t="s">
        <v>7050</v>
      </c>
      <c r="O1240" t="s">
        <v>7051</v>
      </c>
      <c r="P1240" t="s">
        <v>7052</v>
      </c>
      <c r="Q1240" t="s">
        <v>30</v>
      </c>
      <c r="R1240" t="s">
        <v>31</v>
      </c>
      <c r="S1240" t="s">
        <v>159</v>
      </c>
    </row>
    <row r="1241" spans="1:19" x14ac:dyDescent="0.45">
      <c r="A1241" t="str">
        <f t="shared" si="78"/>
        <v>34801</v>
      </c>
      <c r="B1241" t="s">
        <v>2257</v>
      </c>
      <c r="C1241" t="str">
        <f>"21232"</f>
        <v>21232</v>
      </c>
      <c r="D1241" t="s">
        <v>7053</v>
      </c>
      <c r="E1241" t="str">
        <f>"1829"</f>
        <v>1829</v>
      </c>
      <c r="F1241" t="s">
        <v>7054</v>
      </c>
      <c r="G1241">
        <v>6</v>
      </c>
      <c r="H1241">
        <v>12</v>
      </c>
      <c r="I1241" t="s">
        <v>7055</v>
      </c>
      <c r="K1241" t="s">
        <v>7009</v>
      </c>
      <c r="L1241" t="s">
        <v>25</v>
      </c>
      <c r="M1241" t="s">
        <v>7056</v>
      </c>
      <c r="N1241" t="s">
        <v>7057</v>
      </c>
      <c r="O1241" t="s">
        <v>7058</v>
      </c>
      <c r="P1241" t="s">
        <v>7059</v>
      </c>
      <c r="Q1241" t="s">
        <v>157</v>
      </c>
      <c r="R1241" t="s">
        <v>158</v>
      </c>
      <c r="S1241" t="s">
        <v>58</v>
      </c>
    </row>
    <row r="1242" spans="1:19" x14ac:dyDescent="0.45">
      <c r="A1242" t="str">
        <f t="shared" si="78"/>
        <v>34801</v>
      </c>
      <c r="B1242" t="s">
        <v>2257</v>
      </c>
      <c r="C1242" t="str">
        <f>"21232"</f>
        <v>21232</v>
      </c>
      <c r="D1242" t="s">
        <v>7053</v>
      </c>
      <c r="E1242" t="str">
        <f>"2290"</f>
        <v>2290</v>
      </c>
      <c r="F1242" t="s">
        <v>7060</v>
      </c>
      <c r="G1242" t="s">
        <v>22</v>
      </c>
      <c r="H1242">
        <v>5</v>
      </c>
      <c r="I1242" t="s">
        <v>7061</v>
      </c>
      <c r="K1242" t="s">
        <v>7009</v>
      </c>
      <c r="L1242" t="s">
        <v>25</v>
      </c>
      <c r="M1242" t="s">
        <v>7056</v>
      </c>
      <c r="N1242" t="s">
        <v>7057</v>
      </c>
      <c r="O1242" t="s">
        <v>7058</v>
      </c>
      <c r="P1242" t="s">
        <v>7059</v>
      </c>
      <c r="Q1242" t="s">
        <v>30</v>
      </c>
      <c r="R1242" t="s">
        <v>31</v>
      </c>
      <c r="S1242" t="s">
        <v>32</v>
      </c>
    </row>
    <row r="1243" spans="1:19" x14ac:dyDescent="0.45">
      <c r="A1243" t="str">
        <f t="shared" si="78"/>
        <v>34801</v>
      </c>
      <c r="B1243" t="s">
        <v>2257</v>
      </c>
      <c r="C1243" t="str">
        <f>"21232"</f>
        <v>21232</v>
      </c>
      <c r="D1243" t="s">
        <v>7053</v>
      </c>
      <c r="E1243" t="str">
        <f>"3597"</f>
        <v>3597</v>
      </c>
      <c r="F1243" t="s">
        <v>7062</v>
      </c>
      <c r="G1243">
        <v>9</v>
      </c>
      <c r="H1243">
        <v>12</v>
      </c>
      <c r="I1243" t="s">
        <v>7063</v>
      </c>
      <c r="K1243" t="s">
        <v>7009</v>
      </c>
      <c r="L1243" t="s">
        <v>25</v>
      </c>
      <c r="M1243" t="s">
        <v>7056</v>
      </c>
      <c r="N1243" t="s">
        <v>7064</v>
      </c>
      <c r="O1243" t="s">
        <v>7065</v>
      </c>
      <c r="P1243" t="s">
        <v>7066</v>
      </c>
      <c r="Q1243" t="s">
        <v>30</v>
      </c>
      <c r="R1243" t="s">
        <v>31</v>
      </c>
      <c r="S1243" t="s">
        <v>58</v>
      </c>
    </row>
    <row r="1244" spans="1:19" x14ac:dyDescent="0.45">
      <c r="A1244" t="str">
        <f t="shared" si="78"/>
        <v>34801</v>
      </c>
      <c r="B1244" t="s">
        <v>2257</v>
      </c>
      <c r="C1244" t="str">
        <f>"21232"</f>
        <v>21232</v>
      </c>
      <c r="D1244" t="s">
        <v>7053</v>
      </c>
      <c r="E1244" t="str">
        <f>"4369"</f>
        <v>4369</v>
      </c>
      <c r="F1244" t="s">
        <v>7067</v>
      </c>
      <c r="G1244">
        <v>6</v>
      </c>
      <c r="H1244">
        <v>8</v>
      </c>
      <c r="I1244" t="s">
        <v>7063</v>
      </c>
      <c r="K1244" t="s">
        <v>7009</v>
      </c>
      <c r="L1244" t="s">
        <v>25</v>
      </c>
      <c r="M1244" t="s">
        <v>7056</v>
      </c>
      <c r="N1244" t="s">
        <v>7064</v>
      </c>
      <c r="O1244" t="s">
        <v>7065</v>
      </c>
      <c r="P1244" t="s">
        <v>7068</v>
      </c>
      <c r="Q1244" t="s">
        <v>30</v>
      </c>
      <c r="R1244" t="s">
        <v>31</v>
      </c>
      <c r="S1244" t="s">
        <v>104</v>
      </c>
    </row>
    <row r="1245" spans="1:19" x14ac:dyDescent="0.45">
      <c r="A1245" t="str">
        <f t="shared" si="78"/>
        <v>34801</v>
      </c>
      <c r="B1245" t="s">
        <v>2257</v>
      </c>
      <c r="C1245" t="str">
        <f>"21234"</f>
        <v>21234</v>
      </c>
      <c r="D1245" t="s">
        <v>7069</v>
      </c>
      <c r="E1245" t="str">
        <f>"2516"</f>
        <v>2516</v>
      </c>
      <c r="F1245" t="s">
        <v>7070</v>
      </c>
      <c r="G1245" t="s">
        <v>22</v>
      </c>
      <c r="H1245">
        <v>8</v>
      </c>
      <c r="I1245" t="s">
        <v>7071</v>
      </c>
      <c r="K1245" t="s">
        <v>7072</v>
      </c>
      <c r="L1245" t="s">
        <v>25</v>
      </c>
      <c r="M1245" t="s">
        <v>7073</v>
      </c>
      <c r="N1245" t="s">
        <v>7074</v>
      </c>
      <c r="O1245" t="s">
        <v>7075</v>
      </c>
      <c r="P1245" t="s">
        <v>7076</v>
      </c>
      <c r="Q1245" t="s">
        <v>30</v>
      </c>
      <c r="R1245" t="s">
        <v>31</v>
      </c>
      <c r="S1245" t="s">
        <v>159</v>
      </c>
    </row>
    <row r="1246" spans="1:19" x14ac:dyDescent="0.45">
      <c r="A1246" t="str">
        <f t="shared" si="78"/>
        <v>34801</v>
      </c>
      <c r="B1246" t="s">
        <v>2257</v>
      </c>
      <c r="C1246" t="str">
        <f>"21237"</f>
        <v>21237</v>
      </c>
      <c r="D1246" t="s">
        <v>7077</v>
      </c>
      <c r="E1246" t="str">
        <f>"2616"</f>
        <v>2616</v>
      </c>
      <c r="F1246" t="s">
        <v>7078</v>
      </c>
      <c r="G1246">
        <v>9</v>
      </c>
      <c r="H1246">
        <v>12</v>
      </c>
      <c r="I1246" t="s">
        <v>7079</v>
      </c>
      <c r="K1246" t="s">
        <v>7080</v>
      </c>
      <c r="L1246" t="s">
        <v>25</v>
      </c>
      <c r="M1246">
        <v>98591</v>
      </c>
      <c r="N1246" t="s">
        <v>7081</v>
      </c>
      <c r="O1246" t="s">
        <v>7082</v>
      </c>
      <c r="P1246" t="s">
        <v>7083</v>
      </c>
      <c r="Q1246" t="s">
        <v>30</v>
      </c>
      <c r="R1246" t="s">
        <v>31</v>
      </c>
      <c r="S1246" t="s">
        <v>58</v>
      </c>
    </row>
    <row r="1247" spans="1:19" x14ac:dyDescent="0.45">
      <c r="A1247" t="str">
        <f t="shared" si="78"/>
        <v>34801</v>
      </c>
      <c r="B1247" t="s">
        <v>2257</v>
      </c>
      <c r="C1247" t="str">
        <f>"21237"</f>
        <v>21237</v>
      </c>
      <c r="D1247" t="s">
        <v>7077</v>
      </c>
      <c r="E1247" t="str">
        <f>"2998"</f>
        <v>2998</v>
      </c>
      <c r="F1247" t="s">
        <v>7084</v>
      </c>
      <c r="G1247" t="s">
        <v>22</v>
      </c>
      <c r="H1247">
        <v>5</v>
      </c>
      <c r="I1247" t="s">
        <v>7085</v>
      </c>
      <c r="K1247" t="s">
        <v>7080</v>
      </c>
      <c r="L1247" t="s">
        <v>25</v>
      </c>
      <c r="M1247">
        <v>98591</v>
      </c>
      <c r="N1247" t="s">
        <v>79</v>
      </c>
      <c r="Q1247" t="s">
        <v>30</v>
      </c>
      <c r="R1247" t="s">
        <v>31</v>
      </c>
      <c r="S1247" t="s">
        <v>32</v>
      </c>
    </row>
    <row r="1248" spans="1:19" x14ac:dyDescent="0.45">
      <c r="A1248" t="str">
        <f t="shared" si="78"/>
        <v>34801</v>
      </c>
      <c r="B1248" t="s">
        <v>2257</v>
      </c>
      <c r="C1248" t="str">
        <f>"21237"</f>
        <v>21237</v>
      </c>
      <c r="D1248" t="s">
        <v>7077</v>
      </c>
      <c r="E1248" t="str">
        <f>"3977"</f>
        <v>3977</v>
      </c>
      <c r="F1248" t="s">
        <v>7086</v>
      </c>
      <c r="G1248">
        <v>6</v>
      </c>
      <c r="H1248">
        <v>8</v>
      </c>
      <c r="I1248" t="s">
        <v>7087</v>
      </c>
      <c r="K1248" t="s">
        <v>7080</v>
      </c>
      <c r="L1248" t="s">
        <v>25</v>
      </c>
      <c r="M1248" t="s">
        <v>7088</v>
      </c>
      <c r="N1248" t="s">
        <v>7089</v>
      </c>
      <c r="O1248" t="s">
        <v>7090</v>
      </c>
      <c r="P1248" t="s">
        <v>7091</v>
      </c>
      <c r="Q1248" t="s">
        <v>30</v>
      </c>
      <c r="R1248" t="s">
        <v>31</v>
      </c>
      <c r="S1248" t="s">
        <v>104</v>
      </c>
    </row>
    <row r="1249" spans="1:19" x14ac:dyDescent="0.45">
      <c r="A1249" t="str">
        <f t="shared" si="78"/>
        <v>34801</v>
      </c>
      <c r="B1249" t="s">
        <v>2257</v>
      </c>
      <c r="C1249" t="str">
        <f>"21300"</f>
        <v>21300</v>
      </c>
      <c r="D1249" t="s">
        <v>7092</v>
      </c>
      <c r="E1249" t="str">
        <f>"2331"</f>
        <v>2331</v>
      </c>
      <c r="F1249" t="s">
        <v>7093</v>
      </c>
      <c r="G1249">
        <v>9</v>
      </c>
      <c r="H1249">
        <v>12</v>
      </c>
      <c r="I1249" t="s">
        <v>7094</v>
      </c>
      <c r="K1249" t="s">
        <v>7095</v>
      </c>
      <c r="L1249" t="s">
        <v>25</v>
      </c>
      <c r="M1249" t="s">
        <v>7096</v>
      </c>
      <c r="N1249" t="s">
        <v>7097</v>
      </c>
      <c r="O1249" t="s">
        <v>7098</v>
      </c>
      <c r="P1249" t="s">
        <v>7099</v>
      </c>
      <c r="Q1249" t="s">
        <v>30</v>
      </c>
      <c r="R1249" t="s">
        <v>31</v>
      </c>
      <c r="S1249" t="s">
        <v>58</v>
      </c>
    </row>
    <row r="1250" spans="1:19" x14ac:dyDescent="0.45">
      <c r="A1250" t="str">
        <f t="shared" si="78"/>
        <v>34801</v>
      </c>
      <c r="B1250" t="s">
        <v>2257</v>
      </c>
      <c r="C1250" t="str">
        <f>"21300"</f>
        <v>21300</v>
      </c>
      <c r="D1250" t="s">
        <v>7092</v>
      </c>
      <c r="E1250" t="str">
        <f>"3239"</f>
        <v>3239</v>
      </c>
      <c r="F1250" t="s">
        <v>7100</v>
      </c>
      <c r="G1250" t="s">
        <v>22</v>
      </c>
      <c r="H1250">
        <v>5</v>
      </c>
      <c r="I1250" t="s">
        <v>7094</v>
      </c>
      <c r="K1250" t="s">
        <v>7095</v>
      </c>
      <c r="L1250" t="s">
        <v>25</v>
      </c>
      <c r="M1250" t="s">
        <v>7096</v>
      </c>
      <c r="N1250" t="s">
        <v>7101</v>
      </c>
      <c r="O1250" t="s">
        <v>7102</v>
      </c>
      <c r="P1250" t="s">
        <v>7099</v>
      </c>
      <c r="Q1250" t="s">
        <v>30</v>
      </c>
      <c r="R1250" t="s">
        <v>31</v>
      </c>
      <c r="S1250" t="s">
        <v>159</v>
      </c>
    </row>
    <row r="1251" spans="1:19" x14ac:dyDescent="0.45">
      <c r="A1251" t="str">
        <f t="shared" si="78"/>
        <v>34801</v>
      </c>
      <c r="B1251" t="s">
        <v>2257</v>
      </c>
      <c r="C1251" t="str">
        <f>"21300"</f>
        <v>21300</v>
      </c>
      <c r="D1251" t="s">
        <v>7092</v>
      </c>
      <c r="E1251" t="str">
        <f>"4335"</f>
        <v>4335</v>
      </c>
      <c r="F1251" t="s">
        <v>7103</v>
      </c>
      <c r="G1251">
        <v>6</v>
      </c>
      <c r="H1251">
        <v>8</v>
      </c>
      <c r="I1251" t="s">
        <v>7104</v>
      </c>
      <c r="K1251" t="s">
        <v>7095</v>
      </c>
      <c r="L1251" t="s">
        <v>25</v>
      </c>
      <c r="M1251" t="s">
        <v>7096</v>
      </c>
      <c r="N1251" t="s">
        <v>7105</v>
      </c>
      <c r="O1251" t="s">
        <v>7106</v>
      </c>
      <c r="P1251" t="s">
        <v>7099</v>
      </c>
      <c r="Q1251" t="s">
        <v>1410</v>
      </c>
      <c r="R1251" t="s">
        <v>31</v>
      </c>
      <c r="S1251" t="s">
        <v>104</v>
      </c>
    </row>
    <row r="1252" spans="1:19" x14ac:dyDescent="0.45">
      <c r="A1252" t="str">
        <f t="shared" si="78"/>
        <v>34801</v>
      </c>
      <c r="B1252" t="s">
        <v>2257</v>
      </c>
      <c r="C1252" t="str">
        <f>"21301"</f>
        <v>21301</v>
      </c>
      <c r="D1252" t="s">
        <v>7107</v>
      </c>
      <c r="E1252" t="str">
        <f>"2858"</f>
        <v>2858</v>
      </c>
      <c r="F1252" t="s">
        <v>7108</v>
      </c>
      <c r="G1252" t="s">
        <v>22</v>
      </c>
      <c r="H1252">
        <v>12</v>
      </c>
      <c r="I1252" t="s">
        <v>7109</v>
      </c>
      <c r="K1252" t="s">
        <v>7110</v>
      </c>
      <c r="L1252" t="s">
        <v>25</v>
      </c>
      <c r="M1252" t="s">
        <v>7111</v>
      </c>
      <c r="N1252" t="s">
        <v>7112</v>
      </c>
      <c r="O1252" t="s">
        <v>7113</v>
      </c>
      <c r="P1252" t="s">
        <v>7114</v>
      </c>
      <c r="Q1252" t="s">
        <v>30</v>
      </c>
      <c r="R1252" t="s">
        <v>31</v>
      </c>
      <c r="S1252" t="s">
        <v>68</v>
      </c>
    </row>
    <row r="1253" spans="1:19" x14ac:dyDescent="0.45">
      <c r="A1253" t="str">
        <f t="shared" si="78"/>
        <v>34801</v>
      </c>
      <c r="B1253" t="s">
        <v>2257</v>
      </c>
      <c r="C1253" t="str">
        <f>"21302"</f>
        <v>21302</v>
      </c>
      <c r="D1253" t="s">
        <v>2323</v>
      </c>
      <c r="E1253" t="str">
        <f>"1559"</f>
        <v>1559</v>
      </c>
      <c r="F1253" t="s">
        <v>7115</v>
      </c>
      <c r="G1253">
        <v>5</v>
      </c>
      <c r="H1253">
        <v>12</v>
      </c>
      <c r="I1253" t="s">
        <v>7116</v>
      </c>
      <c r="J1253" t="s">
        <v>7117</v>
      </c>
      <c r="K1253" t="s">
        <v>2326</v>
      </c>
      <c r="L1253" t="s">
        <v>25</v>
      </c>
      <c r="M1253" t="s">
        <v>7118</v>
      </c>
      <c r="N1253" t="s">
        <v>2599</v>
      </c>
      <c r="O1253" t="s">
        <v>2328</v>
      </c>
      <c r="P1253" t="s">
        <v>2329</v>
      </c>
      <c r="Q1253" t="s">
        <v>1312</v>
      </c>
      <c r="R1253" t="s">
        <v>1313</v>
      </c>
      <c r="S1253" t="s">
        <v>159</v>
      </c>
    </row>
    <row r="1254" spans="1:19" x14ac:dyDescent="0.45">
      <c r="A1254" t="str">
        <f t="shared" si="78"/>
        <v>34801</v>
      </c>
      <c r="B1254" t="s">
        <v>2257</v>
      </c>
      <c r="C1254" t="str">
        <f>"21302"</f>
        <v>21302</v>
      </c>
      <c r="D1254" t="s">
        <v>2323</v>
      </c>
      <c r="E1254" t="str">
        <f>"2027"</f>
        <v>2027</v>
      </c>
      <c r="F1254" t="s">
        <v>7119</v>
      </c>
      <c r="G1254">
        <v>9</v>
      </c>
      <c r="H1254">
        <v>12</v>
      </c>
      <c r="I1254" t="s">
        <v>7120</v>
      </c>
      <c r="K1254" t="s">
        <v>2326</v>
      </c>
      <c r="L1254" t="s">
        <v>25</v>
      </c>
      <c r="M1254" t="s">
        <v>7118</v>
      </c>
      <c r="N1254" t="s">
        <v>2599</v>
      </c>
      <c r="O1254" t="s">
        <v>2328</v>
      </c>
      <c r="P1254" t="s">
        <v>7121</v>
      </c>
      <c r="Q1254" t="s">
        <v>962</v>
      </c>
      <c r="R1254" t="s">
        <v>963</v>
      </c>
      <c r="S1254" t="s">
        <v>58</v>
      </c>
    </row>
    <row r="1255" spans="1:19" x14ac:dyDescent="0.45">
      <c r="A1255" t="str">
        <f t="shared" si="78"/>
        <v>34801</v>
      </c>
      <c r="B1255" t="s">
        <v>2257</v>
      </c>
      <c r="C1255" t="str">
        <f>"21302"</f>
        <v>21302</v>
      </c>
      <c r="D1255" t="s">
        <v>2323</v>
      </c>
      <c r="E1255" t="str">
        <f>"2799"</f>
        <v>2799</v>
      </c>
      <c r="F1255" t="s">
        <v>7122</v>
      </c>
      <c r="G1255">
        <v>9</v>
      </c>
      <c r="H1255">
        <v>12</v>
      </c>
      <c r="I1255" t="s">
        <v>7123</v>
      </c>
      <c r="K1255" t="s">
        <v>2326</v>
      </c>
      <c r="L1255" t="s">
        <v>25</v>
      </c>
      <c r="M1255" t="s">
        <v>7124</v>
      </c>
      <c r="N1255" t="s">
        <v>7125</v>
      </c>
      <c r="O1255" t="s">
        <v>7126</v>
      </c>
      <c r="P1255" t="s">
        <v>7127</v>
      </c>
      <c r="Q1255" t="s">
        <v>30</v>
      </c>
      <c r="R1255" t="s">
        <v>31</v>
      </c>
      <c r="S1255" t="s">
        <v>58</v>
      </c>
    </row>
    <row r="1256" spans="1:19" x14ac:dyDescent="0.45">
      <c r="A1256" t="str">
        <f t="shared" si="78"/>
        <v>34801</v>
      </c>
      <c r="B1256" t="s">
        <v>2257</v>
      </c>
      <c r="C1256" t="str">
        <f>"21302"</f>
        <v>21302</v>
      </c>
      <c r="D1256" t="s">
        <v>2323</v>
      </c>
      <c r="E1256" t="str">
        <f>"4311"</f>
        <v>4311</v>
      </c>
      <c r="F1256" t="s">
        <v>7128</v>
      </c>
      <c r="G1256">
        <v>6</v>
      </c>
      <c r="H1256">
        <v>8</v>
      </c>
      <c r="I1256" t="s">
        <v>7129</v>
      </c>
      <c r="K1256" t="s">
        <v>2326</v>
      </c>
      <c r="L1256" t="s">
        <v>25</v>
      </c>
      <c r="M1256" t="s">
        <v>7124</v>
      </c>
      <c r="N1256" t="s">
        <v>7130</v>
      </c>
      <c r="O1256" t="s">
        <v>7131</v>
      </c>
      <c r="P1256" t="s">
        <v>7132</v>
      </c>
      <c r="Q1256" t="s">
        <v>30</v>
      </c>
      <c r="R1256" t="s">
        <v>31</v>
      </c>
      <c r="S1256" t="s">
        <v>104</v>
      </c>
    </row>
    <row r="1257" spans="1:19" x14ac:dyDescent="0.45">
      <c r="A1257" t="str">
        <f t="shared" si="78"/>
        <v>34801</v>
      </c>
      <c r="B1257" t="s">
        <v>2257</v>
      </c>
      <c r="C1257" t="str">
        <f>"21303"</f>
        <v>21303</v>
      </c>
      <c r="D1257" t="s">
        <v>7133</v>
      </c>
      <c r="E1257" t="str">
        <f>"2859"</f>
        <v>2859</v>
      </c>
      <c r="F1257" t="s">
        <v>7134</v>
      </c>
      <c r="G1257">
        <v>7</v>
      </c>
      <c r="H1257">
        <v>12</v>
      </c>
      <c r="I1257" t="s">
        <v>7135</v>
      </c>
      <c r="K1257" t="s">
        <v>7136</v>
      </c>
      <c r="L1257" t="s">
        <v>25</v>
      </c>
      <c r="M1257">
        <v>98377</v>
      </c>
      <c r="N1257" t="s">
        <v>7137</v>
      </c>
      <c r="O1257" t="s">
        <v>7138</v>
      </c>
      <c r="P1257" t="s">
        <v>7139</v>
      </c>
      <c r="Q1257" t="s">
        <v>30</v>
      </c>
      <c r="R1257" t="s">
        <v>31</v>
      </c>
      <c r="S1257" t="s">
        <v>159</v>
      </c>
    </row>
    <row r="1258" spans="1:19" x14ac:dyDescent="0.45">
      <c r="A1258" t="str">
        <f t="shared" si="78"/>
        <v>34801</v>
      </c>
      <c r="B1258" t="s">
        <v>2257</v>
      </c>
      <c r="C1258" t="str">
        <f>"21303"</f>
        <v>21303</v>
      </c>
      <c r="D1258" t="s">
        <v>7133</v>
      </c>
      <c r="E1258" t="str">
        <f>"3555"</f>
        <v>3555</v>
      </c>
      <c r="F1258" t="s">
        <v>7140</v>
      </c>
      <c r="G1258" t="s">
        <v>70</v>
      </c>
      <c r="H1258">
        <v>6</v>
      </c>
      <c r="I1258" t="s">
        <v>7141</v>
      </c>
      <c r="K1258" t="s">
        <v>7136</v>
      </c>
      <c r="L1258" t="s">
        <v>25</v>
      </c>
      <c r="M1258" t="s">
        <v>7142</v>
      </c>
      <c r="N1258" t="s">
        <v>7143</v>
      </c>
      <c r="O1258" t="s">
        <v>7144</v>
      </c>
      <c r="P1258" t="s">
        <v>7145</v>
      </c>
      <c r="Q1258" t="s">
        <v>30</v>
      </c>
      <c r="R1258" t="s">
        <v>31</v>
      </c>
      <c r="S1258" t="s">
        <v>32</v>
      </c>
    </row>
    <row r="1259" spans="1:19" x14ac:dyDescent="0.45">
      <c r="A1259" t="str">
        <f t="shared" si="78"/>
        <v>34801</v>
      </c>
      <c r="B1259" t="s">
        <v>2257</v>
      </c>
      <c r="C1259" t="str">
        <f t="shared" ref="C1259:C1265" si="79">"21401"</f>
        <v>21401</v>
      </c>
      <c r="D1259" t="s">
        <v>2536</v>
      </c>
      <c r="E1259" t="str">
        <f>"2166"</f>
        <v>2166</v>
      </c>
      <c r="F1259" t="s">
        <v>7146</v>
      </c>
      <c r="G1259">
        <v>9</v>
      </c>
      <c r="H1259">
        <v>12</v>
      </c>
      <c r="I1259" t="s">
        <v>7147</v>
      </c>
      <c r="K1259" t="s">
        <v>2539</v>
      </c>
      <c r="L1259" t="s">
        <v>25</v>
      </c>
      <c r="M1259" t="s">
        <v>7148</v>
      </c>
      <c r="N1259" t="s">
        <v>7149</v>
      </c>
      <c r="O1259" t="s">
        <v>7150</v>
      </c>
      <c r="P1259" t="s">
        <v>7151</v>
      </c>
      <c r="Q1259" t="s">
        <v>30</v>
      </c>
      <c r="R1259" t="s">
        <v>31</v>
      </c>
      <c r="S1259" t="s">
        <v>58</v>
      </c>
    </row>
    <row r="1260" spans="1:19" x14ac:dyDescent="0.45">
      <c r="A1260" t="str">
        <f t="shared" si="78"/>
        <v>34801</v>
      </c>
      <c r="B1260" t="s">
        <v>2257</v>
      </c>
      <c r="C1260" t="str">
        <f t="shared" si="79"/>
        <v>21401</v>
      </c>
      <c r="D1260" t="s">
        <v>2536</v>
      </c>
      <c r="E1260" t="str">
        <f>"2244"</f>
        <v>2244</v>
      </c>
      <c r="F1260" t="s">
        <v>7152</v>
      </c>
      <c r="G1260" t="s">
        <v>70</v>
      </c>
      <c r="H1260">
        <v>6</v>
      </c>
      <c r="I1260" t="s">
        <v>7153</v>
      </c>
      <c r="K1260" t="s">
        <v>2539</v>
      </c>
      <c r="L1260" t="s">
        <v>25</v>
      </c>
      <c r="M1260" t="s">
        <v>7154</v>
      </c>
      <c r="N1260" t="s">
        <v>7155</v>
      </c>
      <c r="O1260" t="s">
        <v>7156</v>
      </c>
      <c r="P1260" t="s">
        <v>7157</v>
      </c>
      <c r="Q1260" t="s">
        <v>30</v>
      </c>
      <c r="R1260" t="s">
        <v>31</v>
      </c>
      <c r="S1260" t="s">
        <v>32</v>
      </c>
    </row>
    <row r="1261" spans="1:19" x14ac:dyDescent="0.45">
      <c r="A1261" t="str">
        <f t="shared" si="78"/>
        <v>34801</v>
      </c>
      <c r="B1261" t="s">
        <v>2257</v>
      </c>
      <c r="C1261" t="str">
        <f t="shared" si="79"/>
        <v>21401</v>
      </c>
      <c r="D1261" t="s">
        <v>2536</v>
      </c>
      <c r="E1261" t="str">
        <f>"2291"</f>
        <v>2291</v>
      </c>
      <c r="F1261" t="s">
        <v>7158</v>
      </c>
      <c r="G1261" t="s">
        <v>70</v>
      </c>
      <c r="H1261">
        <v>6</v>
      </c>
      <c r="I1261" t="s">
        <v>7159</v>
      </c>
      <c r="K1261" t="s">
        <v>2539</v>
      </c>
      <c r="L1261" t="s">
        <v>25</v>
      </c>
      <c r="M1261" t="s">
        <v>7160</v>
      </c>
      <c r="N1261" t="s">
        <v>7161</v>
      </c>
      <c r="O1261" t="s">
        <v>7162</v>
      </c>
      <c r="P1261" t="s">
        <v>7163</v>
      </c>
      <c r="Q1261" t="s">
        <v>30</v>
      </c>
      <c r="R1261" t="s">
        <v>31</v>
      </c>
      <c r="S1261" t="s">
        <v>32</v>
      </c>
    </row>
    <row r="1262" spans="1:19" x14ac:dyDescent="0.45">
      <c r="A1262" t="str">
        <f t="shared" si="78"/>
        <v>34801</v>
      </c>
      <c r="B1262" t="s">
        <v>2257</v>
      </c>
      <c r="C1262" t="str">
        <f t="shared" si="79"/>
        <v>21401</v>
      </c>
      <c r="D1262" t="s">
        <v>2536</v>
      </c>
      <c r="E1262" t="str">
        <f>"2704"</f>
        <v>2704</v>
      </c>
      <c r="F1262" t="s">
        <v>7164</v>
      </c>
      <c r="G1262" t="s">
        <v>70</v>
      </c>
      <c r="H1262">
        <v>6</v>
      </c>
      <c r="I1262" t="s">
        <v>7165</v>
      </c>
      <c r="K1262" t="s">
        <v>2539</v>
      </c>
      <c r="L1262" t="s">
        <v>25</v>
      </c>
      <c r="M1262" t="s">
        <v>7166</v>
      </c>
      <c r="N1262" t="s">
        <v>7167</v>
      </c>
      <c r="O1262" t="s">
        <v>7168</v>
      </c>
      <c r="P1262" t="s">
        <v>7169</v>
      </c>
      <c r="Q1262" t="s">
        <v>30</v>
      </c>
      <c r="R1262" t="s">
        <v>31</v>
      </c>
      <c r="S1262" t="s">
        <v>32</v>
      </c>
    </row>
    <row r="1263" spans="1:19" x14ac:dyDescent="0.45">
      <c r="A1263" t="str">
        <f t="shared" si="78"/>
        <v>34801</v>
      </c>
      <c r="B1263" t="s">
        <v>2257</v>
      </c>
      <c r="C1263" t="str">
        <f t="shared" si="79"/>
        <v>21401</v>
      </c>
      <c r="D1263" t="s">
        <v>2536</v>
      </c>
      <c r="E1263" t="str">
        <f>"2768"</f>
        <v>2768</v>
      </c>
      <c r="F1263" t="s">
        <v>707</v>
      </c>
      <c r="G1263" t="s">
        <v>70</v>
      </c>
      <c r="H1263">
        <v>6</v>
      </c>
      <c r="I1263" t="s">
        <v>7170</v>
      </c>
      <c r="K1263" t="s">
        <v>2539</v>
      </c>
      <c r="L1263" t="s">
        <v>25</v>
      </c>
      <c r="M1263" t="s">
        <v>7171</v>
      </c>
      <c r="N1263" t="s">
        <v>7172</v>
      </c>
      <c r="O1263" t="s">
        <v>7173</v>
      </c>
      <c r="P1263" t="s">
        <v>7174</v>
      </c>
      <c r="Q1263" t="s">
        <v>30</v>
      </c>
      <c r="R1263" t="s">
        <v>31</v>
      </c>
      <c r="S1263" t="s">
        <v>32</v>
      </c>
    </row>
    <row r="1264" spans="1:19" x14ac:dyDescent="0.45">
      <c r="A1264" t="str">
        <f t="shared" si="78"/>
        <v>34801</v>
      </c>
      <c r="B1264" t="s">
        <v>2257</v>
      </c>
      <c r="C1264" t="str">
        <f t="shared" si="79"/>
        <v>21401</v>
      </c>
      <c r="D1264" t="s">
        <v>2536</v>
      </c>
      <c r="E1264" t="str">
        <f>"3172"</f>
        <v>3172</v>
      </c>
      <c r="F1264" t="s">
        <v>7175</v>
      </c>
      <c r="G1264" t="s">
        <v>70</v>
      </c>
      <c r="H1264">
        <v>6</v>
      </c>
      <c r="I1264" t="s">
        <v>7176</v>
      </c>
      <c r="K1264" t="s">
        <v>2539</v>
      </c>
      <c r="L1264" t="s">
        <v>25</v>
      </c>
      <c r="M1264" t="s">
        <v>7177</v>
      </c>
      <c r="N1264" t="s">
        <v>7178</v>
      </c>
      <c r="O1264" t="s">
        <v>7179</v>
      </c>
      <c r="P1264" t="s">
        <v>7180</v>
      </c>
      <c r="Q1264" t="s">
        <v>30</v>
      </c>
      <c r="R1264" t="s">
        <v>31</v>
      </c>
      <c r="S1264" t="s">
        <v>32</v>
      </c>
    </row>
    <row r="1265" spans="1:19" x14ac:dyDescent="0.45">
      <c r="A1265" t="str">
        <f t="shared" si="78"/>
        <v>34801</v>
      </c>
      <c r="B1265" t="s">
        <v>2257</v>
      </c>
      <c r="C1265" t="str">
        <f t="shared" si="79"/>
        <v>21401</v>
      </c>
      <c r="D1265" t="s">
        <v>2536</v>
      </c>
      <c r="E1265" t="str">
        <f>"3240"</f>
        <v>3240</v>
      </c>
      <c r="F1265" t="s">
        <v>7181</v>
      </c>
      <c r="G1265">
        <v>7</v>
      </c>
      <c r="H1265">
        <v>8</v>
      </c>
      <c r="I1265" t="s">
        <v>7182</v>
      </c>
      <c r="K1265" t="s">
        <v>2539</v>
      </c>
      <c r="L1265" t="s">
        <v>25</v>
      </c>
      <c r="M1265" t="s">
        <v>7183</v>
      </c>
      <c r="N1265" t="s">
        <v>7184</v>
      </c>
      <c r="O1265" t="s">
        <v>7185</v>
      </c>
      <c r="P1265" t="s">
        <v>7186</v>
      </c>
      <c r="Q1265" t="s">
        <v>30</v>
      </c>
      <c r="R1265" t="s">
        <v>31</v>
      </c>
      <c r="S1265" t="s">
        <v>104</v>
      </c>
    </row>
    <row r="1266" spans="1:19" x14ac:dyDescent="0.45">
      <c r="A1266" t="str">
        <f t="shared" ref="A1266:A1280" si="80">"32801"</f>
        <v>32801</v>
      </c>
      <c r="B1266" t="s">
        <v>1108</v>
      </c>
      <c r="C1266" t="str">
        <f>"22008"</f>
        <v>22008</v>
      </c>
      <c r="D1266" t="s">
        <v>7187</v>
      </c>
      <c r="E1266" t="str">
        <f>"2186"</f>
        <v>2186</v>
      </c>
      <c r="F1266" t="s">
        <v>7188</v>
      </c>
      <c r="G1266">
        <v>9</v>
      </c>
      <c r="H1266">
        <v>12</v>
      </c>
      <c r="I1266" t="s">
        <v>7189</v>
      </c>
      <c r="K1266" t="s">
        <v>7190</v>
      </c>
      <c r="L1266" t="s">
        <v>25</v>
      </c>
      <c r="M1266" t="s">
        <v>7191</v>
      </c>
      <c r="N1266" t="s">
        <v>7192</v>
      </c>
      <c r="O1266" t="s">
        <v>7193</v>
      </c>
      <c r="P1266" t="s">
        <v>7194</v>
      </c>
      <c r="Q1266" t="s">
        <v>30</v>
      </c>
      <c r="R1266" t="s">
        <v>31</v>
      </c>
      <c r="S1266" t="s">
        <v>58</v>
      </c>
    </row>
    <row r="1267" spans="1:19" x14ac:dyDescent="0.45">
      <c r="A1267" t="str">
        <f t="shared" si="80"/>
        <v>32801</v>
      </c>
      <c r="B1267" t="s">
        <v>1108</v>
      </c>
      <c r="C1267" t="str">
        <f>"22008"</f>
        <v>22008</v>
      </c>
      <c r="D1267" t="s">
        <v>7187</v>
      </c>
      <c r="E1267" t="str">
        <f>"3050"</f>
        <v>3050</v>
      </c>
      <c r="F1267" t="s">
        <v>7195</v>
      </c>
      <c r="G1267" t="s">
        <v>70</v>
      </c>
      <c r="H1267">
        <v>4</v>
      </c>
      <c r="I1267" t="s">
        <v>7196</v>
      </c>
      <c r="K1267" t="s">
        <v>7190</v>
      </c>
      <c r="L1267" t="s">
        <v>25</v>
      </c>
      <c r="M1267" t="s">
        <v>7191</v>
      </c>
      <c r="N1267" t="s">
        <v>7197</v>
      </c>
      <c r="O1267" t="s">
        <v>7193</v>
      </c>
      <c r="P1267" t="s">
        <v>7194</v>
      </c>
      <c r="Q1267" t="s">
        <v>30</v>
      </c>
      <c r="R1267" t="s">
        <v>31</v>
      </c>
      <c r="S1267" t="s">
        <v>32</v>
      </c>
    </row>
    <row r="1268" spans="1:19" x14ac:dyDescent="0.45">
      <c r="A1268" t="str">
        <f t="shared" si="80"/>
        <v>32801</v>
      </c>
      <c r="B1268" t="s">
        <v>1108</v>
      </c>
      <c r="C1268" t="str">
        <f>"22009"</f>
        <v>22009</v>
      </c>
      <c r="D1268" t="s">
        <v>7198</v>
      </c>
      <c r="E1268" t="str">
        <f>"2478"</f>
        <v>2478</v>
      </c>
      <c r="F1268" t="s">
        <v>7199</v>
      </c>
      <c r="G1268">
        <v>6</v>
      </c>
      <c r="H1268">
        <v>12</v>
      </c>
      <c r="I1268" t="s">
        <v>7200</v>
      </c>
      <c r="K1268" t="s">
        <v>7201</v>
      </c>
      <c r="L1268" t="s">
        <v>25</v>
      </c>
      <c r="M1268" t="s">
        <v>7202</v>
      </c>
      <c r="N1268" t="s">
        <v>7203</v>
      </c>
      <c r="O1268" t="s">
        <v>7204</v>
      </c>
      <c r="P1268" t="s">
        <v>7205</v>
      </c>
      <c r="Q1268" t="s">
        <v>30</v>
      </c>
      <c r="R1268" t="s">
        <v>31</v>
      </c>
      <c r="S1268" t="s">
        <v>159</v>
      </c>
    </row>
    <row r="1269" spans="1:19" x14ac:dyDescent="0.45">
      <c r="A1269" t="str">
        <f t="shared" si="80"/>
        <v>32801</v>
      </c>
      <c r="B1269" t="s">
        <v>1108</v>
      </c>
      <c r="C1269" t="str">
        <f>"22009"</f>
        <v>22009</v>
      </c>
      <c r="D1269" t="s">
        <v>7198</v>
      </c>
      <c r="E1269" t="str">
        <f>"2864"</f>
        <v>2864</v>
      </c>
      <c r="F1269" t="s">
        <v>7206</v>
      </c>
      <c r="G1269" t="s">
        <v>70</v>
      </c>
      <c r="H1269">
        <v>5</v>
      </c>
      <c r="I1269" t="s">
        <v>7207</v>
      </c>
      <c r="J1269" t="s">
        <v>7208</v>
      </c>
      <c r="K1269" t="s">
        <v>7201</v>
      </c>
      <c r="L1269" t="s">
        <v>25</v>
      </c>
      <c r="M1269" t="s">
        <v>7202</v>
      </c>
      <c r="N1269" t="s">
        <v>7209</v>
      </c>
      <c r="O1269" t="s">
        <v>7210</v>
      </c>
      <c r="P1269" t="s">
        <v>7211</v>
      </c>
      <c r="Q1269" t="s">
        <v>30</v>
      </c>
      <c r="R1269" t="s">
        <v>31</v>
      </c>
      <c r="S1269" t="s">
        <v>32</v>
      </c>
    </row>
    <row r="1270" spans="1:19" x14ac:dyDescent="0.45">
      <c r="A1270" t="str">
        <f t="shared" si="80"/>
        <v>32801</v>
      </c>
      <c r="B1270" t="s">
        <v>1108</v>
      </c>
      <c r="C1270" t="str">
        <f>"22017"</f>
        <v>22017</v>
      </c>
      <c r="D1270" t="s">
        <v>7212</v>
      </c>
      <c r="E1270" t="str">
        <f>"2860"</f>
        <v>2860</v>
      </c>
      <c r="F1270" t="s">
        <v>7213</v>
      </c>
      <c r="G1270" t="s">
        <v>70</v>
      </c>
      <c r="H1270">
        <v>8</v>
      </c>
      <c r="I1270" t="s">
        <v>7214</v>
      </c>
      <c r="K1270" t="s">
        <v>7215</v>
      </c>
      <c r="L1270" t="s">
        <v>25</v>
      </c>
      <c r="M1270" t="s">
        <v>7216</v>
      </c>
      <c r="N1270" t="s">
        <v>7217</v>
      </c>
      <c r="O1270" t="s">
        <v>7218</v>
      </c>
      <c r="P1270" t="s">
        <v>7219</v>
      </c>
      <c r="Q1270" t="s">
        <v>30</v>
      </c>
      <c r="R1270" t="s">
        <v>31</v>
      </c>
      <c r="S1270" t="s">
        <v>159</v>
      </c>
    </row>
    <row r="1271" spans="1:19" x14ac:dyDescent="0.45">
      <c r="A1271" t="str">
        <f t="shared" si="80"/>
        <v>32801</v>
      </c>
      <c r="B1271" t="s">
        <v>1108</v>
      </c>
      <c r="C1271" t="str">
        <f>"22073"</f>
        <v>22073</v>
      </c>
      <c r="D1271" t="s">
        <v>7220</v>
      </c>
      <c r="E1271" t="str">
        <f>"2862"</f>
        <v>2862</v>
      </c>
      <c r="F1271" t="s">
        <v>7221</v>
      </c>
      <c r="G1271" t="s">
        <v>70</v>
      </c>
      <c r="H1271">
        <v>6</v>
      </c>
      <c r="I1271" t="s">
        <v>7222</v>
      </c>
      <c r="K1271" t="s">
        <v>7223</v>
      </c>
      <c r="L1271" t="s">
        <v>25</v>
      </c>
      <c r="M1271" t="s">
        <v>7224</v>
      </c>
      <c r="N1271" t="s">
        <v>7225</v>
      </c>
      <c r="O1271" t="s">
        <v>7226</v>
      </c>
      <c r="P1271" t="s">
        <v>7227</v>
      </c>
      <c r="Q1271" t="s">
        <v>30</v>
      </c>
      <c r="R1271" t="s">
        <v>31</v>
      </c>
      <c r="S1271" t="s">
        <v>32</v>
      </c>
    </row>
    <row r="1272" spans="1:19" x14ac:dyDescent="0.45">
      <c r="A1272" t="str">
        <f t="shared" si="80"/>
        <v>32801</v>
      </c>
      <c r="B1272" t="s">
        <v>1108</v>
      </c>
      <c r="C1272" t="str">
        <f>"22073"</f>
        <v>22073</v>
      </c>
      <c r="D1272" t="s">
        <v>7220</v>
      </c>
      <c r="E1272" t="str">
        <f>"2863"</f>
        <v>2863</v>
      </c>
      <c r="F1272" t="s">
        <v>7228</v>
      </c>
      <c r="G1272">
        <v>7</v>
      </c>
      <c r="H1272">
        <v>12</v>
      </c>
      <c r="I1272" t="s">
        <v>7222</v>
      </c>
      <c r="K1272" t="s">
        <v>7223</v>
      </c>
      <c r="L1272" t="s">
        <v>25</v>
      </c>
      <c r="M1272" t="s">
        <v>7224</v>
      </c>
      <c r="N1272" t="s">
        <v>7225</v>
      </c>
      <c r="O1272" t="s">
        <v>7229</v>
      </c>
      <c r="P1272" t="s">
        <v>7227</v>
      </c>
      <c r="Q1272" t="s">
        <v>30</v>
      </c>
      <c r="R1272" t="s">
        <v>31</v>
      </c>
      <c r="S1272" t="s">
        <v>159</v>
      </c>
    </row>
    <row r="1273" spans="1:19" x14ac:dyDescent="0.45">
      <c r="A1273" t="str">
        <f t="shared" si="80"/>
        <v>32801</v>
      </c>
      <c r="B1273" t="s">
        <v>1108</v>
      </c>
      <c r="C1273" t="str">
        <f>"22105"</f>
        <v>22105</v>
      </c>
      <c r="D1273" t="s">
        <v>7230</v>
      </c>
      <c r="E1273" t="str">
        <f>"2443"</f>
        <v>2443</v>
      </c>
      <c r="F1273" t="s">
        <v>7231</v>
      </c>
      <c r="G1273">
        <v>7</v>
      </c>
      <c r="H1273">
        <v>12</v>
      </c>
      <c r="I1273" t="s">
        <v>7232</v>
      </c>
      <c r="K1273" t="s">
        <v>7233</v>
      </c>
      <c r="L1273" t="s">
        <v>25</v>
      </c>
      <c r="M1273" t="s">
        <v>7234</v>
      </c>
      <c r="N1273" t="s">
        <v>7235</v>
      </c>
      <c r="O1273" t="s">
        <v>7236</v>
      </c>
      <c r="P1273" t="s">
        <v>7237</v>
      </c>
      <c r="Q1273" t="s">
        <v>30</v>
      </c>
      <c r="R1273" t="s">
        <v>31</v>
      </c>
      <c r="S1273" t="s">
        <v>159</v>
      </c>
    </row>
    <row r="1274" spans="1:19" x14ac:dyDescent="0.45">
      <c r="A1274" t="str">
        <f t="shared" si="80"/>
        <v>32801</v>
      </c>
      <c r="B1274" t="s">
        <v>1108</v>
      </c>
      <c r="C1274" t="str">
        <f>"22105"</f>
        <v>22105</v>
      </c>
      <c r="D1274" t="s">
        <v>7230</v>
      </c>
      <c r="E1274" t="str">
        <f>"2769"</f>
        <v>2769</v>
      </c>
      <c r="F1274" t="s">
        <v>7238</v>
      </c>
      <c r="G1274" t="s">
        <v>22</v>
      </c>
      <c r="H1274">
        <v>6</v>
      </c>
      <c r="I1274" t="s">
        <v>7232</v>
      </c>
      <c r="K1274" t="s">
        <v>7233</v>
      </c>
      <c r="L1274" t="s">
        <v>25</v>
      </c>
      <c r="M1274" t="s">
        <v>7234</v>
      </c>
      <c r="N1274" t="s">
        <v>7235</v>
      </c>
      <c r="O1274" t="s">
        <v>7236</v>
      </c>
      <c r="P1274" t="s">
        <v>7237</v>
      </c>
      <c r="Q1274" t="s">
        <v>30</v>
      </c>
      <c r="R1274" t="s">
        <v>31</v>
      </c>
      <c r="S1274" t="s">
        <v>32</v>
      </c>
    </row>
    <row r="1275" spans="1:19" x14ac:dyDescent="0.45">
      <c r="A1275" t="str">
        <f t="shared" si="80"/>
        <v>32801</v>
      </c>
      <c r="B1275" t="s">
        <v>1108</v>
      </c>
      <c r="C1275" t="str">
        <f>"22200"</f>
        <v>22200</v>
      </c>
      <c r="D1275" t="s">
        <v>7239</v>
      </c>
      <c r="E1275" t="str">
        <f>"3289"</f>
        <v>3289</v>
      </c>
      <c r="F1275" t="s">
        <v>7240</v>
      </c>
      <c r="G1275">
        <v>7</v>
      </c>
      <c r="H1275">
        <v>12</v>
      </c>
      <c r="I1275" t="s">
        <v>7241</v>
      </c>
      <c r="K1275" t="s">
        <v>7242</v>
      </c>
      <c r="L1275" t="s">
        <v>25</v>
      </c>
      <c r="M1275" t="s">
        <v>7243</v>
      </c>
      <c r="N1275" t="s">
        <v>7244</v>
      </c>
      <c r="O1275" t="s">
        <v>7245</v>
      </c>
      <c r="P1275" t="s">
        <v>7246</v>
      </c>
      <c r="Q1275" t="s">
        <v>30</v>
      </c>
      <c r="R1275" t="s">
        <v>31</v>
      </c>
      <c r="S1275" t="s">
        <v>159</v>
      </c>
    </row>
    <row r="1276" spans="1:19" x14ac:dyDescent="0.45">
      <c r="A1276" t="str">
        <f t="shared" si="80"/>
        <v>32801</v>
      </c>
      <c r="B1276" t="s">
        <v>1108</v>
      </c>
      <c r="C1276" t="str">
        <f>"22200"</f>
        <v>22200</v>
      </c>
      <c r="D1276" t="s">
        <v>7239</v>
      </c>
      <c r="E1276" t="str">
        <f>"3290"</f>
        <v>3290</v>
      </c>
      <c r="F1276" t="s">
        <v>7247</v>
      </c>
      <c r="G1276" t="s">
        <v>70</v>
      </c>
      <c r="H1276">
        <v>6</v>
      </c>
      <c r="I1276" t="s">
        <v>7241</v>
      </c>
      <c r="K1276" t="s">
        <v>7242</v>
      </c>
      <c r="L1276" t="s">
        <v>25</v>
      </c>
      <c r="M1276" t="s">
        <v>7243</v>
      </c>
      <c r="N1276" t="s">
        <v>7244</v>
      </c>
      <c r="O1276" t="s">
        <v>7245</v>
      </c>
      <c r="P1276" t="s">
        <v>7246</v>
      </c>
      <c r="Q1276" t="s">
        <v>30</v>
      </c>
      <c r="R1276" t="s">
        <v>31</v>
      </c>
      <c r="S1276" t="s">
        <v>32</v>
      </c>
    </row>
    <row r="1277" spans="1:19" x14ac:dyDescent="0.45">
      <c r="A1277" t="str">
        <f t="shared" si="80"/>
        <v>32801</v>
      </c>
      <c r="B1277" t="s">
        <v>1108</v>
      </c>
      <c r="C1277" t="str">
        <f>"22204"</f>
        <v>22204</v>
      </c>
      <c r="D1277" t="s">
        <v>7248</v>
      </c>
      <c r="E1277" t="str">
        <f>"2743"</f>
        <v>2743</v>
      </c>
      <c r="F1277" t="s">
        <v>7249</v>
      </c>
      <c r="G1277" t="s">
        <v>70</v>
      </c>
      <c r="H1277">
        <v>6</v>
      </c>
      <c r="I1277" t="s">
        <v>7250</v>
      </c>
      <c r="K1277" t="s">
        <v>7251</v>
      </c>
      <c r="L1277" t="s">
        <v>25</v>
      </c>
      <c r="M1277" t="s">
        <v>7252</v>
      </c>
      <c r="N1277" t="s">
        <v>7253</v>
      </c>
      <c r="O1277" t="s">
        <v>7254</v>
      </c>
      <c r="P1277" t="s">
        <v>7255</v>
      </c>
      <c r="Q1277" t="s">
        <v>30</v>
      </c>
      <c r="R1277" t="s">
        <v>31</v>
      </c>
      <c r="S1277" t="s">
        <v>32</v>
      </c>
    </row>
    <row r="1278" spans="1:19" x14ac:dyDescent="0.45">
      <c r="A1278" t="str">
        <f t="shared" si="80"/>
        <v>32801</v>
      </c>
      <c r="B1278" t="s">
        <v>1108</v>
      </c>
      <c r="C1278" t="str">
        <f>"22204"</f>
        <v>22204</v>
      </c>
      <c r="D1278" t="s">
        <v>7248</v>
      </c>
      <c r="E1278" t="str">
        <f>"3113"</f>
        <v>3113</v>
      </c>
      <c r="F1278" t="s">
        <v>7256</v>
      </c>
      <c r="G1278">
        <v>7</v>
      </c>
      <c r="H1278">
        <v>12</v>
      </c>
      <c r="I1278" t="s">
        <v>7250</v>
      </c>
      <c r="K1278" t="s">
        <v>7251</v>
      </c>
      <c r="L1278" t="s">
        <v>25</v>
      </c>
      <c r="M1278" t="s">
        <v>7252</v>
      </c>
      <c r="N1278" t="s">
        <v>79</v>
      </c>
      <c r="Q1278" t="s">
        <v>30</v>
      </c>
      <c r="R1278" t="s">
        <v>31</v>
      </c>
      <c r="S1278" t="s">
        <v>159</v>
      </c>
    </row>
    <row r="1279" spans="1:19" x14ac:dyDescent="0.45">
      <c r="A1279" t="str">
        <f t="shared" si="80"/>
        <v>32801</v>
      </c>
      <c r="B1279" t="s">
        <v>1108</v>
      </c>
      <c r="C1279" t="str">
        <f>"22207"</f>
        <v>22207</v>
      </c>
      <c r="D1279" t="s">
        <v>4677</v>
      </c>
      <c r="E1279" t="str">
        <f>"2668"</f>
        <v>2668</v>
      </c>
      <c r="F1279" t="s">
        <v>7257</v>
      </c>
      <c r="G1279" t="s">
        <v>22</v>
      </c>
      <c r="H1279">
        <v>5</v>
      </c>
      <c r="I1279" t="s">
        <v>7258</v>
      </c>
      <c r="K1279" t="s">
        <v>7259</v>
      </c>
      <c r="L1279" t="s">
        <v>25</v>
      </c>
      <c r="M1279" t="s">
        <v>7260</v>
      </c>
      <c r="N1279" t="s">
        <v>7261</v>
      </c>
      <c r="O1279" t="s">
        <v>7262</v>
      </c>
      <c r="P1279" t="s">
        <v>7263</v>
      </c>
      <c r="Q1279" t="s">
        <v>30</v>
      </c>
      <c r="R1279" t="s">
        <v>31</v>
      </c>
      <c r="S1279" t="s">
        <v>32</v>
      </c>
    </row>
    <row r="1280" spans="1:19" x14ac:dyDescent="0.45">
      <c r="A1280" t="str">
        <f t="shared" si="80"/>
        <v>32801</v>
      </c>
      <c r="B1280" t="s">
        <v>1108</v>
      </c>
      <c r="C1280" t="str">
        <f>"22207"</f>
        <v>22207</v>
      </c>
      <c r="D1280" t="s">
        <v>4677</v>
      </c>
      <c r="E1280" t="str">
        <f>"3173"</f>
        <v>3173</v>
      </c>
      <c r="F1280" t="s">
        <v>7264</v>
      </c>
      <c r="G1280">
        <v>6</v>
      </c>
      <c r="H1280">
        <v>12</v>
      </c>
      <c r="I1280" t="s">
        <v>7265</v>
      </c>
      <c r="K1280" t="s">
        <v>7259</v>
      </c>
      <c r="L1280" t="s">
        <v>25</v>
      </c>
      <c r="M1280" t="s">
        <v>7260</v>
      </c>
      <c r="N1280" t="s">
        <v>4681</v>
      </c>
      <c r="O1280" t="s">
        <v>4682</v>
      </c>
      <c r="P1280" t="s">
        <v>7266</v>
      </c>
      <c r="Q1280" t="s">
        <v>30</v>
      </c>
      <c r="R1280" t="s">
        <v>31</v>
      </c>
      <c r="S1280" t="s">
        <v>159</v>
      </c>
    </row>
    <row r="1281" spans="1:19" x14ac:dyDescent="0.45">
      <c r="A1281" t="str">
        <f t="shared" ref="A1281:A1291" si="81">"34801"</f>
        <v>34801</v>
      </c>
      <c r="B1281" t="s">
        <v>2257</v>
      </c>
      <c r="C1281" t="str">
        <f>"23042"</f>
        <v>23042</v>
      </c>
      <c r="D1281" t="s">
        <v>7267</v>
      </c>
      <c r="E1281" t="str">
        <f>"2744"</f>
        <v>2744</v>
      </c>
      <c r="F1281" t="s">
        <v>7268</v>
      </c>
      <c r="G1281" t="s">
        <v>70</v>
      </c>
      <c r="H1281">
        <v>7</v>
      </c>
      <c r="I1281" t="s">
        <v>7269</v>
      </c>
      <c r="K1281" t="s">
        <v>4440</v>
      </c>
      <c r="L1281" t="s">
        <v>25</v>
      </c>
      <c r="M1281" t="s">
        <v>7270</v>
      </c>
      <c r="N1281" t="s">
        <v>7271</v>
      </c>
      <c r="O1281" t="s">
        <v>7272</v>
      </c>
      <c r="P1281" t="s">
        <v>7273</v>
      </c>
      <c r="Q1281" t="s">
        <v>30</v>
      </c>
      <c r="R1281" t="s">
        <v>31</v>
      </c>
      <c r="S1281" t="s">
        <v>159</v>
      </c>
    </row>
    <row r="1282" spans="1:19" x14ac:dyDescent="0.45">
      <c r="A1282" t="str">
        <f t="shared" si="81"/>
        <v>34801</v>
      </c>
      <c r="B1282" t="s">
        <v>2257</v>
      </c>
      <c r="C1282" t="str">
        <f>"23054"</f>
        <v>23054</v>
      </c>
      <c r="D1282" t="s">
        <v>7274</v>
      </c>
      <c r="E1282" t="str">
        <f>"2145"</f>
        <v>2145</v>
      </c>
      <c r="F1282" t="s">
        <v>7275</v>
      </c>
      <c r="G1282" t="s">
        <v>70</v>
      </c>
      <c r="H1282">
        <v>8</v>
      </c>
      <c r="I1282" t="s">
        <v>7276</v>
      </c>
      <c r="K1282" t="s">
        <v>7277</v>
      </c>
      <c r="L1282" t="s">
        <v>25</v>
      </c>
      <c r="M1282" t="s">
        <v>7278</v>
      </c>
      <c r="N1282" t="s">
        <v>7279</v>
      </c>
      <c r="O1282" t="s">
        <v>7280</v>
      </c>
      <c r="P1282" t="s">
        <v>7281</v>
      </c>
      <c r="Q1282" t="s">
        <v>30</v>
      </c>
      <c r="R1282" t="s">
        <v>31</v>
      </c>
      <c r="S1282" t="s">
        <v>159</v>
      </c>
    </row>
    <row r="1283" spans="1:19" x14ac:dyDescent="0.45">
      <c r="A1283" t="str">
        <f t="shared" si="81"/>
        <v>34801</v>
      </c>
      <c r="B1283" t="s">
        <v>2257</v>
      </c>
      <c r="C1283" t="str">
        <f t="shared" ref="C1283:C1289" si="82">"23309"</f>
        <v>23309</v>
      </c>
      <c r="D1283" t="s">
        <v>4436</v>
      </c>
      <c r="E1283" t="str">
        <f>"1888"</f>
        <v>1888</v>
      </c>
      <c r="F1283" t="s">
        <v>7282</v>
      </c>
      <c r="G1283">
        <v>7</v>
      </c>
      <c r="H1283">
        <v>12</v>
      </c>
      <c r="I1283" t="s">
        <v>7283</v>
      </c>
      <c r="K1283" t="s">
        <v>4280</v>
      </c>
      <c r="L1283" t="s">
        <v>25</v>
      </c>
      <c r="M1283" t="s">
        <v>7284</v>
      </c>
      <c r="N1283" t="s">
        <v>7285</v>
      </c>
      <c r="O1283" t="s">
        <v>7286</v>
      </c>
      <c r="P1283" t="s">
        <v>7287</v>
      </c>
      <c r="Q1283" t="s">
        <v>1312</v>
      </c>
      <c r="R1283" t="s">
        <v>1313</v>
      </c>
      <c r="S1283" t="s">
        <v>159</v>
      </c>
    </row>
    <row r="1284" spans="1:19" x14ac:dyDescent="0.45">
      <c r="A1284" t="str">
        <f t="shared" si="81"/>
        <v>34801</v>
      </c>
      <c r="B1284" t="s">
        <v>2257</v>
      </c>
      <c r="C1284" t="str">
        <f t="shared" si="82"/>
        <v>23309</v>
      </c>
      <c r="D1284" t="s">
        <v>4436</v>
      </c>
      <c r="E1284" t="str">
        <f>"2745"</f>
        <v>2745</v>
      </c>
      <c r="F1284" t="s">
        <v>7288</v>
      </c>
      <c r="G1284" t="s">
        <v>22</v>
      </c>
      <c r="H1284">
        <v>4</v>
      </c>
      <c r="I1284" t="s">
        <v>7289</v>
      </c>
      <c r="K1284" t="s">
        <v>4280</v>
      </c>
      <c r="L1284" t="s">
        <v>25</v>
      </c>
      <c r="M1284" t="s">
        <v>7290</v>
      </c>
      <c r="N1284" t="s">
        <v>4757</v>
      </c>
      <c r="O1284" t="s">
        <v>7291</v>
      </c>
      <c r="P1284" t="s">
        <v>7292</v>
      </c>
      <c r="Q1284" t="s">
        <v>30</v>
      </c>
      <c r="R1284" t="s">
        <v>31</v>
      </c>
      <c r="S1284" t="s">
        <v>32</v>
      </c>
    </row>
    <row r="1285" spans="1:19" x14ac:dyDescent="0.45">
      <c r="A1285" t="str">
        <f t="shared" si="81"/>
        <v>34801</v>
      </c>
      <c r="B1285" t="s">
        <v>2257</v>
      </c>
      <c r="C1285" t="str">
        <f t="shared" si="82"/>
        <v>23309</v>
      </c>
      <c r="D1285" t="s">
        <v>4436</v>
      </c>
      <c r="E1285" t="str">
        <f>"3241"</f>
        <v>3241</v>
      </c>
      <c r="F1285" t="s">
        <v>7293</v>
      </c>
      <c r="G1285">
        <v>9</v>
      </c>
      <c r="H1285">
        <v>12</v>
      </c>
      <c r="I1285" t="s">
        <v>7294</v>
      </c>
      <c r="K1285" t="s">
        <v>4280</v>
      </c>
      <c r="L1285" t="s">
        <v>25</v>
      </c>
      <c r="M1285" t="s">
        <v>7295</v>
      </c>
      <c r="N1285" t="s">
        <v>7296</v>
      </c>
      <c r="O1285" t="s">
        <v>7297</v>
      </c>
      <c r="P1285" t="s">
        <v>7298</v>
      </c>
      <c r="Q1285" t="s">
        <v>30</v>
      </c>
      <c r="R1285" t="s">
        <v>31</v>
      </c>
      <c r="S1285" t="s">
        <v>58</v>
      </c>
    </row>
    <row r="1286" spans="1:19" x14ac:dyDescent="0.45">
      <c r="A1286" t="str">
        <f t="shared" si="81"/>
        <v>34801</v>
      </c>
      <c r="B1286" t="s">
        <v>2257</v>
      </c>
      <c r="C1286" t="str">
        <f t="shared" si="82"/>
        <v>23309</v>
      </c>
      <c r="D1286" t="s">
        <v>4436</v>
      </c>
      <c r="E1286" t="str">
        <f>"3291"</f>
        <v>3291</v>
      </c>
      <c r="F1286" t="s">
        <v>7299</v>
      </c>
      <c r="G1286" t="s">
        <v>70</v>
      </c>
      <c r="H1286">
        <v>4</v>
      </c>
      <c r="I1286" t="s">
        <v>7300</v>
      </c>
      <c r="K1286" t="s">
        <v>4280</v>
      </c>
      <c r="L1286" t="s">
        <v>25</v>
      </c>
      <c r="M1286" t="s">
        <v>7301</v>
      </c>
      <c r="N1286" t="s">
        <v>7302</v>
      </c>
      <c r="O1286" t="s">
        <v>7303</v>
      </c>
      <c r="P1286" t="s">
        <v>7304</v>
      </c>
      <c r="Q1286" t="s">
        <v>30</v>
      </c>
      <c r="R1286" t="s">
        <v>31</v>
      </c>
      <c r="S1286" t="s">
        <v>32</v>
      </c>
    </row>
    <row r="1287" spans="1:19" x14ac:dyDescent="0.45">
      <c r="A1287" t="str">
        <f t="shared" si="81"/>
        <v>34801</v>
      </c>
      <c r="B1287" t="s">
        <v>2257</v>
      </c>
      <c r="C1287" t="str">
        <f t="shared" si="82"/>
        <v>23309</v>
      </c>
      <c r="D1287" t="s">
        <v>4436</v>
      </c>
      <c r="E1287" t="str">
        <f>"3292"</f>
        <v>3292</v>
      </c>
      <c r="F1287" t="s">
        <v>4049</v>
      </c>
      <c r="G1287" t="s">
        <v>22</v>
      </c>
      <c r="H1287">
        <v>4</v>
      </c>
      <c r="I1287" t="s">
        <v>7305</v>
      </c>
      <c r="K1287" t="s">
        <v>4280</v>
      </c>
      <c r="L1287" t="s">
        <v>25</v>
      </c>
      <c r="M1287" t="s">
        <v>7306</v>
      </c>
      <c r="N1287" t="s">
        <v>7307</v>
      </c>
      <c r="O1287" t="s">
        <v>7308</v>
      </c>
      <c r="P1287" t="s">
        <v>7309</v>
      </c>
      <c r="Q1287" t="s">
        <v>30</v>
      </c>
      <c r="R1287" t="s">
        <v>31</v>
      </c>
      <c r="S1287" t="s">
        <v>32</v>
      </c>
    </row>
    <row r="1288" spans="1:19" x14ac:dyDescent="0.45">
      <c r="A1288" t="str">
        <f t="shared" si="81"/>
        <v>34801</v>
      </c>
      <c r="B1288" t="s">
        <v>2257</v>
      </c>
      <c r="C1288" t="str">
        <f t="shared" si="82"/>
        <v>23309</v>
      </c>
      <c r="D1288" t="s">
        <v>4436</v>
      </c>
      <c r="E1288" t="str">
        <f>"4288"</f>
        <v>4288</v>
      </c>
      <c r="F1288" t="s">
        <v>7310</v>
      </c>
      <c r="G1288">
        <v>7</v>
      </c>
      <c r="H1288">
        <v>12</v>
      </c>
      <c r="I1288" t="s">
        <v>7311</v>
      </c>
      <c r="K1288" t="s">
        <v>4280</v>
      </c>
      <c r="L1288" t="s">
        <v>25</v>
      </c>
      <c r="M1288" t="s">
        <v>7312</v>
      </c>
      <c r="N1288" t="s">
        <v>7285</v>
      </c>
      <c r="O1288" t="s">
        <v>7286</v>
      </c>
      <c r="P1288" t="s">
        <v>7287</v>
      </c>
      <c r="Q1288" t="s">
        <v>157</v>
      </c>
      <c r="R1288" t="s">
        <v>158</v>
      </c>
      <c r="S1288" t="s">
        <v>159</v>
      </c>
    </row>
    <row r="1289" spans="1:19" x14ac:dyDescent="0.45">
      <c r="A1289" t="str">
        <f t="shared" si="81"/>
        <v>34801</v>
      </c>
      <c r="B1289" t="s">
        <v>2257</v>
      </c>
      <c r="C1289" t="str">
        <f t="shared" si="82"/>
        <v>23309</v>
      </c>
      <c r="D1289" t="s">
        <v>4436</v>
      </c>
      <c r="E1289" t="str">
        <f>"4363"</f>
        <v>4363</v>
      </c>
      <c r="F1289" t="s">
        <v>7313</v>
      </c>
      <c r="G1289">
        <v>7</v>
      </c>
      <c r="H1289">
        <v>8</v>
      </c>
      <c r="I1289" t="s">
        <v>7314</v>
      </c>
      <c r="K1289" t="s">
        <v>4280</v>
      </c>
      <c r="L1289" t="s">
        <v>25</v>
      </c>
      <c r="M1289" t="s">
        <v>7315</v>
      </c>
      <c r="N1289" t="s">
        <v>7316</v>
      </c>
      <c r="O1289" t="s">
        <v>7317</v>
      </c>
      <c r="P1289" t="s">
        <v>7318</v>
      </c>
      <c r="Q1289" t="s">
        <v>30</v>
      </c>
      <c r="R1289" t="s">
        <v>31</v>
      </c>
      <c r="S1289" t="s">
        <v>104</v>
      </c>
    </row>
    <row r="1290" spans="1:19" x14ac:dyDescent="0.45">
      <c r="A1290" t="str">
        <f t="shared" si="81"/>
        <v>34801</v>
      </c>
      <c r="B1290" t="s">
        <v>2257</v>
      </c>
      <c r="C1290" t="str">
        <f>"23402"</f>
        <v>23402</v>
      </c>
      <c r="D1290" t="s">
        <v>7319</v>
      </c>
      <c r="E1290" t="str">
        <f>"2865"</f>
        <v>2865</v>
      </c>
      <c r="F1290" t="s">
        <v>1706</v>
      </c>
      <c r="G1290">
        <v>6</v>
      </c>
      <c r="H1290">
        <v>8</v>
      </c>
      <c r="I1290" t="s">
        <v>7320</v>
      </c>
      <c r="K1290" t="s">
        <v>4440</v>
      </c>
      <c r="L1290" t="s">
        <v>25</v>
      </c>
      <c r="M1290" t="s">
        <v>7321</v>
      </c>
      <c r="N1290" t="s">
        <v>7322</v>
      </c>
      <c r="O1290" t="s">
        <v>7323</v>
      </c>
      <c r="P1290" t="s">
        <v>7324</v>
      </c>
      <c r="Q1290" t="s">
        <v>30</v>
      </c>
      <c r="R1290" t="s">
        <v>31</v>
      </c>
      <c r="S1290" t="s">
        <v>104</v>
      </c>
    </row>
    <row r="1291" spans="1:19" x14ac:dyDescent="0.45">
      <c r="A1291" t="str">
        <f t="shared" si="81"/>
        <v>34801</v>
      </c>
      <c r="B1291" t="s">
        <v>2257</v>
      </c>
      <c r="C1291" t="str">
        <f>"23402"</f>
        <v>23402</v>
      </c>
      <c r="D1291" t="s">
        <v>7319</v>
      </c>
      <c r="E1291" t="str">
        <f>"4463"</f>
        <v>4463</v>
      </c>
      <c r="F1291" t="s">
        <v>747</v>
      </c>
      <c r="G1291" t="s">
        <v>22</v>
      </c>
      <c r="H1291">
        <v>5</v>
      </c>
      <c r="I1291" t="s">
        <v>7325</v>
      </c>
      <c r="K1291" t="s">
        <v>4440</v>
      </c>
      <c r="L1291" t="s">
        <v>25</v>
      </c>
      <c r="M1291" t="s">
        <v>7326</v>
      </c>
      <c r="N1291" t="s">
        <v>7327</v>
      </c>
      <c r="O1291" t="s">
        <v>7328</v>
      </c>
      <c r="P1291" t="s">
        <v>7329</v>
      </c>
      <c r="Q1291" t="s">
        <v>30</v>
      </c>
      <c r="R1291" t="s">
        <v>31</v>
      </c>
      <c r="S1291" t="s">
        <v>32</v>
      </c>
    </row>
    <row r="1292" spans="1:19" x14ac:dyDescent="0.45">
      <c r="A1292" t="str">
        <f t="shared" ref="A1292:A1297" si="83">"18801"</f>
        <v>18801</v>
      </c>
      <c r="B1292" t="s">
        <v>1731</v>
      </c>
      <c r="C1292" t="str">
        <f t="shared" ref="C1292:C1297" si="84">"23403"</f>
        <v>23403</v>
      </c>
      <c r="D1292" t="s">
        <v>4265</v>
      </c>
      <c r="E1292" t="str">
        <f>"1680"</f>
        <v>1680</v>
      </c>
      <c r="F1292" t="s">
        <v>7330</v>
      </c>
      <c r="G1292">
        <v>9</v>
      </c>
      <c r="H1292">
        <v>12</v>
      </c>
      <c r="I1292" t="s">
        <v>7331</v>
      </c>
      <c r="K1292" t="s">
        <v>4268</v>
      </c>
      <c r="L1292" t="s">
        <v>25</v>
      </c>
      <c r="M1292" t="s">
        <v>7332</v>
      </c>
      <c r="N1292" t="s">
        <v>7333</v>
      </c>
      <c r="O1292" t="s">
        <v>7334</v>
      </c>
      <c r="P1292" t="s">
        <v>7335</v>
      </c>
      <c r="Q1292" t="s">
        <v>157</v>
      </c>
      <c r="R1292" t="s">
        <v>158</v>
      </c>
      <c r="S1292" t="s">
        <v>58</v>
      </c>
    </row>
    <row r="1293" spans="1:19" x14ac:dyDescent="0.45">
      <c r="A1293" t="str">
        <f t="shared" si="83"/>
        <v>18801</v>
      </c>
      <c r="B1293" t="s">
        <v>1731</v>
      </c>
      <c r="C1293" t="str">
        <f t="shared" si="84"/>
        <v>23403</v>
      </c>
      <c r="D1293" t="s">
        <v>4265</v>
      </c>
      <c r="E1293" t="str">
        <f>"1861"</f>
        <v>1861</v>
      </c>
      <c r="F1293" t="s">
        <v>7336</v>
      </c>
      <c r="G1293" t="s">
        <v>70</v>
      </c>
      <c r="H1293">
        <v>12</v>
      </c>
      <c r="I1293" t="s">
        <v>7331</v>
      </c>
      <c r="K1293" t="s">
        <v>4268</v>
      </c>
      <c r="L1293" t="s">
        <v>25</v>
      </c>
      <c r="M1293" t="s">
        <v>7332</v>
      </c>
      <c r="N1293" t="s">
        <v>7333</v>
      </c>
      <c r="O1293" t="s">
        <v>7334</v>
      </c>
      <c r="P1293" t="s">
        <v>7335</v>
      </c>
      <c r="Q1293" t="s">
        <v>157</v>
      </c>
      <c r="R1293" t="s">
        <v>158</v>
      </c>
      <c r="S1293" t="s">
        <v>330</v>
      </c>
    </row>
    <row r="1294" spans="1:19" x14ac:dyDescent="0.45">
      <c r="A1294" t="str">
        <f t="shared" si="83"/>
        <v>18801</v>
      </c>
      <c r="B1294" t="s">
        <v>1731</v>
      </c>
      <c r="C1294" t="str">
        <f t="shared" si="84"/>
        <v>23403</v>
      </c>
      <c r="D1294" t="s">
        <v>4265</v>
      </c>
      <c r="E1294" t="str">
        <f>"2662"</f>
        <v>2662</v>
      </c>
      <c r="F1294" t="s">
        <v>7337</v>
      </c>
      <c r="G1294" t="s">
        <v>22</v>
      </c>
      <c r="H1294">
        <v>5</v>
      </c>
      <c r="I1294" t="s">
        <v>7338</v>
      </c>
      <c r="K1294" t="s">
        <v>4268</v>
      </c>
      <c r="L1294" t="s">
        <v>25</v>
      </c>
      <c r="M1294" t="s">
        <v>7332</v>
      </c>
      <c r="N1294" t="s">
        <v>7339</v>
      </c>
      <c r="O1294" t="s">
        <v>7340</v>
      </c>
      <c r="P1294" t="s">
        <v>7341</v>
      </c>
      <c r="Q1294" t="s">
        <v>30</v>
      </c>
      <c r="R1294" t="s">
        <v>31</v>
      </c>
      <c r="S1294" t="s">
        <v>32</v>
      </c>
    </row>
    <row r="1295" spans="1:19" x14ac:dyDescent="0.45">
      <c r="A1295" t="str">
        <f t="shared" si="83"/>
        <v>18801</v>
      </c>
      <c r="B1295" t="s">
        <v>1731</v>
      </c>
      <c r="C1295" t="str">
        <f t="shared" si="84"/>
        <v>23403</v>
      </c>
      <c r="D1295" t="s">
        <v>4265</v>
      </c>
      <c r="E1295" t="str">
        <f>"3174"</f>
        <v>3174</v>
      </c>
      <c r="F1295" t="s">
        <v>7342</v>
      </c>
      <c r="G1295">
        <v>6</v>
      </c>
      <c r="H1295">
        <v>8</v>
      </c>
      <c r="I1295" t="s">
        <v>7343</v>
      </c>
      <c r="K1295" t="s">
        <v>4268</v>
      </c>
      <c r="L1295" t="s">
        <v>25</v>
      </c>
      <c r="M1295" t="s">
        <v>7332</v>
      </c>
      <c r="N1295" t="s">
        <v>7344</v>
      </c>
      <c r="O1295" t="s">
        <v>7345</v>
      </c>
      <c r="P1295" t="s">
        <v>7346</v>
      </c>
      <c r="Q1295" t="s">
        <v>30</v>
      </c>
      <c r="R1295" t="s">
        <v>31</v>
      </c>
      <c r="S1295" t="s">
        <v>104</v>
      </c>
    </row>
    <row r="1296" spans="1:19" x14ac:dyDescent="0.45">
      <c r="A1296" t="str">
        <f t="shared" si="83"/>
        <v>18801</v>
      </c>
      <c r="B1296" t="s">
        <v>1731</v>
      </c>
      <c r="C1296" t="str">
        <f t="shared" si="84"/>
        <v>23403</v>
      </c>
      <c r="D1296" t="s">
        <v>4265</v>
      </c>
      <c r="E1296" t="str">
        <f>"3175"</f>
        <v>3175</v>
      </c>
      <c r="F1296" t="s">
        <v>7347</v>
      </c>
      <c r="G1296">
        <v>9</v>
      </c>
      <c r="H1296">
        <v>12</v>
      </c>
      <c r="I1296" t="s">
        <v>7348</v>
      </c>
      <c r="K1296" t="s">
        <v>4268</v>
      </c>
      <c r="L1296" t="s">
        <v>25</v>
      </c>
      <c r="M1296" t="s">
        <v>7332</v>
      </c>
      <c r="N1296" t="s">
        <v>7349</v>
      </c>
      <c r="O1296" t="s">
        <v>7350</v>
      </c>
      <c r="P1296" t="s">
        <v>7351</v>
      </c>
      <c r="Q1296" t="s">
        <v>30</v>
      </c>
      <c r="R1296" t="s">
        <v>31</v>
      </c>
      <c r="S1296" t="s">
        <v>58</v>
      </c>
    </row>
    <row r="1297" spans="1:19" x14ac:dyDescent="0.45">
      <c r="A1297" t="str">
        <f t="shared" si="83"/>
        <v>18801</v>
      </c>
      <c r="B1297" t="s">
        <v>1731</v>
      </c>
      <c r="C1297" t="str">
        <f t="shared" si="84"/>
        <v>23403</v>
      </c>
      <c r="D1297" t="s">
        <v>4265</v>
      </c>
      <c r="E1297" t="str">
        <f>"4320"</f>
        <v>4320</v>
      </c>
      <c r="F1297" t="s">
        <v>7352</v>
      </c>
      <c r="G1297" t="s">
        <v>70</v>
      </c>
      <c r="H1297">
        <v>5</v>
      </c>
      <c r="I1297" t="s">
        <v>7353</v>
      </c>
      <c r="K1297" t="s">
        <v>4268</v>
      </c>
      <c r="L1297" t="s">
        <v>25</v>
      </c>
      <c r="M1297" t="s">
        <v>7332</v>
      </c>
      <c r="N1297" t="s">
        <v>7354</v>
      </c>
      <c r="O1297" t="s">
        <v>7355</v>
      </c>
      <c r="P1297" t="s">
        <v>7356</v>
      </c>
      <c r="Q1297" t="s">
        <v>30</v>
      </c>
      <c r="R1297" t="s">
        <v>31</v>
      </c>
      <c r="S1297" t="s">
        <v>32</v>
      </c>
    </row>
    <row r="1298" spans="1:19" x14ac:dyDescent="0.45">
      <c r="A1298" t="str">
        <f>"34801"</f>
        <v>34801</v>
      </c>
      <c r="B1298" t="s">
        <v>2257</v>
      </c>
      <c r="C1298" t="str">
        <f>"23404"</f>
        <v>23404</v>
      </c>
      <c r="D1298" t="s">
        <v>4277</v>
      </c>
      <c r="E1298" t="str">
        <f>"2310"</f>
        <v>2310</v>
      </c>
      <c r="F1298" t="s">
        <v>7357</v>
      </c>
      <c r="G1298" t="s">
        <v>22</v>
      </c>
      <c r="H1298">
        <v>8</v>
      </c>
      <c r="I1298" t="s">
        <v>4279</v>
      </c>
      <c r="K1298" t="s">
        <v>4280</v>
      </c>
      <c r="L1298" t="s">
        <v>25</v>
      </c>
      <c r="M1298" t="s">
        <v>7358</v>
      </c>
      <c r="N1298" t="s">
        <v>7359</v>
      </c>
      <c r="O1298" t="s">
        <v>4282</v>
      </c>
      <c r="P1298" t="s">
        <v>7360</v>
      </c>
      <c r="Q1298" t="s">
        <v>30</v>
      </c>
      <c r="R1298" t="s">
        <v>31</v>
      </c>
      <c r="S1298" t="s">
        <v>159</v>
      </c>
    </row>
    <row r="1299" spans="1:19" x14ac:dyDescent="0.45">
      <c r="A1299" t="str">
        <f t="shared" ref="A1299:A1323" si="85">"04801"</f>
        <v>04801</v>
      </c>
      <c r="B1299" t="s">
        <v>1549</v>
      </c>
      <c r="C1299" t="str">
        <f>"24014"</f>
        <v>24014</v>
      </c>
      <c r="D1299" t="s">
        <v>7361</v>
      </c>
      <c r="E1299" t="str">
        <f>"2494"</f>
        <v>2494</v>
      </c>
      <c r="F1299" t="s">
        <v>7362</v>
      </c>
      <c r="G1299" t="s">
        <v>22</v>
      </c>
      <c r="H1299">
        <v>8</v>
      </c>
      <c r="I1299" t="s">
        <v>7363</v>
      </c>
      <c r="K1299" t="s">
        <v>7364</v>
      </c>
      <c r="L1299" t="s">
        <v>25</v>
      </c>
      <c r="M1299" t="s">
        <v>7365</v>
      </c>
      <c r="N1299" t="s">
        <v>7366</v>
      </c>
      <c r="O1299" t="s">
        <v>7367</v>
      </c>
      <c r="P1299" t="s">
        <v>7368</v>
      </c>
      <c r="Q1299" t="s">
        <v>30</v>
      </c>
      <c r="R1299" t="s">
        <v>31</v>
      </c>
      <c r="S1299" t="s">
        <v>159</v>
      </c>
    </row>
    <row r="1300" spans="1:19" x14ac:dyDescent="0.45">
      <c r="A1300" t="str">
        <f t="shared" si="85"/>
        <v>04801</v>
      </c>
      <c r="B1300" t="s">
        <v>1549</v>
      </c>
      <c r="C1300" t="str">
        <f t="shared" ref="C1300:C1305" si="86">"24019"</f>
        <v>24019</v>
      </c>
      <c r="D1300" t="s">
        <v>7369</v>
      </c>
      <c r="E1300" t="str">
        <f>"2031"</f>
        <v>2031</v>
      </c>
      <c r="F1300" t="s">
        <v>7370</v>
      </c>
      <c r="G1300">
        <v>9</v>
      </c>
      <c r="H1300">
        <v>12</v>
      </c>
      <c r="I1300" t="s">
        <v>7371</v>
      </c>
      <c r="K1300" t="s">
        <v>7372</v>
      </c>
      <c r="L1300" t="s">
        <v>25</v>
      </c>
      <c r="M1300" t="s">
        <v>7373</v>
      </c>
      <c r="N1300" t="s">
        <v>7374</v>
      </c>
      <c r="O1300" t="s">
        <v>7375</v>
      </c>
      <c r="P1300" t="s">
        <v>7376</v>
      </c>
      <c r="Q1300" t="s">
        <v>30</v>
      </c>
      <c r="R1300" t="s">
        <v>31</v>
      </c>
      <c r="S1300" t="s">
        <v>58</v>
      </c>
    </row>
    <row r="1301" spans="1:19" x14ac:dyDescent="0.45">
      <c r="A1301" t="str">
        <f t="shared" si="85"/>
        <v>04801</v>
      </c>
      <c r="B1301" t="s">
        <v>1549</v>
      </c>
      <c r="C1301" t="str">
        <f t="shared" si="86"/>
        <v>24019</v>
      </c>
      <c r="D1301" t="s">
        <v>7369</v>
      </c>
      <c r="E1301" t="str">
        <f>"2999"</f>
        <v>2999</v>
      </c>
      <c r="F1301" t="s">
        <v>7377</v>
      </c>
      <c r="G1301" t="s">
        <v>22</v>
      </c>
      <c r="H1301">
        <v>2</v>
      </c>
      <c r="I1301" t="s">
        <v>7371</v>
      </c>
      <c r="K1301" t="s">
        <v>7372</v>
      </c>
      <c r="L1301" t="s">
        <v>25</v>
      </c>
      <c r="M1301" t="s">
        <v>7373</v>
      </c>
      <c r="N1301" t="s">
        <v>7378</v>
      </c>
      <c r="O1301" t="s">
        <v>7379</v>
      </c>
      <c r="P1301" t="s">
        <v>7380</v>
      </c>
      <c r="Q1301" t="s">
        <v>30</v>
      </c>
      <c r="R1301" t="s">
        <v>31</v>
      </c>
      <c r="S1301" t="s">
        <v>32</v>
      </c>
    </row>
    <row r="1302" spans="1:19" x14ac:dyDescent="0.45">
      <c r="A1302" t="str">
        <f t="shared" si="85"/>
        <v>04801</v>
      </c>
      <c r="B1302" t="s">
        <v>1549</v>
      </c>
      <c r="C1302" t="str">
        <f t="shared" si="86"/>
        <v>24019</v>
      </c>
      <c r="D1302" t="s">
        <v>7369</v>
      </c>
      <c r="E1302" t="str">
        <f>"3051"</f>
        <v>3051</v>
      </c>
      <c r="F1302" t="s">
        <v>7381</v>
      </c>
      <c r="G1302">
        <v>3</v>
      </c>
      <c r="H1302">
        <v>5</v>
      </c>
      <c r="I1302" t="s">
        <v>7371</v>
      </c>
      <c r="K1302" t="s">
        <v>7372</v>
      </c>
      <c r="L1302" t="s">
        <v>25</v>
      </c>
      <c r="M1302" t="s">
        <v>7373</v>
      </c>
      <c r="N1302" t="s">
        <v>7382</v>
      </c>
      <c r="O1302" t="s">
        <v>7383</v>
      </c>
      <c r="P1302" t="s">
        <v>7384</v>
      </c>
      <c r="Q1302" t="s">
        <v>30</v>
      </c>
      <c r="R1302" t="s">
        <v>31</v>
      </c>
      <c r="S1302" t="s">
        <v>32</v>
      </c>
    </row>
    <row r="1303" spans="1:19" x14ac:dyDescent="0.45">
      <c r="A1303" t="str">
        <f t="shared" si="85"/>
        <v>04801</v>
      </c>
      <c r="B1303" t="s">
        <v>1549</v>
      </c>
      <c r="C1303" t="str">
        <f t="shared" si="86"/>
        <v>24019</v>
      </c>
      <c r="D1303" t="s">
        <v>7369</v>
      </c>
      <c r="E1303" t="str">
        <f>"4237"</f>
        <v>4237</v>
      </c>
      <c r="F1303" t="s">
        <v>7385</v>
      </c>
      <c r="G1303">
        <v>6</v>
      </c>
      <c r="H1303">
        <v>8</v>
      </c>
      <c r="I1303" t="s">
        <v>7371</v>
      </c>
      <c r="K1303" t="s">
        <v>7372</v>
      </c>
      <c r="L1303" t="s">
        <v>25</v>
      </c>
      <c r="M1303" t="s">
        <v>7373</v>
      </c>
      <c r="N1303" t="s">
        <v>7386</v>
      </c>
      <c r="O1303" t="s">
        <v>7387</v>
      </c>
      <c r="P1303" t="s">
        <v>7388</v>
      </c>
      <c r="Q1303" t="s">
        <v>30</v>
      </c>
      <c r="R1303" t="s">
        <v>31</v>
      </c>
      <c r="S1303" t="s">
        <v>104</v>
      </c>
    </row>
    <row r="1304" spans="1:19" x14ac:dyDescent="0.45">
      <c r="A1304" t="str">
        <f t="shared" si="85"/>
        <v>04801</v>
      </c>
      <c r="B1304" t="s">
        <v>1549</v>
      </c>
      <c r="C1304" t="str">
        <f t="shared" si="86"/>
        <v>24019</v>
      </c>
      <c r="D1304" t="s">
        <v>7369</v>
      </c>
      <c r="E1304" t="str">
        <f>"4278"</f>
        <v>4278</v>
      </c>
      <c r="F1304" t="s">
        <v>7389</v>
      </c>
      <c r="G1304" t="s">
        <v>22</v>
      </c>
      <c r="H1304">
        <v>9</v>
      </c>
      <c r="I1304" t="s">
        <v>7390</v>
      </c>
      <c r="K1304" t="s">
        <v>7372</v>
      </c>
      <c r="L1304" t="s">
        <v>25</v>
      </c>
      <c r="M1304" t="s">
        <v>7391</v>
      </c>
      <c r="N1304" t="s">
        <v>7392</v>
      </c>
      <c r="O1304" t="s">
        <v>7393</v>
      </c>
      <c r="P1304" t="s">
        <v>7394</v>
      </c>
      <c r="Q1304" t="s">
        <v>2619</v>
      </c>
      <c r="R1304" t="s">
        <v>7395</v>
      </c>
      <c r="S1304" t="s">
        <v>159</v>
      </c>
    </row>
    <row r="1305" spans="1:19" x14ac:dyDescent="0.45">
      <c r="A1305" t="str">
        <f t="shared" si="85"/>
        <v>04801</v>
      </c>
      <c r="B1305" t="s">
        <v>1549</v>
      </c>
      <c r="C1305" t="str">
        <f t="shared" si="86"/>
        <v>24019</v>
      </c>
      <c r="D1305" t="s">
        <v>7369</v>
      </c>
      <c r="E1305" t="str">
        <f>"4279"</f>
        <v>4279</v>
      </c>
      <c r="F1305" t="s">
        <v>7396</v>
      </c>
      <c r="G1305">
        <v>9</v>
      </c>
      <c r="H1305">
        <v>12</v>
      </c>
      <c r="I1305" t="s">
        <v>7371</v>
      </c>
      <c r="K1305" t="s">
        <v>7372</v>
      </c>
      <c r="L1305" t="s">
        <v>25</v>
      </c>
      <c r="M1305" t="s">
        <v>7373</v>
      </c>
      <c r="N1305" t="s">
        <v>4131</v>
      </c>
      <c r="O1305" t="s">
        <v>7375</v>
      </c>
      <c r="P1305" t="s">
        <v>7376</v>
      </c>
      <c r="Q1305" t="s">
        <v>157</v>
      </c>
      <c r="R1305" t="s">
        <v>158</v>
      </c>
      <c r="S1305" t="s">
        <v>58</v>
      </c>
    </row>
    <row r="1306" spans="1:19" x14ac:dyDescent="0.45">
      <c r="A1306" t="str">
        <f t="shared" si="85"/>
        <v>04801</v>
      </c>
      <c r="B1306" t="s">
        <v>1549</v>
      </c>
      <c r="C1306" t="str">
        <f>"24105"</f>
        <v>24105</v>
      </c>
      <c r="D1306" t="s">
        <v>7397</v>
      </c>
      <c r="E1306" t="str">
        <f>"2245"</f>
        <v>2245</v>
      </c>
      <c r="F1306" t="s">
        <v>7398</v>
      </c>
      <c r="G1306">
        <v>6</v>
      </c>
      <c r="H1306">
        <v>8</v>
      </c>
      <c r="I1306" t="s">
        <v>7399</v>
      </c>
      <c r="K1306" t="s">
        <v>7400</v>
      </c>
      <c r="L1306" t="s">
        <v>25</v>
      </c>
      <c r="M1306" t="s">
        <v>7401</v>
      </c>
      <c r="N1306" t="s">
        <v>7402</v>
      </c>
      <c r="O1306" t="s">
        <v>7403</v>
      </c>
      <c r="P1306" t="s">
        <v>7404</v>
      </c>
      <c r="Q1306" t="s">
        <v>30</v>
      </c>
      <c r="R1306" t="s">
        <v>31</v>
      </c>
      <c r="S1306" t="s">
        <v>104</v>
      </c>
    </row>
    <row r="1307" spans="1:19" x14ac:dyDescent="0.45">
      <c r="A1307" t="str">
        <f t="shared" si="85"/>
        <v>04801</v>
      </c>
      <c r="B1307" t="s">
        <v>1549</v>
      </c>
      <c r="C1307" t="str">
        <f>"24105"</f>
        <v>24105</v>
      </c>
      <c r="D1307" t="s">
        <v>7397</v>
      </c>
      <c r="E1307" t="str">
        <f>"2246"</f>
        <v>2246</v>
      </c>
      <c r="F1307" t="s">
        <v>7405</v>
      </c>
      <c r="G1307">
        <v>9</v>
      </c>
      <c r="H1307">
        <v>12</v>
      </c>
      <c r="I1307" t="s">
        <v>7399</v>
      </c>
      <c r="K1307" t="s">
        <v>7400</v>
      </c>
      <c r="L1307" t="s">
        <v>25</v>
      </c>
      <c r="M1307" t="s">
        <v>7401</v>
      </c>
      <c r="N1307" t="s">
        <v>7406</v>
      </c>
      <c r="O1307" t="s">
        <v>7407</v>
      </c>
      <c r="P1307" t="s">
        <v>7408</v>
      </c>
      <c r="Q1307" t="s">
        <v>30</v>
      </c>
      <c r="R1307" t="s">
        <v>31</v>
      </c>
      <c r="S1307" t="s">
        <v>58</v>
      </c>
    </row>
    <row r="1308" spans="1:19" x14ac:dyDescent="0.45">
      <c r="A1308" t="str">
        <f t="shared" si="85"/>
        <v>04801</v>
      </c>
      <c r="B1308" t="s">
        <v>1549</v>
      </c>
      <c r="C1308" t="str">
        <f>"24105"</f>
        <v>24105</v>
      </c>
      <c r="D1308" t="s">
        <v>7397</v>
      </c>
      <c r="E1308" t="str">
        <f>"2539"</f>
        <v>2539</v>
      </c>
      <c r="F1308" t="s">
        <v>7409</v>
      </c>
      <c r="G1308" t="s">
        <v>70</v>
      </c>
      <c r="H1308">
        <v>5</v>
      </c>
      <c r="I1308" t="s">
        <v>7399</v>
      </c>
      <c r="K1308" t="s">
        <v>7400</v>
      </c>
      <c r="L1308" t="s">
        <v>25</v>
      </c>
      <c r="M1308" t="s">
        <v>7401</v>
      </c>
      <c r="N1308" t="s">
        <v>7410</v>
      </c>
      <c r="O1308" t="s">
        <v>7411</v>
      </c>
      <c r="P1308" t="s">
        <v>7412</v>
      </c>
      <c r="Q1308" t="s">
        <v>30</v>
      </c>
      <c r="R1308" t="s">
        <v>31</v>
      </c>
      <c r="S1308" t="s">
        <v>32</v>
      </c>
    </row>
    <row r="1309" spans="1:19" x14ac:dyDescent="0.45">
      <c r="A1309" t="str">
        <f t="shared" si="85"/>
        <v>04801</v>
      </c>
      <c r="B1309" t="s">
        <v>1549</v>
      </c>
      <c r="C1309" t="str">
        <f>"24105"</f>
        <v>24105</v>
      </c>
      <c r="D1309" t="s">
        <v>7397</v>
      </c>
      <c r="E1309" t="str">
        <f>"3193"</f>
        <v>3193</v>
      </c>
      <c r="F1309" t="s">
        <v>7413</v>
      </c>
      <c r="G1309">
        <v>8</v>
      </c>
      <c r="H1309">
        <v>12</v>
      </c>
      <c r="I1309" t="s">
        <v>7399</v>
      </c>
      <c r="K1309" t="s">
        <v>7400</v>
      </c>
      <c r="L1309" t="s">
        <v>25</v>
      </c>
      <c r="M1309" t="s">
        <v>7414</v>
      </c>
      <c r="N1309" t="s">
        <v>7415</v>
      </c>
      <c r="O1309" t="s">
        <v>7416</v>
      </c>
      <c r="P1309" t="s">
        <v>7417</v>
      </c>
      <c r="Q1309" t="s">
        <v>1312</v>
      </c>
      <c r="R1309" t="s">
        <v>1313</v>
      </c>
      <c r="S1309" t="s">
        <v>58</v>
      </c>
    </row>
    <row r="1310" spans="1:19" x14ac:dyDescent="0.45">
      <c r="A1310" t="str">
        <f t="shared" si="85"/>
        <v>04801</v>
      </c>
      <c r="B1310" t="s">
        <v>1549</v>
      </c>
      <c r="C1310" t="str">
        <f>"24111"</f>
        <v>24111</v>
      </c>
      <c r="D1310" t="s">
        <v>7418</v>
      </c>
      <c r="E1310" t="str">
        <f>"2800"</f>
        <v>2800</v>
      </c>
      <c r="F1310" t="s">
        <v>7419</v>
      </c>
      <c r="G1310">
        <v>9</v>
      </c>
      <c r="H1310">
        <v>12</v>
      </c>
      <c r="I1310" t="s">
        <v>7420</v>
      </c>
      <c r="K1310" t="s">
        <v>7421</v>
      </c>
      <c r="L1310" t="s">
        <v>25</v>
      </c>
      <c r="M1310" t="s">
        <v>7422</v>
      </c>
      <c r="N1310" t="s">
        <v>7423</v>
      </c>
      <c r="O1310" t="s">
        <v>7424</v>
      </c>
      <c r="P1310" t="s">
        <v>7425</v>
      </c>
      <c r="Q1310" t="s">
        <v>30</v>
      </c>
      <c r="R1310" t="s">
        <v>31</v>
      </c>
      <c r="S1310" t="s">
        <v>58</v>
      </c>
    </row>
    <row r="1311" spans="1:19" x14ac:dyDescent="0.45">
      <c r="A1311" t="str">
        <f t="shared" si="85"/>
        <v>04801</v>
      </c>
      <c r="B1311" t="s">
        <v>1549</v>
      </c>
      <c r="C1311" t="str">
        <f>"24111"</f>
        <v>24111</v>
      </c>
      <c r="D1311" t="s">
        <v>7418</v>
      </c>
      <c r="E1311" t="str">
        <f>"3293"</f>
        <v>3293</v>
      </c>
      <c r="F1311" t="s">
        <v>7426</v>
      </c>
      <c r="G1311" t="s">
        <v>22</v>
      </c>
      <c r="H1311">
        <v>5</v>
      </c>
      <c r="I1311" t="s">
        <v>7420</v>
      </c>
      <c r="K1311" t="s">
        <v>7421</v>
      </c>
      <c r="L1311" t="s">
        <v>25</v>
      </c>
      <c r="M1311" t="s">
        <v>7422</v>
      </c>
      <c r="N1311" t="s">
        <v>7427</v>
      </c>
      <c r="O1311" t="s">
        <v>7428</v>
      </c>
      <c r="P1311" t="s">
        <v>7429</v>
      </c>
      <c r="Q1311" t="s">
        <v>30</v>
      </c>
      <c r="R1311" t="s">
        <v>31</v>
      </c>
      <c r="S1311" t="s">
        <v>32</v>
      </c>
    </row>
    <row r="1312" spans="1:19" x14ac:dyDescent="0.45">
      <c r="A1312" t="str">
        <f t="shared" si="85"/>
        <v>04801</v>
      </c>
      <c r="B1312" t="s">
        <v>1549</v>
      </c>
      <c r="C1312" t="str">
        <f>"24111"</f>
        <v>24111</v>
      </c>
      <c r="D1312" t="s">
        <v>7418</v>
      </c>
      <c r="E1312" t="str">
        <f>"4223"</f>
        <v>4223</v>
      </c>
      <c r="F1312" t="s">
        <v>7430</v>
      </c>
      <c r="G1312">
        <v>6</v>
      </c>
      <c r="H1312">
        <v>8</v>
      </c>
      <c r="I1312" t="s">
        <v>7431</v>
      </c>
      <c r="K1312" t="s">
        <v>7421</v>
      </c>
      <c r="L1312" t="s">
        <v>25</v>
      </c>
      <c r="M1312" t="s">
        <v>7432</v>
      </c>
      <c r="N1312" t="s">
        <v>7433</v>
      </c>
      <c r="O1312" t="s">
        <v>7434</v>
      </c>
      <c r="P1312" t="s">
        <v>7435</v>
      </c>
      <c r="Q1312" t="s">
        <v>30</v>
      </c>
      <c r="R1312" t="s">
        <v>31</v>
      </c>
      <c r="S1312" t="s">
        <v>104</v>
      </c>
    </row>
    <row r="1313" spans="1:19" x14ac:dyDescent="0.45">
      <c r="A1313" t="str">
        <f t="shared" si="85"/>
        <v>04801</v>
      </c>
      <c r="B1313" t="s">
        <v>1549</v>
      </c>
      <c r="C1313" t="str">
        <f>"24122"</f>
        <v>24122</v>
      </c>
      <c r="D1313" t="s">
        <v>7436</v>
      </c>
      <c r="E1313" t="str">
        <f>"2396"</f>
        <v>2396</v>
      </c>
      <c r="F1313" t="s">
        <v>7437</v>
      </c>
      <c r="G1313" t="s">
        <v>70</v>
      </c>
      <c r="H1313">
        <v>6</v>
      </c>
      <c r="I1313" t="s">
        <v>7438</v>
      </c>
      <c r="J1313" t="s">
        <v>311</v>
      </c>
      <c r="K1313" t="s">
        <v>7439</v>
      </c>
      <c r="L1313" t="s">
        <v>25</v>
      </c>
      <c r="M1313" t="s">
        <v>7440</v>
      </c>
      <c r="N1313" t="s">
        <v>7441</v>
      </c>
      <c r="O1313" t="s">
        <v>7442</v>
      </c>
      <c r="P1313" t="s">
        <v>7443</v>
      </c>
      <c r="Q1313" t="s">
        <v>30</v>
      </c>
      <c r="R1313" t="s">
        <v>31</v>
      </c>
      <c r="S1313" t="s">
        <v>32</v>
      </c>
    </row>
    <row r="1314" spans="1:19" x14ac:dyDescent="0.45">
      <c r="A1314" t="str">
        <f t="shared" si="85"/>
        <v>04801</v>
      </c>
      <c r="B1314" t="s">
        <v>1549</v>
      </c>
      <c r="C1314" t="str">
        <f>"24122"</f>
        <v>24122</v>
      </c>
      <c r="D1314" t="s">
        <v>7436</v>
      </c>
      <c r="E1314" t="str">
        <f>"2397"</f>
        <v>2397</v>
      </c>
      <c r="F1314" t="s">
        <v>7444</v>
      </c>
      <c r="G1314">
        <v>7</v>
      </c>
      <c r="H1314">
        <v>12</v>
      </c>
      <c r="I1314" t="s">
        <v>7445</v>
      </c>
      <c r="K1314" t="s">
        <v>7439</v>
      </c>
      <c r="L1314" t="s">
        <v>25</v>
      </c>
      <c r="M1314" t="s">
        <v>7440</v>
      </c>
      <c r="N1314" t="s">
        <v>7441</v>
      </c>
      <c r="O1314" t="s">
        <v>7442</v>
      </c>
      <c r="P1314" t="s">
        <v>7446</v>
      </c>
      <c r="Q1314" t="s">
        <v>30</v>
      </c>
      <c r="R1314" t="s">
        <v>31</v>
      </c>
      <c r="S1314" t="s">
        <v>159</v>
      </c>
    </row>
    <row r="1315" spans="1:19" x14ac:dyDescent="0.45">
      <c r="A1315" t="str">
        <f t="shared" si="85"/>
        <v>04801</v>
      </c>
      <c r="B1315" t="s">
        <v>1549</v>
      </c>
      <c r="C1315" t="str">
        <f>"24350"</f>
        <v>24350</v>
      </c>
      <c r="D1315" t="s">
        <v>7447</v>
      </c>
      <c r="E1315" t="str">
        <f>"1621"</f>
        <v>1621</v>
      </c>
      <c r="F1315" t="s">
        <v>7448</v>
      </c>
      <c r="G1315">
        <v>9</v>
      </c>
      <c r="H1315">
        <v>12</v>
      </c>
      <c r="I1315" t="s">
        <v>7449</v>
      </c>
      <c r="K1315" t="s">
        <v>7450</v>
      </c>
      <c r="L1315" t="s">
        <v>25</v>
      </c>
      <c r="M1315" t="s">
        <v>7451</v>
      </c>
      <c r="N1315" t="s">
        <v>7452</v>
      </c>
      <c r="O1315" t="s">
        <v>7453</v>
      </c>
      <c r="P1315" t="s">
        <v>7454</v>
      </c>
      <c r="Q1315" t="s">
        <v>157</v>
      </c>
      <c r="R1315" t="s">
        <v>158</v>
      </c>
      <c r="S1315" t="s">
        <v>58</v>
      </c>
    </row>
    <row r="1316" spans="1:19" x14ac:dyDescent="0.45">
      <c r="A1316" t="str">
        <f t="shared" si="85"/>
        <v>04801</v>
      </c>
      <c r="B1316" t="s">
        <v>1549</v>
      </c>
      <c r="C1316" t="str">
        <f>"24350"</f>
        <v>24350</v>
      </c>
      <c r="D1316" t="s">
        <v>7447</v>
      </c>
      <c r="E1316" t="str">
        <f>"1845"</f>
        <v>1845</v>
      </c>
      <c r="F1316" t="s">
        <v>7455</v>
      </c>
      <c r="G1316" t="s">
        <v>70</v>
      </c>
      <c r="H1316">
        <v>12</v>
      </c>
      <c r="I1316" t="s">
        <v>7449</v>
      </c>
      <c r="K1316" t="s">
        <v>7450</v>
      </c>
      <c r="L1316" t="s">
        <v>25</v>
      </c>
      <c r="M1316" t="s">
        <v>7451</v>
      </c>
      <c r="N1316" t="s">
        <v>7456</v>
      </c>
      <c r="O1316" t="s">
        <v>7457</v>
      </c>
      <c r="P1316" t="s">
        <v>7458</v>
      </c>
      <c r="Q1316" t="s">
        <v>157</v>
      </c>
      <c r="R1316" t="s">
        <v>158</v>
      </c>
      <c r="S1316" t="s">
        <v>330</v>
      </c>
    </row>
    <row r="1317" spans="1:19" x14ac:dyDescent="0.45">
      <c r="A1317" t="str">
        <f t="shared" si="85"/>
        <v>04801</v>
      </c>
      <c r="B1317" t="s">
        <v>1549</v>
      </c>
      <c r="C1317" t="str">
        <f>"24350"</f>
        <v>24350</v>
      </c>
      <c r="D1317" t="s">
        <v>7447</v>
      </c>
      <c r="E1317" t="str">
        <f>"2146"</f>
        <v>2146</v>
      </c>
      <c r="F1317" t="s">
        <v>7459</v>
      </c>
      <c r="G1317">
        <v>7</v>
      </c>
      <c r="H1317">
        <v>12</v>
      </c>
      <c r="I1317" t="s">
        <v>7449</v>
      </c>
      <c r="K1317" t="s">
        <v>7450</v>
      </c>
      <c r="L1317" t="s">
        <v>25</v>
      </c>
      <c r="M1317" t="s">
        <v>7451</v>
      </c>
      <c r="N1317" t="s">
        <v>7460</v>
      </c>
      <c r="O1317" t="s">
        <v>7461</v>
      </c>
      <c r="P1317" t="s">
        <v>7462</v>
      </c>
      <c r="Q1317" t="s">
        <v>30</v>
      </c>
      <c r="R1317" t="s">
        <v>31</v>
      </c>
      <c r="S1317" t="s">
        <v>159</v>
      </c>
    </row>
    <row r="1318" spans="1:19" x14ac:dyDescent="0.45">
      <c r="A1318" t="str">
        <f t="shared" si="85"/>
        <v>04801</v>
      </c>
      <c r="B1318" t="s">
        <v>1549</v>
      </c>
      <c r="C1318" t="str">
        <f>"24350"</f>
        <v>24350</v>
      </c>
      <c r="D1318" t="s">
        <v>7447</v>
      </c>
      <c r="E1318" t="str">
        <f>"4501"</f>
        <v>4501</v>
      </c>
      <c r="F1318" t="s">
        <v>7463</v>
      </c>
      <c r="G1318" t="s">
        <v>22</v>
      </c>
      <c r="H1318">
        <v>6</v>
      </c>
      <c r="I1318" t="s">
        <v>7449</v>
      </c>
      <c r="K1318" t="s">
        <v>7450</v>
      </c>
      <c r="L1318" t="s">
        <v>25</v>
      </c>
      <c r="M1318" t="s">
        <v>7451</v>
      </c>
      <c r="N1318" t="s">
        <v>7464</v>
      </c>
      <c r="O1318" t="s">
        <v>7465</v>
      </c>
      <c r="P1318" t="s">
        <v>7458</v>
      </c>
      <c r="Q1318" t="s">
        <v>30</v>
      </c>
      <c r="R1318" t="s">
        <v>31</v>
      </c>
      <c r="S1318" t="s">
        <v>32</v>
      </c>
    </row>
    <row r="1319" spans="1:19" x14ac:dyDescent="0.45">
      <c r="A1319" t="str">
        <f t="shared" si="85"/>
        <v>04801</v>
      </c>
      <c r="B1319" t="s">
        <v>1549</v>
      </c>
      <c r="C1319" t="str">
        <f>"24404"</f>
        <v>24404</v>
      </c>
      <c r="D1319" t="s">
        <v>4614</v>
      </c>
      <c r="E1319" t="str">
        <f>"2679"</f>
        <v>2679</v>
      </c>
      <c r="F1319" t="s">
        <v>7466</v>
      </c>
      <c r="G1319">
        <v>9</v>
      </c>
      <c r="H1319">
        <v>12</v>
      </c>
      <c r="I1319" t="s">
        <v>7467</v>
      </c>
      <c r="K1319" t="s">
        <v>7468</v>
      </c>
      <c r="L1319" t="s">
        <v>25</v>
      </c>
      <c r="M1319" t="s">
        <v>7469</v>
      </c>
      <c r="N1319" t="s">
        <v>4618</v>
      </c>
      <c r="O1319" t="s">
        <v>4619</v>
      </c>
      <c r="P1319" t="s">
        <v>7470</v>
      </c>
      <c r="Q1319" t="s">
        <v>30</v>
      </c>
      <c r="R1319" t="s">
        <v>31</v>
      </c>
      <c r="S1319" t="s">
        <v>58</v>
      </c>
    </row>
    <row r="1320" spans="1:19" x14ac:dyDescent="0.45">
      <c r="A1320" t="str">
        <f t="shared" si="85"/>
        <v>04801</v>
      </c>
      <c r="B1320" t="s">
        <v>1549</v>
      </c>
      <c r="C1320" t="str">
        <f>"24404"</f>
        <v>24404</v>
      </c>
      <c r="D1320" t="s">
        <v>4614</v>
      </c>
      <c r="E1320" t="str">
        <f>"3176"</f>
        <v>3176</v>
      </c>
      <c r="F1320" t="s">
        <v>7471</v>
      </c>
      <c r="G1320" t="s">
        <v>22</v>
      </c>
      <c r="H1320">
        <v>5</v>
      </c>
      <c r="I1320" t="s">
        <v>7472</v>
      </c>
      <c r="K1320" t="s">
        <v>7468</v>
      </c>
      <c r="L1320" t="s">
        <v>25</v>
      </c>
      <c r="M1320" t="s">
        <v>7469</v>
      </c>
      <c r="N1320" t="s">
        <v>7473</v>
      </c>
      <c r="O1320" t="s">
        <v>7474</v>
      </c>
      <c r="P1320" t="s">
        <v>7475</v>
      </c>
      <c r="Q1320" t="s">
        <v>30</v>
      </c>
      <c r="R1320" t="s">
        <v>31</v>
      </c>
      <c r="S1320" t="s">
        <v>32</v>
      </c>
    </row>
    <row r="1321" spans="1:19" x14ac:dyDescent="0.45">
      <c r="A1321" t="str">
        <f t="shared" si="85"/>
        <v>04801</v>
      </c>
      <c r="B1321" t="s">
        <v>1549</v>
      </c>
      <c r="C1321" t="str">
        <f>"24404"</f>
        <v>24404</v>
      </c>
      <c r="D1321" t="s">
        <v>4614</v>
      </c>
      <c r="E1321" t="str">
        <f>"4196"</f>
        <v>4196</v>
      </c>
      <c r="F1321" t="s">
        <v>7476</v>
      </c>
      <c r="G1321">
        <v>6</v>
      </c>
      <c r="H1321">
        <v>8</v>
      </c>
      <c r="I1321" t="s">
        <v>7477</v>
      </c>
      <c r="K1321" t="s">
        <v>7468</v>
      </c>
      <c r="L1321" t="s">
        <v>25</v>
      </c>
      <c r="M1321" t="s">
        <v>7469</v>
      </c>
      <c r="N1321" t="s">
        <v>7478</v>
      </c>
      <c r="O1321" t="s">
        <v>7479</v>
      </c>
      <c r="P1321" t="s">
        <v>7480</v>
      </c>
      <c r="Q1321" t="s">
        <v>30</v>
      </c>
      <c r="R1321" t="s">
        <v>31</v>
      </c>
      <c r="S1321" t="s">
        <v>104</v>
      </c>
    </row>
    <row r="1322" spans="1:19" x14ac:dyDescent="0.45">
      <c r="A1322" t="str">
        <f t="shared" si="85"/>
        <v>04801</v>
      </c>
      <c r="B1322" t="s">
        <v>1549</v>
      </c>
      <c r="C1322" t="str">
        <f>"24410"</f>
        <v>24410</v>
      </c>
      <c r="D1322" t="s">
        <v>7481</v>
      </c>
      <c r="E1322" t="str">
        <f>"2422"</f>
        <v>2422</v>
      </c>
      <c r="F1322" t="s">
        <v>7482</v>
      </c>
      <c r="G1322" t="s">
        <v>22</v>
      </c>
      <c r="H1322">
        <v>6</v>
      </c>
      <c r="I1322" t="s">
        <v>7483</v>
      </c>
      <c r="K1322" t="s">
        <v>7484</v>
      </c>
      <c r="L1322" t="s">
        <v>25</v>
      </c>
      <c r="M1322" t="s">
        <v>7485</v>
      </c>
      <c r="N1322" t="s">
        <v>7486</v>
      </c>
      <c r="O1322" t="s">
        <v>7487</v>
      </c>
      <c r="P1322" t="s">
        <v>7488</v>
      </c>
      <c r="Q1322" t="s">
        <v>30</v>
      </c>
      <c r="R1322" t="s">
        <v>31</v>
      </c>
      <c r="S1322" t="s">
        <v>32</v>
      </c>
    </row>
    <row r="1323" spans="1:19" x14ac:dyDescent="0.45">
      <c r="A1323" t="str">
        <f t="shared" si="85"/>
        <v>04801</v>
      </c>
      <c r="B1323" t="s">
        <v>1549</v>
      </c>
      <c r="C1323" t="str">
        <f>"24410"</f>
        <v>24410</v>
      </c>
      <c r="D1323" t="s">
        <v>7481</v>
      </c>
      <c r="E1323" t="str">
        <f>"2706"</f>
        <v>2706</v>
      </c>
      <c r="F1323" t="s">
        <v>7489</v>
      </c>
      <c r="G1323">
        <v>7</v>
      </c>
      <c r="H1323">
        <v>12</v>
      </c>
      <c r="I1323" t="s">
        <v>7483</v>
      </c>
      <c r="K1323" t="s">
        <v>7484</v>
      </c>
      <c r="L1323" t="s">
        <v>25</v>
      </c>
      <c r="M1323" t="s">
        <v>7485</v>
      </c>
      <c r="N1323" t="s">
        <v>7490</v>
      </c>
      <c r="O1323" t="s">
        <v>7491</v>
      </c>
      <c r="P1323" t="s">
        <v>7492</v>
      </c>
      <c r="Q1323" t="s">
        <v>30</v>
      </c>
      <c r="R1323" t="s">
        <v>31</v>
      </c>
      <c r="S1323" t="s">
        <v>159</v>
      </c>
    </row>
    <row r="1324" spans="1:19" x14ac:dyDescent="0.45">
      <c r="A1324" t="str">
        <f>"06801"</f>
        <v>06801</v>
      </c>
      <c r="B1324" t="s">
        <v>1870</v>
      </c>
      <c r="C1324" t="str">
        <f>"25101"</f>
        <v>25101</v>
      </c>
      <c r="D1324" t="s">
        <v>2960</v>
      </c>
      <c r="E1324" t="str">
        <f>"2517"</f>
        <v>2517</v>
      </c>
      <c r="F1324" t="s">
        <v>7493</v>
      </c>
      <c r="G1324">
        <v>6</v>
      </c>
      <c r="H1324">
        <v>8</v>
      </c>
      <c r="I1324" t="s">
        <v>7494</v>
      </c>
      <c r="K1324" t="s">
        <v>7495</v>
      </c>
      <c r="L1324" t="s">
        <v>25</v>
      </c>
      <c r="M1324" t="s">
        <v>7496</v>
      </c>
      <c r="N1324" t="s">
        <v>7497</v>
      </c>
      <c r="O1324" t="s">
        <v>7498</v>
      </c>
      <c r="P1324" t="s">
        <v>7499</v>
      </c>
      <c r="Q1324" t="s">
        <v>30</v>
      </c>
      <c r="R1324" t="s">
        <v>31</v>
      </c>
      <c r="S1324" t="s">
        <v>104</v>
      </c>
    </row>
    <row r="1325" spans="1:19" x14ac:dyDescent="0.45">
      <c r="A1325" t="str">
        <f>"06801"</f>
        <v>06801</v>
      </c>
      <c r="B1325" t="s">
        <v>1870</v>
      </c>
      <c r="C1325" t="str">
        <f>"25101"</f>
        <v>25101</v>
      </c>
      <c r="D1325" t="s">
        <v>2960</v>
      </c>
      <c r="E1325" t="str">
        <f>"3531"</f>
        <v>3531</v>
      </c>
      <c r="F1325" t="s">
        <v>7500</v>
      </c>
      <c r="G1325" t="s">
        <v>70</v>
      </c>
      <c r="H1325">
        <v>2</v>
      </c>
      <c r="I1325" t="s">
        <v>7501</v>
      </c>
      <c r="J1325" t="s">
        <v>7502</v>
      </c>
      <c r="K1325" t="s">
        <v>7503</v>
      </c>
      <c r="L1325" t="s">
        <v>25</v>
      </c>
      <c r="M1325" t="s">
        <v>7504</v>
      </c>
      <c r="N1325" t="s">
        <v>7505</v>
      </c>
      <c r="O1325" t="s">
        <v>7506</v>
      </c>
      <c r="P1325" t="s">
        <v>7507</v>
      </c>
      <c r="Q1325" t="s">
        <v>30</v>
      </c>
      <c r="R1325" t="s">
        <v>31</v>
      </c>
      <c r="S1325" t="s">
        <v>32</v>
      </c>
    </row>
    <row r="1326" spans="1:19" x14ac:dyDescent="0.45">
      <c r="A1326" t="str">
        <f>"06801"</f>
        <v>06801</v>
      </c>
      <c r="B1326" t="s">
        <v>1870</v>
      </c>
      <c r="C1326" t="str">
        <f>"25101"</f>
        <v>25101</v>
      </c>
      <c r="D1326" t="s">
        <v>2960</v>
      </c>
      <c r="E1326" t="str">
        <f>"4039"</f>
        <v>4039</v>
      </c>
      <c r="F1326" t="s">
        <v>7508</v>
      </c>
      <c r="G1326">
        <v>3</v>
      </c>
      <c r="H1326">
        <v>5</v>
      </c>
      <c r="I1326" t="s">
        <v>7509</v>
      </c>
      <c r="K1326" t="s">
        <v>7510</v>
      </c>
      <c r="L1326" t="s">
        <v>25</v>
      </c>
      <c r="M1326">
        <v>98640</v>
      </c>
      <c r="N1326" t="s">
        <v>7511</v>
      </c>
      <c r="O1326" t="s">
        <v>7512</v>
      </c>
      <c r="P1326" t="s">
        <v>7513</v>
      </c>
      <c r="Q1326" t="s">
        <v>30</v>
      </c>
      <c r="R1326" t="s">
        <v>31</v>
      </c>
      <c r="S1326" t="s">
        <v>32</v>
      </c>
    </row>
    <row r="1327" spans="1:19" x14ac:dyDescent="0.45">
      <c r="A1327" t="str">
        <f>"06801"</f>
        <v>06801</v>
      </c>
      <c r="B1327" t="s">
        <v>1870</v>
      </c>
      <c r="C1327" t="str">
        <f>"25101"</f>
        <v>25101</v>
      </c>
      <c r="D1327" t="s">
        <v>2960</v>
      </c>
      <c r="E1327" t="str">
        <f>"4220"</f>
        <v>4220</v>
      </c>
      <c r="F1327" t="s">
        <v>7514</v>
      </c>
      <c r="G1327">
        <v>9</v>
      </c>
      <c r="H1327">
        <v>12</v>
      </c>
      <c r="I1327" t="s">
        <v>7494</v>
      </c>
      <c r="K1327" t="s">
        <v>7495</v>
      </c>
      <c r="L1327" t="s">
        <v>25</v>
      </c>
      <c r="M1327" t="s">
        <v>7496</v>
      </c>
      <c r="N1327" t="s">
        <v>7515</v>
      </c>
      <c r="O1327" t="s">
        <v>7516</v>
      </c>
      <c r="P1327" t="s">
        <v>7517</v>
      </c>
      <c r="Q1327" t="s">
        <v>30</v>
      </c>
      <c r="R1327" t="s">
        <v>31</v>
      </c>
      <c r="S1327" t="s">
        <v>58</v>
      </c>
    </row>
    <row r="1328" spans="1:19" x14ac:dyDescent="0.45">
      <c r="A1328" t="str">
        <f>"34801"</f>
        <v>34801</v>
      </c>
      <c r="B1328" t="s">
        <v>2257</v>
      </c>
      <c r="C1328" t="str">
        <f>"25116"</f>
        <v>25116</v>
      </c>
      <c r="D1328" t="s">
        <v>7518</v>
      </c>
      <c r="E1328" t="str">
        <f>"1672"</f>
        <v>1672</v>
      </c>
      <c r="F1328" t="s">
        <v>7519</v>
      </c>
      <c r="G1328" t="s">
        <v>22</v>
      </c>
      <c r="H1328" t="s">
        <v>22</v>
      </c>
      <c r="I1328" t="s">
        <v>7520</v>
      </c>
      <c r="K1328" t="s">
        <v>7521</v>
      </c>
      <c r="L1328" t="s">
        <v>25</v>
      </c>
      <c r="M1328" t="s">
        <v>7522</v>
      </c>
      <c r="N1328" t="s">
        <v>7523</v>
      </c>
      <c r="O1328" t="s">
        <v>7524</v>
      </c>
      <c r="P1328" t="s">
        <v>7525</v>
      </c>
      <c r="Q1328" t="s">
        <v>66</v>
      </c>
      <c r="R1328" t="s">
        <v>67</v>
      </c>
      <c r="S1328" t="s">
        <v>1248</v>
      </c>
    </row>
    <row r="1329" spans="1:19" x14ac:dyDescent="0.45">
      <c r="A1329" t="str">
        <f>"34801"</f>
        <v>34801</v>
      </c>
      <c r="B1329" t="s">
        <v>2257</v>
      </c>
      <c r="C1329" t="str">
        <f>"25116"</f>
        <v>25116</v>
      </c>
      <c r="D1329" t="s">
        <v>7518</v>
      </c>
      <c r="E1329" t="str">
        <f>"2357"</f>
        <v>2357</v>
      </c>
      <c r="F1329" t="s">
        <v>7526</v>
      </c>
      <c r="G1329">
        <v>7</v>
      </c>
      <c r="H1329">
        <v>12</v>
      </c>
      <c r="I1329" t="s">
        <v>7527</v>
      </c>
      <c r="K1329" t="s">
        <v>7528</v>
      </c>
      <c r="L1329" t="s">
        <v>25</v>
      </c>
      <c r="M1329" t="s">
        <v>7529</v>
      </c>
      <c r="N1329" t="s">
        <v>7530</v>
      </c>
      <c r="O1329" t="s">
        <v>7531</v>
      </c>
      <c r="P1329" t="s">
        <v>7532</v>
      </c>
      <c r="Q1329" t="s">
        <v>30</v>
      </c>
      <c r="R1329" t="s">
        <v>31</v>
      </c>
      <c r="S1329" t="s">
        <v>159</v>
      </c>
    </row>
    <row r="1330" spans="1:19" x14ac:dyDescent="0.45">
      <c r="A1330" t="str">
        <f>"34801"</f>
        <v>34801</v>
      </c>
      <c r="B1330" t="s">
        <v>2257</v>
      </c>
      <c r="C1330" t="str">
        <f>"25116"</f>
        <v>25116</v>
      </c>
      <c r="D1330" t="s">
        <v>7518</v>
      </c>
      <c r="E1330" t="str">
        <f>"2803"</f>
        <v>2803</v>
      </c>
      <c r="F1330" t="s">
        <v>7533</v>
      </c>
      <c r="G1330" t="s">
        <v>70</v>
      </c>
      <c r="H1330">
        <v>6</v>
      </c>
      <c r="I1330" t="s">
        <v>7534</v>
      </c>
      <c r="K1330" t="s">
        <v>7521</v>
      </c>
      <c r="L1330" t="s">
        <v>25</v>
      </c>
      <c r="M1330">
        <v>98577</v>
      </c>
      <c r="N1330" t="s">
        <v>7535</v>
      </c>
      <c r="O1330" t="s">
        <v>7536</v>
      </c>
      <c r="P1330" t="s">
        <v>7525</v>
      </c>
      <c r="Q1330" t="s">
        <v>30</v>
      </c>
      <c r="R1330" t="s">
        <v>31</v>
      </c>
      <c r="S1330" t="s">
        <v>32</v>
      </c>
    </row>
    <row r="1331" spans="1:19" x14ac:dyDescent="0.45">
      <c r="A1331" t="str">
        <f>"34801"</f>
        <v>34801</v>
      </c>
      <c r="B1331" t="s">
        <v>2257</v>
      </c>
      <c r="C1331" t="str">
        <f>"25118"</f>
        <v>25118</v>
      </c>
      <c r="D1331" t="s">
        <v>7537</v>
      </c>
      <c r="E1331" t="str">
        <f>"2214"</f>
        <v>2214</v>
      </c>
      <c r="F1331" t="s">
        <v>7538</v>
      </c>
      <c r="G1331">
        <v>7</v>
      </c>
      <c r="H1331">
        <v>12</v>
      </c>
      <c r="I1331" t="s">
        <v>7539</v>
      </c>
      <c r="K1331" t="s">
        <v>7540</v>
      </c>
      <c r="L1331" t="s">
        <v>25</v>
      </c>
      <c r="M1331" t="s">
        <v>7541</v>
      </c>
      <c r="N1331" t="s">
        <v>7542</v>
      </c>
      <c r="O1331" t="s">
        <v>7543</v>
      </c>
      <c r="P1331" t="s">
        <v>7544</v>
      </c>
      <c r="Q1331" t="s">
        <v>30</v>
      </c>
      <c r="R1331" t="s">
        <v>31</v>
      </c>
      <c r="S1331" t="s">
        <v>159</v>
      </c>
    </row>
    <row r="1332" spans="1:19" x14ac:dyDescent="0.45">
      <c r="A1332" t="str">
        <f>"34801"</f>
        <v>34801</v>
      </c>
      <c r="B1332" t="s">
        <v>2257</v>
      </c>
      <c r="C1332" t="str">
        <f>"25118"</f>
        <v>25118</v>
      </c>
      <c r="D1332" t="s">
        <v>7537</v>
      </c>
      <c r="E1332" t="str">
        <f>"2804"</f>
        <v>2804</v>
      </c>
      <c r="F1332" t="s">
        <v>7545</v>
      </c>
      <c r="G1332" t="s">
        <v>70</v>
      </c>
      <c r="H1332">
        <v>6</v>
      </c>
      <c r="I1332" t="s">
        <v>7539</v>
      </c>
      <c r="K1332" t="s">
        <v>7540</v>
      </c>
      <c r="L1332" t="s">
        <v>25</v>
      </c>
      <c r="M1332" t="s">
        <v>7541</v>
      </c>
      <c r="N1332" t="s">
        <v>7546</v>
      </c>
      <c r="O1332" t="s">
        <v>7547</v>
      </c>
      <c r="P1332" t="s">
        <v>7548</v>
      </c>
      <c r="Q1332" t="s">
        <v>30</v>
      </c>
      <c r="R1332" t="s">
        <v>31</v>
      </c>
      <c r="S1332" t="s">
        <v>32</v>
      </c>
    </row>
    <row r="1333" spans="1:19" x14ac:dyDescent="0.45">
      <c r="A1333" t="str">
        <f>"06801"</f>
        <v>06801</v>
      </c>
      <c r="B1333" t="s">
        <v>1870</v>
      </c>
      <c r="C1333" t="str">
        <f>"25155"</f>
        <v>25155</v>
      </c>
      <c r="D1333" t="s">
        <v>7549</v>
      </c>
      <c r="E1333" t="str">
        <f>"2868"</f>
        <v>2868</v>
      </c>
      <c r="F1333" t="s">
        <v>7550</v>
      </c>
      <c r="G1333" t="s">
        <v>70</v>
      </c>
      <c r="H1333">
        <v>5</v>
      </c>
      <c r="I1333" t="s">
        <v>7551</v>
      </c>
      <c r="K1333" t="s">
        <v>7552</v>
      </c>
      <c r="L1333" t="s">
        <v>25</v>
      </c>
      <c r="M1333" t="s">
        <v>7553</v>
      </c>
      <c r="N1333" t="s">
        <v>7554</v>
      </c>
      <c r="O1333" t="s">
        <v>7555</v>
      </c>
      <c r="P1333" t="s">
        <v>7556</v>
      </c>
      <c r="Q1333" t="s">
        <v>30</v>
      </c>
      <c r="R1333" t="s">
        <v>31</v>
      </c>
      <c r="S1333" t="s">
        <v>32</v>
      </c>
    </row>
    <row r="1334" spans="1:19" x14ac:dyDescent="0.45">
      <c r="A1334" t="str">
        <f>"06801"</f>
        <v>06801</v>
      </c>
      <c r="B1334" t="s">
        <v>1870</v>
      </c>
      <c r="C1334" t="str">
        <f>"25155"</f>
        <v>25155</v>
      </c>
      <c r="D1334" t="s">
        <v>7549</v>
      </c>
      <c r="E1334" t="str">
        <f>"3295"</f>
        <v>3295</v>
      </c>
      <c r="F1334" t="s">
        <v>7557</v>
      </c>
      <c r="G1334">
        <v>6</v>
      </c>
      <c r="H1334">
        <v>12</v>
      </c>
      <c r="I1334" t="s">
        <v>7558</v>
      </c>
      <c r="K1334" t="s">
        <v>7552</v>
      </c>
      <c r="L1334" t="s">
        <v>25</v>
      </c>
      <c r="M1334" t="s">
        <v>7553</v>
      </c>
      <c r="N1334" t="s">
        <v>7554</v>
      </c>
      <c r="O1334" t="s">
        <v>7555</v>
      </c>
      <c r="P1334" t="s">
        <v>7556</v>
      </c>
      <c r="Q1334" t="s">
        <v>30</v>
      </c>
      <c r="R1334" t="s">
        <v>31</v>
      </c>
      <c r="S1334" t="s">
        <v>159</v>
      </c>
    </row>
    <row r="1335" spans="1:19" x14ac:dyDescent="0.45">
      <c r="A1335" t="str">
        <f>"06801"</f>
        <v>06801</v>
      </c>
      <c r="B1335" t="s">
        <v>1870</v>
      </c>
      <c r="C1335" t="str">
        <f>"25155"</f>
        <v>25155</v>
      </c>
      <c r="D1335" t="s">
        <v>7549</v>
      </c>
      <c r="E1335" t="str">
        <f>"3599"</f>
        <v>3599</v>
      </c>
      <c r="F1335" t="s">
        <v>7559</v>
      </c>
      <c r="G1335">
        <v>7</v>
      </c>
      <c r="H1335">
        <v>12</v>
      </c>
      <c r="I1335" t="s">
        <v>7560</v>
      </c>
      <c r="K1335" t="s">
        <v>7552</v>
      </c>
      <c r="L1335" t="s">
        <v>25</v>
      </c>
      <c r="M1335" t="s">
        <v>7561</v>
      </c>
      <c r="N1335" t="s">
        <v>7562</v>
      </c>
      <c r="O1335" t="s">
        <v>7563</v>
      </c>
      <c r="P1335" t="s">
        <v>7564</v>
      </c>
      <c r="Q1335" t="s">
        <v>962</v>
      </c>
      <c r="R1335" t="s">
        <v>963</v>
      </c>
      <c r="S1335" t="s">
        <v>58</v>
      </c>
    </row>
    <row r="1336" spans="1:19" x14ac:dyDescent="0.45">
      <c r="A1336" t="str">
        <f>"34801"</f>
        <v>34801</v>
      </c>
      <c r="B1336" t="s">
        <v>2257</v>
      </c>
      <c r="C1336" t="str">
        <f>"25160"</f>
        <v>25160</v>
      </c>
      <c r="D1336" t="s">
        <v>7565</v>
      </c>
      <c r="E1336" t="str">
        <f>"2542"</f>
        <v>2542</v>
      </c>
      <c r="F1336" t="s">
        <v>7566</v>
      </c>
      <c r="G1336">
        <v>6</v>
      </c>
      <c r="H1336">
        <v>12</v>
      </c>
      <c r="I1336" t="s">
        <v>7567</v>
      </c>
      <c r="K1336" t="s">
        <v>7568</v>
      </c>
      <c r="L1336" t="s">
        <v>25</v>
      </c>
      <c r="M1336" t="s">
        <v>7569</v>
      </c>
      <c r="N1336" t="s">
        <v>7570</v>
      </c>
      <c r="O1336" t="s">
        <v>7571</v>
      </c>
      <c r="P1336" t="s">
        <v>7572</v>
      </c>
      <c r="Q1336" t="s">
        <v>30</v>
      </c>
      <c r="R1336" t="s">
        <v>31</v>
      </c>
      <c r="S1336" t="s">
        <v>159</v>
      </c>
    </row>
    <row r="1337" spans="1:19" x14ac:dyDescent="0.45">
      <c r="A1337" t="str">
        <f>"34801"</f>
        <v>34801</v>
      </c>
      <c r="B1337" t="s">
        <v>2257</v>
      </c>
      <c r="C1337" t="str">
        <f>"25160"</f>
        <v>25160</v>
      </c>
      <c r="D1337" t="s">
        <v>7565</v>
      </c>
      <c r="E1337" t="str">
        <f>"3444"</f>
        <v>3444</v>
      </c>
      <c r="F1337" t="s">
        <v>7573</v>
      </c>
      <c r="G1337" t="s">
        <v>70</v>
      </c>
      <c r="H1337">
        <v>5</v>
      </c>
      <c r="I1337" t="s">
        <v>7567</v>
      </c>
      <c r="K1337" t="s">
        <v>7568</v>
      </c>
      <c r="L1337" t="s">
        <v>25</v>
      </c>
      <c r="M1337" t="s">
        <v>7569</v>
      </c>
      <c r="N1337" t="s">
        <v>7574</v>
      </c>
      <c r="O1337" t="s">
        <v>7575</v>
      </c>
      <c r="P1337" t="s">
        <v>7576</v>
      </c>
      <c r="Q1337" t="s">
        <v>30</v>
      </c>
      <c r="R1337" t="s">
        <v>31</v>
      </c>
      <c r="S1337" t="s">
        <v>32</v>
      </c>
    </row>
    <row r="1338" spans="1:19" x14ac:dyDescent="0.45">
      <c r="A1338" t="str">
        <f>"34801"</f>
        <v>34801</v>
      </c>
      <c r="B1338" t="s">
        <v>2257</v>
      </c>
      <c r="C1338" t="str">
        <f>"25200"</f>
        <v>25200</v>
      </c>
      <c r="D1338" t="s">
        <v>7577</v>
      </c>
      <c r="E1338" t="str">
        <f>"2292"</f>
        <v>2292</v>
      </c>
      <c r="F1338" t="s">
        <v>7578</v>
      </c>
      <c r="G1338" t="s">
        <v>22</v>
      </c>
      <c r="H1338">
        <v>12</v>
      </c>
      <c r="I1338" t="s">
        <v>7579</v>
      </c>
      <c r="K1338" t="s">
        <v>4851</v>
      </c>
      <c r="L1338" t="s">
        <v>25</v>
      </c>
      <c r="M1338" t="s">
        <v>7580</v>
      </c>
      <c r="N1338" t="s">
        <v>7581</v>
      </c>
      <c r="P1338" t="s">
        <v>7582</v>
      </c>
      <c r="Q1338" t="s">
        <v>30</v>
      </c>
      <c r="R1338" t="s">
        <v>31</v>
      </c>
      <c r="S1338" t="s">
        <v>68</v>
      </c>
    </row>
    <row r="1339" spans="1:19" x14ac:dyDescent="0.45">
      <c r="A1339" t="str">
        <f>"32801"</f>
        <v>32801</v>
      </c>
      <c r="B1339" t="s">
        <v>1108</v>
      </c>
      <c r="C1339" t="str">
        <f>"26056"</f>
        <v>26056</v>
      </c>
      <c r="D1339" t="s">
        <v>7583</v>
      </c>
      <c r="E1339" t="str">
        <f>"2518"</f>
        <v>2518</v>
      </c>
      <c r="F1339" t="s">
        <v>7584</v>
      </c>
      <c r="G1339">
        <v>9</v>
      </c>
      <c r="H1339">
        <v>12</v>
      </c>
      <c r="I1339" t="s">
        <v>7585</v>
      </c>
      <c r="K1339" t="s">
        <v>7586</v>
      </c>
      <c r="L1339" t="s">
        <v>25</v>
      </c>
      <c r="M1339" t="s">
        <v>7587</v>
      </c>
      <c r="N1339" t="s">
        <v>7588</v>
      </c>
      <c r="O1339" t="s">
        <v>7589</v>
      </c>
      <c r="P1339" t="s">
        <v>7590</v>
      </c>
      <c r="Q1339" t="s">
        <v>30</v>
      </c>
      <c r="R1339" t="s">
        <v>31</v>
      </c>
      <c r="S1339" t="s">
        <v>58</v>
      </c>
    </row>
    <row r="1340" spans="1:19" x14ac:dyDescent="0.45">
      <c r="A1340" t="str">
        <f>"32801"</f>
        <v>32801</v>
      </c>
      <c r="B1340" t="s">
        <v>1108</v>
      </c>
      <c r="C1340" t="str">
        <f>"26056"</f>
        <v>26056</v>
      </c>
      <c r="D1340" t="s">
        <v>7583</v>
      </c>
      <c r="E1340" t="str">
        <f>"3968"</f>
        <v>3968</v>
      </c>
      <c r="F1340" t="s">
        <v>7591</v>
      </c>
      <c r="G1340">
        <v>5</v>
      </c>
      <c r="H1340">
        <v>8</v>
      </c>
      <c r="I1340" t="s">
        <v>7585</v>
      </c>
      <c r="K1340" t="s">
        <v>7586</v>
      </c>
      <c r="L1340" t="s">
        <v>25</v>
      </c>
      <c r="M1340" t="s">
        <v>7587</v>
      </c>
      <c r="N1340" t="s">
        <v>7592</v>
      </c>
      <c r="O1340" t="s">
        <v>7593</v>
      </c>
      <c r="P1340" t="s">
        <v>7594</v>
      </c>
      <c r="Q1340" t="s">
        <v>30</v>
      </c>
      <c r="R1340" t="s">
        <v>31</v>
      </c>
      <c r="S1340" t="s">
        <v>104</v>
      </c>
    </row>
    <row r="1341" spans="1:19" x14ac:dyDescent="0.45">
      <c r="A1341" t="str">
        <f>"32801"</f>
        <v>32801</v>
      </c>
      <c r="B1341" t="s">
        <v>1108</v>
      </c>
      <c r="C1341" t="str">
        <f>"26056"</f>
        <v>26056</v>
      </c>
      <c r="D1341" t="s">
        <v>7583</v>
      </c>
      <c r="E1341" t="str">
        <f>"4478"</f>
        <v>4478</v>
      </c>
      <c r="F1341" t="s">
        <v>7595</v>
      </c>
      <c r="G1341" t="s">
        <v>22</v>
      </c>
      <c r="H1341">
        <v>4</v>
      </c>
      <c r="I1341" t="s">
        <v>7585</v>
      </c>
      <c r="K1341" t="s">
        <v>7586</v>
      </c>
      <c r="L1341" t="s">
        <v>25</v>
      </c>
      <c r="M1341" t="s">
        <v>7587</v>
      </c>
      <c r="N1341" t="s">
        <v>7596</v>
      </c>
      <c r="O1341" t="s">
        <v>7597</v>
      </c>
      <c r="P1341" t="s">
        <v>7598</v>
      </c>
      <c r="Q1341" t="s">
        <v>30</v>
      </c>
      <c r="R1341" t="s">
        <v>31</v>
      </c>
      <c r="S1341" t="s">
        <v>32</v>
      </c>
    </row>
    <row r="1342" spans="1:19" x14ac:dyDescent="0.45">
      <c r="A1342" t="str">
        <f>"32801"</f>
        <v>32801</v>
      </c>
      <c r="B1342" t="s">
        <v>1108</v>
      </c>
      <c r="C1342" t="str">
        <f>"26059"</f>
        <v>26059</v>
      </c>
      <c r="D1342" t="s">
        <v>4390</v>
      </c>
      <c r="E1342" t="str">
        <f>"2423"</f>
        <v>2423</v>
      </c>
      <c r="F1342" t="s">
        <v>7599</v>
      </c>
      <c r="G1342">
        <v>6</v>
      </c>
      <c r="H1342">
        <v>12</v>
      </c>
      <c r="I1342" t="s">
        <v>7600</v>
      </c>
      <c r="K1342" t="s">
        <v>7601</v>
      </c>
      <c r="L1342" t="s">
        <v>25</v>
      </c>
      <c r="M1342" t="s">
        <v>7602</v>
      </c>
      <c r="N1342" t="s">
        <v>4394</v>
      </c>
      <c r="O1342" t="s">
        <v>4395</v>
      </c>
      <c r="P1342" t="s">
        <v>7603</v>
      </c>
      <c r="Q1342" t="s">
        <v>30</v>
      </c>
      <c r="R1342" t="s">
        <v>31</v>
      </c>
      <c r="S1342" t="s">
        <v>159</v>
      </c>
    </row>
    <row r="1343" spans="1:19" x14ac:dyDescent="0.45">
      <c r="A1343" t="str">
        <f>"32801"</f>
        <v>32801</v>
      </c>
      <c r="B1343" t="s">
        <v>1108</v>
      </c>
      <c r="C1343" t="str">
        <f>"26059"</f>
        <v>26059</v>
      </c>
      <c r="D1343" t="s">
        <v>4390</v>
      </c>
      <c r="E1343" t="str">
        <f>"2770"</f>
        <v>2770</v>
      </c>
      <c r="F1343" t="s">
        <v>7604</v>
      </c>
      <c r="G1343" t="s">
        <v>70</v>
      </c>
      <c r="H1343">
        <v>5</v>
      </c>
      <c r="I1343" t="s">
        <v>7600</v>
      </c>
      <c r="K1343" t="s">
        <v>7601</v>
      </c>
      <c r="L1343" t="s">
        <v>25</v>
      </c>
      <c r="M1343" t="s">
        <v>7605</v>
      </c>
      <c r="N1343" t="s">
        <v>4394</v>
      </c>
      <c r="O1343" t="s">
        <v>4395</v>
      </c>
      <c r="P1343" t="s">
        <v>7603</v>
      </c>
      <c r="Q1343" t="s">
        <v>30</v>
      </c>
      <c r="R1343" t="s">
        <v>31</v>
      </c>
      <c r="S1343" t="s">
        <v>32</v>
      </c>
    </row>
    <row r="1344" spans="1:19" x14ac:dyDescent="0.45">
      <c r="A1344" t="str">
        <f t="shared" ref="A1344:A1407" si="87">"17801"</f>
        <v>17801</v>
      </c>
      <c r="B1344" t="s">
        <v>19</v>
      </c>
      <c r="C1344" t="str">
        <f t="shared" ref="C1344:C1349" si="88">"27001"</f>
        <v>27001</v>
      </c>
      <c r="D1344" t="s">
        <v>2681</v>
      </c>
      <c r="E1344" t="str">
        <f>"2040"</f>
        <v>2040</v>
      </c>
      <c r="F1344" t="s">
        <v>7606</v>
      </c>
      <c r="G1344" t="s">
        <v>22</v>
      </c>
      <c r="H1344">
        <v>3</v>
      </c>
      <c r="I1344" t="s">
        <v>7607</v>
      </c>
      <c r="K1344" t="s">
        <v>2684</v>
      </c>
      <c r="L1344" t="s">
        <v>25</v>
      </c>
      <c r="M1344" t="s">
        <v>7608</v>
      </c>
      <c r="N1344" t="s">
        <v>7609</v>
      </c>
      <c r="O1344" t="s">
        <v>7610</v>
      </c>
      <c r="P1344" t="s">
        <v>7611</v>
      </c>
      <c r="Q1344" t="s">
        <v>30</v>
      </c>
      <c r="R1344" t="s">
        <v>31</v>
      </c>
      <c r="S1344" t="s">
        <v>32</v>
      </c>
    </row>
    <row r="1345" spans="1:19" x14ac:dyDescent="0.45">
      <c r="A1345" t="str">
        <f t="shared" si="87"/>
        <v>17801</v>
      </c>
      <c r="B1345" t="s">
        <v>19</v>
      </c>
      <c r="C1345" t="str">
        <f t="shared" si="88"/>
        <v>27001</v>
      </c>
      <c r="D1345" t="s">
        <v>2681</v>
      </c>
      <c r="E1345" t="str">
        <f>"2237"</f>
        <v>2237</v>
      </c>
      <c r="F1345" t="s">
        <v>7612</v>
      </c>
      <c r="G1345">
        <v>6</v>
      </c>
      <c r="H1345">
        <v>8</v>
      </c>
      <c r="I1345" t="s">
        <v>7613</v>
      </c>
      <c r="K1345" t="s">
        <v>7614</v>
      </c>
      <c r="L1345" t="s">
        <v>25</v>
      </c>
      <c r="M1345">
        <v>98327</v>
      </c>
      <c r="N1345" t="s">
        <v>7615</v>
      </c>
      <c r="O1345" t="s">
        <v>7616</v>
      </c>
      <c r="P1345" t="s">
        <v>7617</v>
      </c>
      <c r="Q1345" t="s">
        <v>30</v>
      </c>
      <c r="R1345" t="s">
        <v>31</v>
      </c>
      <c r="S1345" t="s">
        <v>104</v>
      </c>
    </row>
    <row r="1346" spans="1:19" x14ac:dyDescent="0.45">
      <c r="A1346" t="str">
        <f t="shared" si="87"/>
        <v>17801</v>
      </c>
      <c r="B1346" t="s">
        <v>19</v>
      </c>
      <c r="C1346" t="str">
        <f t="shared" si="88"/>
        <v>27001</v>
      </c>
      <c r="D1346" t="s">
        <v>2681</v>
      </c>
      <c r="E1346" t="str">
        <f>"3446"</f>
        <v>3446</v>
      </c>
      <c r="F1346" t="s">
        <v>7618</v>
      </c>
      <c r="G1346" t="s">
        <v>70</v>
      </c>
      <c r="H1346">
        <v>3</v>
      </c>
      <c r="I1346" t="s">
        <v>7619</v>
      </c>
      <c r="K1346" t="s">
        <v>7620</v>
      </c>
      <c r="L1346" t="s">
        <v>25</v>
      </c>
      <c r="M1346" t="s">
        <v>7608</v>
      </c>
      <c r="N1346" t="s">
        <v>7621</v>
      </c>
      <c r="O1346" t="s">
        <v>7622</v>
      </c>
      <c r="P1346" t="s">
        <v>7623</v>
      </c>
      <c r="Q1346" t="s">
        <v>30</v>
      </c>
      <c r="R1346" t="s">
        <v>31</v>
      </c>
      <c r="S1346" t="s">
        <v>32</v>
      </c>
    </row>
    <row r="1347" spans="1:19" x14ac:dyDescent="0.45">
      <c r="A1347" t="str">
        <f t="shared" si="87"/>
        <v>17801</v>
      </c>
      <c r="B1347" t="s">
        <v>19</v>
      </c>
      <c r="C1347" t="str">
        <f t="shared" si="88"/>
        <v>27001</v>
      </c>
      <c r="D1347" t="s">
        <v>2681</v>
      </c>
      <c r="E1347" t="str">
        <f>"3827"</f>
        <v>3827</v>
      </c>
      <c r="F1347" t="s">
        <v>7624</v>
      </c>
      <c r="G1347">
        <v>4</v>
      </c>
      <c r="H1347">
        <v>5</v>
      </c>
      <c r="I1347" t="s">
        <v>7625</v>
      </c>
      <c r="K1347" t="s">
        <v>7620</v>
      </c>
      <c r="L1347" t="s">
        <v>25</v>
      </c>
      <c r="M1347" t="s">
        <v>7608</v>
      </c>
      <c r="N1347" t="s">
        <v>7626</v>
      </c>
      <c r="O1347" t="s">
        <v>7627</v>
      </c>
      <c r="P1347" t="s">
        <v>7628</v>
      </c>
      <c r="Q1347" t="s">
        <v>30</v>
      </c>
      <c r="R1347" t="s">
        <v>31</v>
      </c>
      <c r="S1347" t="s">
        <v>32</v>
      </c>
    </row>
    <row r="1348" spans="1:19" x14ac:dyDescent="0.45">
      <c r="A1348" t="str">
        <f t="shared" si="87"/>
        <v>17801</v>
      </c>
      <c r="B1348" t="s">
        <v>19</v>
      </c>
      <c r="C1348" t="str">
        <f t="shared" si="88"/>
        <v>27001</v>
      </c>
      <c r="D1348" t="s">
        <v>2681</v>
      </c>
      <c r="E1348" t="str">
        <f>"4131"</f>
        <v>4131</v>
      </c>
      <c r="F1348" t="s">
        <v>7629</v>
      </c>
      <c r="G1348">
        <v>9</v>
      </c>
      <c r="H1348">
        <v>12</v>
      </c>
      <c r="I1348" t="s">
        <v>7630</v>
      </c>
      <c r="K1348" t="s">
        <v>7620</v>
      </c>
      <c r="L1348" t="s">
        <v>25</v>
      </c>
      <c r="M1348" t="s">
        <v>7608</v>
      </c>
      <c r="N1348" t="s">
        <v>4349</v>
      </c>
      <c r="O1348" t="s">
        <v>4350</v>
      </c>
      <c r="P1348" t="s">
        <v>7631</v>
      </c>
      <c r="Q1348" t="s">
        <v>30</v>
      </c>
      <c r="R1348" t="s">
        <v>31</v>
      </c>
      <c r="S1348" t="s">
        <v>58</v>
      </c>
    </row>
    <row r="1349" spans="1:19" x14ac:dyDescent="0.45">
      <c r="A1349" t="str">
        <f t="shared" si="87"/>
        <v>17801</v>
      </c>
      <c r="B1349" t="s">
        <v>19</v>
      </c>
      <c r="C1349" t="str">
        <f t="shared" si="88"/>
        <v>27001</v>
      </c>
      <c r="D1349" t="s">
        <v>2681</v>
      </c>
      <c r="E1349" t="str">
        <f>"4562"</f>
        <v>4562</v>
      </c>
      <c r="F1349" t="s">
        <v>7632</v>
      </c>
      <c r="G1349" t="s">
        <v>70</v>
      </c>
      <c r="H1349">
        <v>3</v>
      </c>
      <c r="I1349" t="s">
        <v>7633</v>
      </c>
      <c r="K1349" t="s">
        <v>7614</v>
      </c>
      <c r="L1349" t="s">
        <v>25</v>
      </c>
      <c r="M1349" t="s">
        <v>7634</v>
      </c>
      <c r="N1349" t="s">
        <v>7635</v>
      </c>
      <c r="O1349" t="s">
        <v>7636</v>
      </c>
      <c r="P1349" t="s">
        <v>7637</v>
      </c>
      <c r="Q1349" t="s">
        <v>30</v>
      </c>
      <c r="R1349" t="s">
        <v>31</v>
      </c>
      <c r="S1349" t="s">
        <v>32</v>
      </c>
    </row>
    <row r="1350" spans="1:19" x14ac:dyDescent="0.45">
      <c r="A1350" t="str">
        <f t="shared" si="87"/>
        <v>17801</v>
      </c>
      <c r="B1350" t="s">
        <v>19</v>
      </c>
      <c r="C1350" t="str">
        <f t="shared" ref="C1350:C1380" si="89">"27003"</f>
        <v>27003</v>
      </c>
      <c r="D1350" t="s">
        <v>2338</v>
      </c>
      <c r="E1350" t="str">
        <f>"1640"</f>
        <v>1640</v>
      </c>
      <c r="F1350" t="s">
        <v>7638</v>
      </c>
      <c r="G1350" t="s">
        <v>70</v>
      </c>
      <c r="H1350">
        <v>12</v>
      </c>
      <c r="I1350" t="s">
        <v>2340</v>
      </c>
      <c r="J1350" t="s">
        <v>2341</v>
      </c>
      <c r="K1350" t="s">
        <v>2347</v>
      </c>
      <c r="L1350" t="s">
        <v>25</v>
      </c>
      <c r="M1350">
        <v>98373</v>
      </c>
      <c r="N1350" t="s">
        <v>2343</v>
      </c>
      <c r="O1350" t="s">
        <v>2344</v>
      </c>
      <c r="P1350" t="s">
        <v>2345</v>
      </c>
      <c r="Q1350" t="s">
        <v>157</v>
      </c>
      <c r="R1350" t="s">
        <v>158</v>
      </c>
      <c r="S1350" t="s">
        <v>330</v>
      </c>
    </row>
    <row r="1351" spans="1:19" x14ac:dyDescent="0.45">
      <c r="A1351" t="str">
        <f t="shared" si="87"/>
        <v>17801</v>
      </c>
      <c r="B1351" t="s">
        <v>19</v>
      </c>
      <c r="C1351" t="str">
        <f t="shared" si="89"/>
        <v>27003</v>
      </c>
      <c r="D1351" t="s">
        <v>2338</v>
      </c>
      <c r="E1351" t="str">
        <f>"2125"</f>
        <v>2125</v>
      </c>
      <c r="F1351" t="s">
        <v>7639</v>
      </c>
      <c r="G1351">
        <v>10</v>
      </c>
      <c r="H1351">
        <v>12</v>
      </c>
      <c r="I1351" t="s">
        <v>7640</v>
      </c>
      <c r="K1351" t="s">
        <v>2347</v>
      </c>
      <c r="L1351" t="s">
        <v>25</v>
      </c>
      <c r="M1351" t="s">
        <v>7641</v>
      </c>
      <c r="N1351" t="s">
        <v>7642</v>
      </c>
      <c r="O1351" t="s">
        <v>7643</v>
      </c>
      <c r="P1351" t="s">
        <v>7644</v>
      </c>
      <c r="Q1351" t="s">
        <v>30</v>
      </c>
      <c r="R1351" t="s">
        <v>31</v>
      </c>
      <c r="S1351" t="s">
        <v>58</v>
      </c>
    </row>
    <row r="1352" spans="1:19" x14ac:dyDescent="0.45">
      <c r="A1352" t="str">
        <f t="shared" si="87"/>
        <v>17801</v>
      </c>
      <c r="B1352" t="s">
        <v>19</v>
      </c>
      <c r="C1352" t="str">
        <f t="shared" si="89"/>
        <v>27003</v>
      </c>
      <c r="D1352" t="s">
        <v>2338</v>
      </c>
      <c r="E1352" t="str">
        <f>"2311"</f>
        <v>2311</v>
      </c>
      <c r="F1352" t="s">
        <v>7645</v>
      </c>
      <c r="G1352" t="s">
        <v>22</v>
      </c>
      <c r="H1352">
        <v>6</v>
      </c>
      <c r="I1352" t="s">
        <v>7646</v>
      </c>
      <c r="K1352" t="s">
        <v>2347</v>
      </c>
      <c r="L1352" t="s">
        <v>25</v>
      </c>
      <c r="M1352" t="s">
        <v>7647</v>
      </c>
      <c r="N1352" t="s">
        <v>7648</v>
      </c>
      <c r="O1352" t="s">
        <v>7649</v>
      </c>
      <c r="P1352" t="s">
        <v>7650</v>
      </c>
      <c r="Q1352" t="s">
        <v>30</v>
      </c>
      <c r="R1352" t="s">
        <v>31</v>
      </c>
      <c r="S1352" t="s">
        <v>32</v>
      </c>
    </row>
    <row r="1353" spans="1:19" x14ac:dyDescent="0.45">
      <c r="A1353" t="str">
        <f t="shared" si="87"/>
        <v>17801</v>
      </c>
      <c r="B1353" t="s">
        <v>19</v>
      </c>
      <c r="C1353" t="str">
        <f t="shared" si="89"/>
        <v>27003</v>
      </c>
      <c r="D1353" t="s">
        <v>2338</v>
      </c>
      <c r="E1353" t="str">
        <f>"2334"</f>
        <v>2334</v>
      </c>
      <c r="F1353" t="s">
        <v>7651</v>
      </c>
      <c r="G1353" t="s">
        <v>70</v>
      </c>
      <c r="H1353">
        <v>6</v>
      </c>
      <c r="I1353" t="s">
        <v>7652</v>
      </c>
      <c r="K1353" t="s">
        <v>2347</v>
      </c>
      <c r="L1353" t="s">
        <v>25</v>
      </c>
      <c r="M1353" t="s">
        <v>7653</v>
      </c>
      <c r="N1353" t="s">
        <v>7654</v>
      </c>
      <c r="O1353" t="s">
        <v>7655</v>
      </c>
      <c r="P1353" t="s">
        <v>7656</v>
      </c>
      <c r="Q1353" t="s">
        <v>30</v>
      </c>
      <c r="R1353" t="s">
        <v>31</v>
      </c>
      <c r="S1353" t="s">
        <v>32</v>
      </c>
    </row>
    <row r="1354" spans="1:19" x14ac:dyDescent="0.45">
      <c r="A1354" t="str">
        <f t="shared" si="87"/>
        <v>17801</v>
      </c>
      <c r="B1354" t="s">
        <v>19</v>
      </c>
      <c r="C1354" t="str">
        <f t="shared" si="89"/>
        <v>27003</v>
      </c>
      <c r="D1354" t="s">
        <v>2338</v>
      </c>
      <c r="E1354" t="str">
        <f>"2495"</f>
        <v>2495</v>
      </c>
      <c r="F1354" t="s">
        <v>7657</v>
      </c>
      <c r="G1354" t="s">
        <v>70</v>
      </c>
      <c r="H1354">
        <v>6</v>
      </c>
      <c r="I1354" t="s">
        <v>7658</v>
      </c>
      <c r="K1354" t="s">
        <v>2276</v>
      </c>
      <c r="L1354" t="s">
        <v>25</v>
      </c>
      <c r="M1354" t="s">
        <v>7659</v>
      </c>
      <c r="N1354" t="s">
        <v>7660</v>
      </c>
      <c r="O1354" t="s">
        <v>7661</v>
      </c>
      <c r="P1354" t="s">
        <v>7662</v>
      </c>
      <c r="Q1354" t="s">
        <v>30</v>
      </c>
      <c r="R1354" t="s">
        <v>31</v>
      </c>
      <c r="S1354" t="s">
        <v>32</v>
      </c>
    </row>
    <row r="1355" spans="1:19" x14ac:dyDescent="0.45">
      <c r="A1355" t="str">
        <f t="shared" si="87"/>
        <v>17801</v>
      </c>
      <c r="B1355" t="s">
        <v>19</v>
      </c>
      <c r="C1355" t="str">
        <f t="shared" si="89"/>
        <v>27003</v>
      </c>
      <c r="D1355" t="s">
        <v>2338</v>
      </c>
      <c r="E1355" t="str">
        <f>"2496"</f>
        <v>2496</v>
      </c>
      <c r="F1355" t="s">
        <v>7663</v>
      </c>
      <c r="G1355" t="s">
        <v>70</v>
      </c>
      <c r="H1355">
        <v>6</v>
      </c>
      <c r="I1355" t="s">
        <v>7664</v>
      </c>
      <c r="K1355" t="s">
        <v>2347</v>
      </c>
      <c r="L1355" t="s">
        <v>25</v>
      </c>
      <c r="M1355" t="s">
        <v>7665</v>
      </c>
      <c r="N1355" t="s">
        <v>7666</v>
      </c>
      <c r="O1355" t="s">
        <v>7667</v>
      </c>
      <c r="P1355" t="s">
        <v>7668</v>
      </c>
      <c r="Q1355" t="s">
        <v>30</v>
      </c>
      <c r="R1355" t="s">
        <v>31</v>
      </c>
      <c r="S1355" t="s">
        <v>32</v>
      </c>
    </row>
    <row r="1356" spans="1:19" x14ac:dyDescent="0.45">
      <c r="A1356" t="str">
        <f t="shared" si="87"/>
        <v>17801</v>
      </c>
      <c r="B1356" t="s">
        <v>19</v>
      </c>
      <c r="C1356" t="str">
        <f t="shared" si="89"/>
        <v>27003</v>
      </c>
      <c r="D1356" t="s">
        <v>2338</v>
      </c>
      <c r="E1356" t="str">
        <f>"2497"</f>
        <v>2497</v>
      </c>
      <c r="F1356" t="s">
        <v>7669</v>
      </c>
      <c r="G1356" t="s">
        <v>70</v>
      </c>
      <c r="H1356">
        <v>6</v>
      </c>
      <c r="I1356" t="s">
        <v>7670</v>
      </c>
      <c r="K1356" t="s">
        <v>2347</v>
      </c>
      <c r="L1356" t="s">
        <v>25</v>
      </c>
      <c r="M1356" t="s">
        <v>7671</v>
      </c>
      <c r="N1356" t="s">
        <v>7672</v>
      </c>
      <c r="O1356" t="s">
        <v>7673</v>
      </c>
      <c r="P1356" t="s">
        <v>7674</v>
      </c>
      <c r="Q1356" t="s">
        <v>30</v>
      </c>
      <c r="R1356" t="s">
        <v>31</v>
      </c>
      <c r="S1356" t="s">
        <v>32</v>
      </c>
    </row>
    <row r="1357" spans="1:19" x14ac:dyDescent="0.45">
      <c r="A1357" t="str">
        <f t="shared" si="87"/>
        <v>17801</v>
      </c>
      <c r="B1357" t="s">
        <v>19</v>
      </c>
      <c r="C1357" t="str">
        <f t="shared" si="89"/>
        <v>27003</v>
      </c>
      <c r="D1357" t="s">
        <v>2338</v>
      </c>
      <c r="E1357" t="str">
        <f>"2498"</f>
        <v>2498</v>
      </c>
      <c r="F1357" t="s">
        <v>7675</v>
      </c>
      <c r="G1357" t="s">
        <v>22</v>
      </c>
      <c r="H1357">
        <v>6</v>
      </c>
      <c r="I1357" t="s">
        <v>7676</v>
      </c>
      <c r="K1357" t="s">
        <v>2347</v>
      </c>
      <c r="L1357" t="s">
        <v>25</v>
      </c>
      <c r="M1357" t="s">
        <v>7677</v>
      </c>
      <c r="N1357" t="s">
        <v>7678</v>
      </c>
      <c r="O1357" t="s">
        <v>7679</v>
      </c>
      <c r="P1357" t="s">
        <v>7680</v>
      </c>
      <c r="Q1357" t="s">
        <v>30</v>
      </c>
      <c r="R1357" t="s">
        <v>31</v>
      </c>
      <c r="S1357" t="s">
        <v>32</v>
      </c>
    </row>
    <row r="1358" spans="1:19" x14ac:dyDescent="0.45">
      <c r="A1358" t="str">
        <f t="shared" si="87"/>
        <v>17801</v>
      </c>
      <c r="B1358" t="s">
        <v>19</v>
      </c>
      <c r="C1358" t="str">
        <f t="shared" si="89"/>
        <v>27003</v>
      </c>
      <c r="D1358" t="s">
        <v>2338</v>
      </c>
      <c r="E1358" t="str">
        <f>"2519"</f>
        <v>2519</v>
      </c>
      <c r="F1358" t="s">
        <v>7681</v>
      </c>
      <c r="G1358" t="s">
        <v>70</v>
      </c>
      <c r="H1358">
        <v>6</v>
      </c>
      <c r="I1358" t="s">
        <v>7682</v>
      </c>
      <c r="K1358" t="s">
        <v>2347</v>
      </c>
      <c r="L1358" t="s">
        <v>25</v>
      </c>
      <c r="M1358" t="s">
        <v>7683</v>
      </c>
      <c r="N1358" t="s">
        <v>7684</v>
      </c>
      <c r="O1358" t="s">
        <v>7685</v>
      </c>
      <c r="P1358" t="s">
        <v>7686</v>
      </c>
      <c r="Q1358" t="s">
        <v>30</v>
      </c>
      <c r="R1358" t="s">
        <v>31</v>
      </c>
      <c r="S1358" t="s">
        <v>32</v>
      </c>
    </row>
    <row r="1359" spans="1:19" x14ac:dyDescent="0.45">
      <c r="A1359" t="str">
        <f t="shared" si="87"/>
        <v>17801</v>
      </c>
      <c r="B1359" t="s">
        <v>19</v>
      </c>
      <c r="C1359" t="str">
        <f t="shared" si="89"/>
        <v>27003</v>
      </c>
      <c r="D1359" t="s">
        <v>2338</v>
      </c>
      <c r="E1359" t="str">
        <f>"2575"</f>
        <v>2575</v>
      </c>
      <c r="F1359" t="s">
        <v>7687</v>
      </c>
      <c r="G1359">
        <v>6</v>
      </c>
      <c r="H1359">
        <v>9</v>
      </c>
      <c r="I1359" t="s">
        <v>7688</v>
      </c>
      <c r="K1359" t="s">
        <v>7689</v>
      </c>
      <c r="L1359" t="s">
        <v>25</v>
      </c>
      <c r="M1359" t="s">
        <v>7690</v>
      </c>
      <c r="N1359" t="s">
        <v>7691</v>
      </c>
      <c r="O1359" t="s">
        <v>7692</v>
      </c>
      <c r="P1359" t="s">
        <v>7693</v>
      </c>
      <c r="Q1359" t="s">
        <v>30</v>
      </c>
      <c r="R1359" t="s">
        <v>31</v>
      </c>
      <c r="S1359" t="s">
        <v>6608</v>
      </c>
    </row>
    <row r="1360" spans="1:19" x14ac:dyDescent="0.45">
      <c r="A1360" t="str">
        <f t="shared" si="87"/>
        <v>17801</v>
      </c>
      <c r="B1360" t="s">
        <v>19</v>
      </c>
      <c r="C1360" t="str">
        <f t="shared" si="89"/>
        <v>27003</v>
      </c>
      <c r="D1360" t="s">
        <v>2338</v>
      </c>
      <c r="E1360" t="str">
        <f>"2870"</f>
        <v>2870</v>
      </c>
      <c r="F1360" t="s">
        <v>7694</v>
      </c>
      <c r="G1360" t="s">
        <v>22</v>
      </c>
      <c r="H1360">
        <v>6</v>
      </c>
      <c r="I1360" t="s">
        <v>7695</v>
      </c>
      <c r="K1360" t="s">
        <v>2347</v>
      </c>
      <c r="L1360" t="s">
        <v>25</v>
      </c>
      <c r="M1360" t="s">
        <v>7696</v>
      </c>
      <c r="N1360" t="s">
        <v>7697</v>
      </c>
      <c r="O1360" t="s">
        <v>7698</v>
      </c>
      <c r="P1360" t="s">
        <v>7699</v>
      </c>
      <c r="Q1360" t="s">
        <v>30</v>
      </c>
      <c r="R1360" t="s">
        <v>31</v>
      </c>
      <c r="S1360" t="s">
        <v>32</v>
      </c>
    </row>
    <row r="1361" spans="1:19" x14ac:dyDescent="0.45">
      <c r="A1361" t="str">
        <f t="shared" si="87"/>
        <v>17801</v>
      </c>
      <c r="B1361" t="s">
        <v>19</v>
      </c>
      <c r="C1361" t="str">
        <f t="shared" si="89"/>
        <v>27003</v>
      </c>
      <c r="D1361" t="s">
        <v>2338</v>
      </c>
      <c r="E1361" t="str">
        <f>"3052"</f>
        <v>3052</v>
      </c>
      <c r="F1361" t="s">
        <v>7700</v>
      </c>
      <c r="G1361">
        <v>7</v>
      </c>
      <c r="H1361">
        <v>9</v>
      </c>
      <c r="I1361" t="s">
        <v>7701</v>
      </c>
      <c r="K1361" t="s">
        <v>2347</v>
      </c>
      <c r="L1361" t="s">
        <v>25</v>
      </c>
      <c r="M1361" t="s">
        <v>7702</v>
      </c>
      <c r="N1361" t="s">
        <v>7703</v>
      </c>
      <c r="O1361" t="s">
        <v>7704</v>
      </c>
      <c r="P1361" t="s">
        <v>7705</v>
      </c>
      <c r="Q1361" t="s">
        <v>30</v>
      </c>
      <c r="R1361" t="s">
        <v>31</v>
      </c>
      <c r="S1361" t="s">
        <v>6608</v>
      </c>
    </row>
    <row r="1362" spans="1:19" x14ac:dyDescent="0.45">
      <c r="A1362" t="str">
        <f t="shared" si="87"/>
        <v>17801</v>
      </c>
      <c r="B1362" t="s">
        <v>19</v>
      </c>
      <c r="C1362" t="str">
        <f t="shared" si="89"/>
        <v>27003</v>
      </c>
      <c r="D1362" t="s">
        <v>2338</v>
      </c>
      <c r="E1362" t="str">
        <f>"3447"</f>
        <v>3447</v>
      </c>
      <c r="F1362" t="s">
        <v>7706</v>
      </c>
      <c r="G1362">
        <v>7</v>
      </c>
      <c r="H1362">
        <v>9</v>
      </c>
      <c r="I1362" t="s">
        <v>7707</v>
      </c>
      <c r="K1362" t="s">
        <v>2347</v>
      </c>
      <c r="L1362" t="s">
        <v>25</v>
      </c>
      <c r="M1362" t="s">
        <v>7708</v>
      </c>
      <c r="N1362" t="s">
        <v>7709</v>
      </c>
      <c r="O1362" t="s">
        <v>7710</v>
      </c>
      <c r="P1362" t="s">
        <v>7711</v>
      </c>
      <c r="Q1362" t="s">
        <v>30</v>
      </c>
      <c r="R1362" t="s">
        <v>31</v>
      </c>
      <c r="S1362" t="s">
        <v>6608</v>
      </c>
    </row>
    <row r="1363" spans="1:19" x14ac:dyDescent="0.45">
      <c r="A1363" t="str">
        <f t="shared" si="87"/>
        <v>17801</v>
      </c>
      <c r="B1363" t="s">
        <v>19</v>
      </c>
      <c r="C1363" t="str">
        <f t="shared" si="89"/>
        <v>27003</v>
      </c>
      <c r="D1363" t="s">
        <v>2338</v>
      </c>
      <c r="E1363" t="str">
        <f>"3557"</f>
        <v>3557</v>
      </c>
      <c r="F1363" t="s">
        <v>7712</v>
      </c>
      <c r="G1363" t="s">
        <v>70</v>
      </c>
      <c r="H1363">
        <v>6</v>
      </c>
      <c r="I1363" t="s">
        <v>7713</v>
      </c>
      <c r="K1363" t="s">
        <v>2347</v>
      </c>
      <c r="L1363" t="s">
        <v>25</v>
      </c>
      <c r="M1363" t="s">
        <v>7714</v>
      </c>
      <c r="N1363" t="s">
        <v>7715</v>
      </c>
      <c r="O1363" t="s">
        <v>7716</v>
      </c>
      <c r="P1363" t="s">
        <v>7717</v>
      </c>
      <c r="Q1363" t="s">
        <v>30</v>
      </c>
      <c r="R1363" t="s">
        <v>31</v>
      </c>
      <c r="S1363" t="s">
        <v>32</v>
      </c>
    </row>
    <row r="1364" spans="1:19" x14ac:dyDescent="0.45">
      <c r="A1364" t="str">
        <f t="shared" si="87"/>
        <v>17801</v>
      </c>
      <c r="B1364" t="s">
        <v>19</v>
      </c>
      <c r="C1364" t="str">
        <f t="shared" si="89"/>
        <v>27003</v>
      </c>
      <c r="D1364" t="s">
        <v>2338</v>
      </c>
      <c r="E1364" t="str">
        <f>"3558"</f>
        <v>3558</v>
      </c>
      <c r="F1364" t="s">
        <v>7718</v>
      </c>
      <c r="G1364" t="s">
        <v>22</v>
      </c>
      <c r="H1364">
        <v>6</v>
      </c>
      <c r="I1364" t="s">
        <v>7719</v>
      </c>
      <c r="K1364" t="s">
        <v>2347</v>
      </c>
      <c r="L1364" t="s">
        <v>25</v>
      </c>
      <c r="M1364" t="s">
        <v>7720</v>
      </c>
      <c r="N1364" t="s">
        <v>7721</v>
      </c>
      <c r="O1364" t="s">
        <v>7722</v>
      </c>
      <c r="P1364" t="s">
        <v>7723</v>
      </c>
      <c r="Q1364" t="s">
        <v>30</v>
      </c>
      <c r="R1364" t="s">
        <v>31</v>
      </c>
      <c r="S1364" t="s">
        <v>32</v>
      </c>
    </row>
    <row r="1365" spans="1:19" x14ac:dyDescent="0.45">
      <c r="A1365" t="str">
        <f t="shared" si="87"/>
        <v>17801</v>
      </c>
      <c r="B1365" t="s">
        <v>19</v>
      </c>
      <c r="C1365" t="str">
        <f t="shared" si="89"/>
        <v>27003</v>
      </c>
      <c r="D1365" t="s">
        <v>2338</v>
      </c>
      <c r="E1365" t="str">
        <f>"3572"</f>
        <v>3572</v>
      </c>
      <c r="F1365" t="s">
        <v>7724</v>
      </c>
      <c r="G1365" t="s">
        <v>70</v>
      </c>
      <c r="H1365">
        <v>6</v>
      </c>
      <c r="I1365" t="s">
        <v>7725</v>
      </c>
      <c r="K1365" t="s">
        <v>7689</v>
      </c>
      <c r="L1365" t="s">
        <v>25</v>
      </c>
      <c r="M1365" t="s">
        <v>7726</v>
      </c>
      <c r="N1365" t="s">
        <v>7727</v>
      </c>
      <c r="O1365" t="s">
        <v>4488</v>
      </c>
      <c r="P1365" t="s">
        <v>7728</v>
      </c>
      <c r="Q1365" t="s">
        <v>30</v>
      </c>
      <c r="R1365" t="s">
        <v>31</v>
      </c>
      <c r="S1365" t="s">
        <v>32</v>
      </c>
    </row>
    <row r="1366" spans="1:19" x14ac:dyDescent="0.45">
      <c r="A1366" t="str">
        <f t="shared" si="87"/>
        <v>17801</v>
      </c>
      <c r="B1366" t="s">
        <v>19</v>
      </c>
      <c r="C1366" t="str">
        <f t="shared" si="89"/>
        <v>27003</v>
      </c>
      <c r="D1366" t="s">
        <v>2338</v>
      </c>
      <c r="E1366" t="str">
        <f>"3645"</f>
        <v>3645</v>
      </c>
      <c r="F1366" t="s">
        <v>7729</v>
      </c>
      <c r="G1366">
        <v>9</v>
      </c>
      <c r="H1366">
        <v>12</v>
      </c>
      <c r="I1366" t="s">
        <v>7730</v>
      </c>
      <c r="K1366" t="s">
        <v>2347</v>
      </c>
      <c r="L1366" t="s">
        <v>25</v>
      </c>
      <c r="M1366" t="s">
        <v>7731</v>
      </c>
      <c r="N1366" t="s">
        <v>7732</v>
      </c>
      <c r="O1366" t="s">
        <v>7733</v>
      </c>
      <c r="P1366" t="s">
        <v>7734</v>
      </c>
      <c r="Q1366" t="s">
        <v>30</v>
      </c>
      <c r="R1366" t="s">
        <v>31</v>
      </c>
      <c r="S1366" t="s">
        <v>58</v>
      </c>
    </row>
    <row r="1367" spans="1:19" x14ac:dyDescent="0.45">
      <c r="A1367" t="str">
        <f t="shared" si="87"/>
        <v>17801</v>
      </c>
      <c r="B1367" t="s">
        <v>19</v>
      </c>
      <c r="C1367" t="str">
        <f t="shared" si="89"/>
        <v>27003</v>
      </c>
      <c r="D1367" t="s">
        <v>2338</v>
      </c>
      <c r="E1367" t="str">
        <f>"3750"</f>
        <v>3750</v>
      </c>
      <c r="F1367" t="s">
        <v>7735</v>
      </c>
      <c r="G1367">
        <v>7</v>
      </c>
      <c r="H1367">
        <v>9</v>
      </c>
      <c r="I1367" t="s">
        <v>7736</v>
      </c>
      <c r="K1367" t="s">
        <v>2347</v>
      </c>
      <c r="L1367" t="s">
        <v>25</v>
      </c>
      <c r="M1367" t="s">
        <v>7737</v>
      </c>
      <c r="N1367" t="s">
        <v>7738</v>
      </c>
      <c r="O1367" t="s">
        <v>7739</v>
      </c>
      <c r="P1367" t="s">
        <v>7740</v>
      </c>
      <c r="Q1367" t="s">
        <v>30</v>
      </c>
      <c r="R1367" t="s">
        <v>31</v>
      </c>
      <c r="S1367" t="s">
        <v>6608</v>
      </c>
    </row>
    <row r="1368" spans="1:19" x14ac:dyDescent="0.45">
      <c r="A1368" t="str">
        <f t="shared" si="87"/>
        <v>17801</v>
      </c>
      <c r="B1368" t="s">
        <v>19</v>
      </c>
      <c r="C1368" t="str">
        <f t="shared" si="89"/>
        <v>27003</v>
      </c>
      <c r="D1368" t="s">
        <v>2338</v>
      </c>
      <c r="E1368" t="str">
        <f>"3896"</f>
        <v>3896</v>
      </c>
      <c r="F1368" t="s">
        <v>105</v>
      </c>
      <c r="G1368" t="s">
        <v>22</v>
      </c>
      <c r="H1368">
        <v>6</v>
      </c>
      <c r="I1368" t="s">
        <v>7741</v>
      </c>
      <c r="K1368" t="s">
        <v>2347</v>
      </c>
      <c r="L1368" t="s">
        <v>25</v>
      </c>
      <c r="M1368" t="s">
        <v>7742</v>
      </c>
      <c r="N1368" t="s">
        <v>7743</v>
      </c>
      <c r="O1368" t="s">
        <v>7744</v>
      </c>
      <c r="P1368" t="s">
        <v>7745</v>
      </c>
      <c r="Q1368" t="s">
        <v>30</v>
      </c>
      <c r="R1368" t="s">
        <v>31</v>
      </c>
      <c r="S1368" t="s">
        <v>32</v>
      </c>
    </row>
    <row r="1369" spans="1:19" x14ac:dyDescent="0.45">
      <c r="A1369" t="str">
        <f t="shared" si="87"/>
        <v>17801</v>
      </c>
      <c r="B1369" t="s">
        <v>19</v>
      </c>
      <c r="C1369" t="str">
        <f t="shared" si="89"/>
        <v>27003</v>
      </c>
      <c r="D1369" t="s">
        <v>2338</v>
      </c>
      <c r="E1369" t="str">
        <f>"3927"</f>
        <v>3927</v>
      </c>
      <c r="F1369" t="s">
        <v>7746</v>
      </c>
      <c r="G1369" t="s">
        <v>70</v>
      </c>
      <c r="H1369">
        <v>6</v>
      </c>
      <c r="I1369" t="s">
        <v>7747</v>
      </c>
      <c r="K1369" t="s">
        <v>7689</v>
      </c>
      <c r="L1369" t="s">
        <v>25</v>
      </c>
      <c r="M1369" t="s">
        <v>7748</v>
      </c>
      <c r="N1369" t="s">
        <v>7749</v>
      </c>
      <c r="O1369" t="s">
        <v>7750</v>
      </c>
      <c r="P1369" t="s">
        <v>7751</v>
      </c>
      <c r="Q1369" t="s">
        <v>30</v>
      </c>
      <c r="R1369" t="s">
        <v>31</v>
      </c>
      <c r="S1369" t="s">
        <v>32</v>
      </c>
    </row>
    <row r="1370" spans="1:19" x14ac:dyDescent="0.45">
      <c r="A1370" t="str">
        <f t="shared" si="87"/>
        <v>17801</v>
      </c>
      <c r="B1370" t="s">
        <v>19</v>
      </c>
      <c r="C1370" t="str">
        <f t="shared" si="89"/>
        <v>27003</v>
      </c>
      <c r="D1370" t="s">
        <v>2338</v>
      </c>
      <c r="E1370" t="str">
        <f>"3951"</f>
        <v>3951</v>
      </c>
      <c r="F1370" t="s">
        <v>7752</v>
      </c>
      <c r="G1370" t="s">
        <v>22</v>
      </c>
      <c r="H1370">
        <v>12</v>
      </c>
      <c r="I1370" t="s">
        <v>7753</v>
      </c>
      <c r="J1370" t="s">
        <v>7754</v>
      </c>
      <c r="K1370" t="s">
        <v>2347</v>
      </c>
      <c r="L1370" t="s">
        <v>25</v>
      </c>
      <c r="M1370">
        <v>98371</v>
      </c>
      <c r="N1370" t="s">
        <v>79</v>
      </c>
      <c r="Q1370" t="s">
        <v>66</v>
      </c>
      <c r="R1370" t="s">
        <v>67</v>
      </c>
      <c r="S1370" t="s">
        <v>68</v>
      </c>
    </row>
    <row r="1371" spans="1:19" x14ac:dyDescent="0.45">
      <c r="A1371" t="str">
        <f t="shared" si="87"/>
        <v>17801</v>
      </c>
      <c r="B1371" t="s">
        <v>19</v>
      </c>
      <c r="C1371" t="str">
        <f t="shared" si="89"/>
        <v>27003</v>
      </c>
      <c r="D1371" t="s">
        <v>2338</v>
      </c>
      <c r="E1371" t="str">
        <f>"3972"</f>
        <v>3972</v>
      </c>
      <c r="F1371" t="s">
        <v>7755</v>
      </c>
      <c r="G1371">
        <v>8</v>
      </c>
      <c r="H1371">
        <v>12</v>
      </c>
      <c r="I1371" t="s">
        <v>7756</v>
      </c>
      <c r="K1371" t="s">
        <v>2347</v>
      </c>
      <c r="L1371" t="s">
        <v>25</v>
      </c>
      <c r="M1371" t="s">
        <v>7757</v>
      </c>
      <c r="N1371" t="s">
        <v>7758</v>
      </c>
      <c r="O1371" t="s">
        <v>7759</v>
      </c>
      <c r="P1371" t="s">
        <v>7760</v>
      </c>
      <c r="Q1371" t="s">
        <v>157</v>
      </c>
      <c r="R1371" t="s">
        <v>158</v>
      </c>
      <c r="S1371" t="s">
        <v>58</v>
      </c>
    </row>
    <row r="1372" spans="1:19" x14ac:dyDescent="0.45">
      <c r="A1372" t="str">
        <f t="shared" si="87"/>
        <v>17801</v>
      </c>
      <c r="B1372" t="s">
        <v>19</v>
      </c>
      <c r="C1372" t="str">
        <f t="shared" si="89"/>
        <v>27003</v>
      </c>
      <c r="D1372" t="s">
        <v>2338</v>
      </c>
      <c r="E1372" t="str">
        <f>"4121"</f>
        <v>4121</v>
      </c>
      <c r="F1372" t="s">
        <v>1066</v>
      </c>
      <c r="G1372" t="s">
        <v>70</v>
      </c>
      <c r="H1372">
        <v>6</v>
      </c>
      <c r="I1372" t="s">
        <v>7761</v>
      </c>
      <c r="K1372" t="s">
        <v>2347</v>
      </c>
      <c r="L1372" t="s">
        <v>25</v>
      </c>
      <c r="M1372" t="s">
        <v>7762</v>
      </c>
      <c r="N1372" t="s">
        <v>7763</v>
      </c>
      <c r="O1372" t="s">
        <v>7764</v>
      </c>
      <c r="P1372" t="s">
        <v>7765</v>
      </c>
      <c r="Q1372" t="s">
        <v>30</v>
      </c>
      <c r="R1372" t="s">
        <v>31</v>
      </c>
      <c r="S1372" t="s">
        <v>32</v>
      </c>
    </row>
    <row r="1373" spans="1:19" x14ac:dyDescent="0.45">
      <c r="A1373" t="str">
        <f t="shared" si="87"/>
        <v>17801</v>
      </c>
      <c r="B1373" t="s">
        <v>19</v>
      </c>
      <c r="C1373" t="str">
        <f t="shared" si="89"/>
        <v>27003</v>
      </c>
      <c r="D1373" t="s">
        <v>2338</v>
      </c>
      <c r="E1373" t="str">
        <f>"4146"</f>
        <v>4146</v>
      </c>
      <c r="F1373" t="s">
        <v>7766</v>
      </c>
      <c r="G1373" t="s">
        <v>70</v>
      </c>
      <c r="H1373">
        <v>6</v>
      </c>
      <c r="I1373" t="s">
        <v>7767</v>
      </c>
      <c r="K1373" t="s">
        <v>2347</v>
      </c>
      <c r="L1373" t="s">
        <v>25</v>
      </c>
      <c r="M1373" t="s">
        <v>7768</v>
      </c>
      <c r="N1373" t="s">
        <v>7769</v>
      </c>
      <c r="O1373" t="s">
        <v>7770</v>
      </c>
      <c r="P1373" t="s">
        <v>7771</v>
      </c>
      <c r="Q1373" t="s">
        <v>30</v>
      </c>
      <c r="R1373" t="s">
        <v>31</v>
      </c>
      <c r="S1373" t="s">
        <v>32</v>
      </c>
    </row>
    <row r="1374" spans="1:19" x14ac:dyDescent="0.45">
      <c r="A1374" t="str">
        <f t="shared" si="87"/>
        <v>17801</v>
      </c>
      <c r="B1374" t="s">
        <v>19</v>
      </c>
      <c r="C1374" t="str">
        <f t="shared" si="89"/>
        <v>27003</v>
      </c>
      <c r="D1374" t="s">
        <v>2338</v>
      </c>
      <c r="E1374" t="str">
        <f>"4183"</f>
        <v>4183</v>
      </c>
      <c r="F1374" t="s">
        <v>7772</v>
      </c>
      <c r="G1374">
        <v>7</v>
      </c>
      <c r="H1374">
        <v>9</v>
      </c>
      <c r="I1374" t="s">
        <v>7773</v>
      </c>
      <c r="K1374" t="s">
        <v>2347</v>
      </c>
      <c r="L1374" t="s">
        <v>25</v>
      </c>
      <c r="M1374" t="s">
        <v>7774</v>
      </c>
      <c r="N1374" t="s">
        <v>7775</v>
      </c>
      <c r="O1374" t="s">
        <v>7776</v>
      </c>
      <c r="P1374" t="s">
        <v>7777</v>
      </c>
      <c r="Q1374" t="s">
        <v>30</v>
      </c>
      <c r="R1374" t="s">
        <v>31</v>
      </c>
      <c r="S1374" t="s">
        <v>6608</v>
      </c>
    </row>
    <row r="1375" spans="1:19" x14ac:dyDescent="0.45">
      <c r="A1375" t="str">
        <f t="shared" si="87"/>
        <v>17801</v>
      </c>
      <c r="B1375" t="s">
        <v>19</v>
      </c>
      <c r="C1375" t="str">
        <f t="shared" si="89"/>
        <v>27003</v>
      </c>
      <c r="D1375" t="s">
        <v>2338</v>
      </c>
      <c r="E1375" t="str">
        <f>"4360"</f>
        <v>4360</v>
      </c>
      <c r="F1375" t="s">
        <v>7778</v>
      </c>
      <c r="G1375" t="s">
        <v>22</v>
      </c>
      <c r="H1375">
        <v>6</v>
      </c>
      <c r="I1375" t="s">
        <v>7779</v>
      </c>
      <c r="K1375" t="s">
        <v>2347</v>
      </c>
      <c r="L1375" t="s">
        <v>25</v>
      </c>
      <c r="M1375" t="s">
        <v>7780</v>
      </c>
      <c r="N1375" t="s">
        <v>7781</v>
      </c>
      <c r="O1375" t="s">
        <v>7782</v>
      </c>
      <c r="P1375" t="s">
        <v>7783</v>
      </c>
      <c r="Q1375" t="s">
        <v>30</v>
      </c>
      <c r="R1375" t="s">
        <v>31</v>
      </c>
      <c r="S1375" t="s">
        <v>32</v>
      </c>
    </row>
    <row r="1376" spans="1:19" x14ac:dyDescent="0.45">
      <c r="A1376" t="str">
        <f t="shared" si="87"/>
        <v>17801</v>
      </c>
      <c r="B1376" t="s">
        <v>19</v>
      </c>
      <c r="C1376" t="str">
        <f t="shared" si="89"/>
        <v>27003</v>
      </c>
      <c r="D1376" t="s">
        <v>2338</v>
      </c>
      <c r="E1376" t="str">
        <f>"4361"</f>
        <v>4361</v>
      </c>
      <c r="F1376" t="s">
        <v>7784</v>
      </c>
      <c r="G1376" t="s">
        <v>70</v>
      </c>
      <c r="H1376">
        <v>6</v>
      </c>
      <c r="I1376" t="s">
        <v>7785</v>
      </c>
      <c r="K1376" t="s">
        <v>2347</v>
      </c>
      <c r="L1376" t="s">
        <v>25</v>
      </c>
      <c r="M1376" t="s">
        <v>7786</v>
      </c>
      <c r="N1376" t="s">
        <v>7787</v>
      </c>
      <c r="O1376" t="s">
        <v>7788</v>
      </c>
      <c r="P1376" t="s">
        <v>7789</v>
      </c>
      <c r="Q1376" t="s">
        <v>30</v>
      </c>
      <c r="R1376" t="s">
        <v>31</v>
      </c>
      <c r="S1376" t="s">
        <v>32</v>
      </c>
    </row>
    <row r="1377" spans="1:19" x14ac:dyDescent="0.45">
      <c r="A1377" t="str">
        <f t="shared" si="87"/>
        <v>17801</v>
      </c>
      <c r="B1377" t="s">
        <v>19</v>
      </c>
      <c r="C1377" t="str">
        <f t="shared" si="89"/>
        <v>27003</v>
      </c>
      <c r="D1377" t="s">
        <v>2338</v>
      </c>
      <c r="E1377" t="str">
        <f>"4414"</f>
        <v>4414</v>
      </c>
      <c r="F1377" t="s">
        <v>7790</v>
      </c>
      <c r="G1377" t="s">
        <v>70</v>
      </c>
      <c r="H1377">
        <v>6</v>
      </c>
      <c r="I1377" t="s">
        <v>7791</v>
      </c>
      <c r="K1377" t="s">
        <v>2347</v>
      </c>
      <c r="L1377" t="s">
        <v>25</v>
      </c>
      <c r="M1377" t="s">
        <v>7792</v>
      </c>
      <c r="N1377" t="s">
        <v>7793</v>
      </c>
      <c r="O1377" t="s">
        <v>7794</v>
      </c>
      <c r="P1377" t="s">
        <v>7795</v>
      </c>
      <c r="Q1377" t="s">
        <v>30</v>
      </c>
      <c r="R1377" t="s">
        <v>31</v>
      </c>
      <c r="S1377" t="s">
        <v>32</v>
      </c>
    </row>
    <row r="1378" spans="1:19" x14ac:dyDescent="0.45">
      <c r="A1378" t="str">
        <f t="shared" si="87"/>
        <v>17801</v>
      </c>
      <c r="B1378" t="s">
        <v>19</v>
      </c>
      <c r="C1378" t="str">
        <f t="shared" si="89"/>
        <v>27003</v>
      </c>
      <c r="D1378" t="s">
        <v>2338</v>
      </c>
      <c r="E1378" t="str">
        <f>"4443"</f>
        <v>4443</v>
      </c>
      <c r="F1378" t="s">
        <v>7796</v>
      </c>
      <c r="G1378">
        <v>6</v>
      </c>
      <c r="H1378">
        <v>10</v>
      </c>
      <c r="I1378" t="s">
        <v>7797</v>
      </c>
      <c r="K1378" t="s">
        <v>2347</v>
      </c>
      <c r="L1378" t="s">
        <v>25</v>
      </c>
      <c r="M1378" t="s">
        <v>7798</v>
      </c>
      <c r="N1378" t="s">
        <v>7799</v>
      </c>
      <c r="O1378" t="s">
        <v>7800</v>
      </c>
      <c r="P1378" t="s">
        <v>7801</v>
      </c>
      <c r="Q1378" t="s">
        <v>30</v>
      </c>
      <c r="R1378" t="s">
        <v>31</v>
      </c>
      <c r="S1378" t="s">
        <v>159</v>
      </c>
    </row>
    <row r="1379" spans="1:19" x14ac:dyDescent="0.45">
      <c r="A1379" t="str">
        <f t="shared" si="87"/>
        <v>17801</v>
      </c>
      <c r="B1379" t="s">
        <v>19</v>
      </c>
      <c r="C1379" t="str">
        <f t="shared" si="89"/>
        <v>27003</v>
      </c>
      <c r="D1379" t="s">
        <v>2338</v>
      </c>
      <c r="E1379" t="str">
        <f>"4496"</f>
        <v>4496</v>
      </c>
      <c r="F1379" t="s">
        <v>7802</v>
      </c>
      <c r="G1379" t="s">
        <v>22</v>
      </c>
      <c r="H1379">
        <v>6</v>
      </c>
      <c r="I1379" t="s">
        <v>7803</v>
      </c>
      <c r="K1379" t="s">
        <v>2347</v>
      </c>
      <c r="L1379" t="s">
        <v>25</v>
      </c>
      <c r="M1379" t="s">
        <v>7804</v>
      </c>
      <c r="N1379" t="s">
        <v>7805</v>
      </c>
      <c r="O1379" t="s">
        <v>7806</v>
      </c>
      <c r="P1379" t="s">
        <v>7807</v>
      </c>
      <c r="Q1379" t="s">
        <v>30</v>
      </c>
      <c r="R1379" t="s">
        <v>31</v>
      </c>
      <c r="S1379" t="s">
        <v>32</v>
      </c>
    </row>
    <row r="1380" spans="1:19" x14ac:dyDescent="0.45">
      <c r="A1380" t="str">
        <f t="shared" si="87"/>
        <v>17801</v>
      </c>
      <c r="B1380" t="s">
        <v>19</v>
      </c>
      <c r="C1380" t="str">
        <f t="shared" si="89"/>
        <v>27003</v>
      </c>
      <c r="D1380" t="s">
        <v>2338</v>
      </c>
      <c r="E1380" t="str">
        <f>"4540"</f>
        <v>4540</v>
      </c>
      <c r="F1380" t="s">
        <v>7808</v>
      </c>
      <c r="G1380">
        <v>10</v>
      </c>
      <c r="H1380">
        <v>12</v>
      </c>
      <c r="I1380" t="s">
        <v>7809</v>
      </c>
      <c r="K1380" t="s">
        <v>2347</v>
      </c>
      <c r="L1380" t="s">
        <v>25</v>
      </c>
      <c r="M1380" t="s">
        <v>7810</v>
      </c>
      <c r="N1380" t="s">
        <v>7811</v>
      </c>
      <c r="O1380" t="s">
        <v>7812</v>
      </c>
      <c r="P1380" t="s">
        <v>7813</v>
      </c>
      <c r="Q1380" t="s">
        <v>30</v>
      </c>
      <c r="R1380" t="s">
        <v>31</v>
      </c>
      <c r="S1380" t="s">
        <v>58</v>
      </c>
    </row>
    <row r="1381" spans="1:19" x14ac:dyDescent="0.45">
      <c r="A1381" t="str">
        <f t="shared" si="87"/>
        <v>17801</v>
      </c>
      <c r="B1381" t="s">
        <v>19</v>
      </c>
      <c r="C1381" t="str">
        <f t="shared" ref="C1381:C1412" si="90">"27010"</f>
        <v>27010</v>
      </c>
      <c r="D1381" t="s">
        <v>2273</v>
      </c>
      <c r="E1381" t="str">
        <f>"1514"</f>
        <v>1514</v>
      </c>
      <c r="F1381" t="s">
        <v>7814</v>
      </c>
      <c r="G1381">
        <v>9</v>
      </c>
      <c r="H1381">
        <v>12</v>
      </c>
      <c r="I1381" t="s">
        <v>7815</v>
      </c>
      <c r="K1381" t="s">
        <v>7816</v>
      </c>
      <c r="L1381" t="s">
        <v>25</v>
      </c>
      <c r="M1381" t="s">
        <v>7817</v>
      </c>
      <c r="N1381" t="s">
        <v>7818</v>
      </c>
      <c r="O1381" t="s">
        <v>7819</v>
      </c>
      <c r="P1381" t="s">
        <v>7820</v>
      </c>
      <c r="Q1381" t="s">
        <v>66</v>
      </c>
      <c r="R1381" t="s">
        <v>67</v>
      </c>
      <c r="S1381" t="s">
        <v>58</v>
      </c>
    </row>
    <row r="1382" spans="1:19" x14ac:dyDescent="0.45">
      <c r="A1382" t="str">
        <f t="shared" si="87"/>
        <v>17801</v>
      </c>
      <c r="B1382" t="s">
        <v>19</v>
      </c>
      <c r="C1382" t="str">
        <f t="shared" si="90"/>
        <v>27010</v>
      </c>
      <c r="D1382" t="s">
        <v>2273</v>
      </c>
      <c r="E1382" t="str">
        <f>"1585"</f>
        <v>1585</v>
      </c>
      <c r="F1382" t="s">
        <v>7821</v>
      </c>
      <c r="G1382">
        <v>11</v>
      </c>
      <c r="H1382">
        <v>12</v>
      </c>
      <c r="I1382" t="s">
        <v>7822</v>
      </c>
      <c r="K1382" t="s">
        <v>2276</v>
      </c>
      <c r="L1382" t="s">
        <v>25</v>
      </c>
      <c r="M1382" t="s">
        <v>7823</v>
      </c>
      <c r="N1382" t="s">
        <v>7824</v>
      </c>
      <c r="O1382" t="s">
        <v>7825</v>
      </c>
      <c r="P1382" t="s">
        <v>7826</v>
      </c>
      <c r="Q1382" t="s">
        <v>66</v>
      </c>
      <c r="R1382" t="s">
        <v>67</v>
      </c>
      <c r="S1382" t="s">
        <v>58</v>
      </c>
    </row>
    <row r="1383" spans="1:19" x14ac:dyDescent="0.45">
      <c r="A1383" t="str">
        <f t="shared" si="87"/>
        <v>17801</v>
      </c>
      <c r="B1383" t="s">
        <v>19</v>
      </c>
      <c r="C1383" t="str">
        <f t="shared" si="90"/>
        <v>27010</v>
      </c>
      <c r="D1383" t="s">
        <v>2273</v>
      </c>
      <c r="E1383" t="str">
        <f>"1816"</f>
        <v>1816</v>
      </c>
      <c r="F1383" t="s">
        <v>7827</v>
      </c>
      <c r="G1383">
        <v>9</v>
      </c>
      <c r="H1383">
        <v>12</v>
      </c>
      <c r="I1383" t="s">
        <v>7822</v>
      </c>
      <c r="K1383" t="s">
        <v>2276</v>
      </c>
      <c r="L1383" t="s">
        <v>25</v>
      </c>
      <c r="M1383" t="s">
        <v>7823</v>
      </c>
      <c r="N1383" t="s">
        <v>7828</v>
      </c>
      <c r="O1383" t="s">
        <v>7829</v>
      </c>
      <c r="P1383" t="s">
        <v>7830</v>
      </c>
      <c r="Q1383" t="s">
        <v>7831</v>
      </c>
      <c r="R1383" t="s">
        <v>7832</v>
      </c>
      <c r="S1383" t="s">
        <v>58</v>
      </c>
    </row>
    <row r="1384" spans="1:19" x14ac:dyDescent="0.45">
      <c r="A1384" t="str">
        <f t="shared" si="87"/>
        <v>17801</v>
      </c>
      <c r="B1384" t="s">
        <v>19</v>
      </c>
      <c r="C1384" t="str">
        <f t="shared" si="90"/>
        <v>27010</v>
      </c>
      <c r="D1384" t="s">
        <v>2273</v>
      </c>
      <c r="E1384" t="str">
        <f>"1860"</f>
        <v>1860</v>
      </c>
      <c r="F1384" t="s">
        <v>7833</v>
      </c>
      <c r="G1384">
        <v>9</v>
      </c>
      <c r="H1384">
        <v>12</v>
      </c>
      <c r="I1384" t="s">
        <v>7834</v>
      </c>
      <c r="K1384" t="s">
        <v>2276</v>
      </c>
      <c r="L1384" t="s">
        <v>25</v>
      </c>
      <c r="M1384" t="s">
        <v>7835</v>
      </c>
      <c r="N1384" t="s">
        <v>7836</v>
      </c>
      <c r="O1384" t="s">
        <v>7837</v>
      </c>
      <c r="P1384" t="s">
        <v>7838</v>
      </c>
      <c r="Q1384" t="s">
        <v>30</v>
      </c>
      <c r="R1384" t="s">
        <v>31</v>
      </c>
      <c r="S1384" t="s">
        <v>58</v>
      </c>
    </row>
    <row r="1385" spans="1:19" x14ac:dyDescent="0.45">
      <c r="A1385" t="str">
        <f t="shared" si="87"/>
        <v>17801</v>
      </c>
      <c r="B1385" t="s">
        <v>19</v>
      </c>
      <c r="C1385" t="str">
        <f t="shared" si="90"/>
        <v>27010</v>
      </c>
      <c r="D1385" t="s">
        <v>2273</v>
      </c>
      <c r="E1385" t="str">
        <f>"2036"</f>
        <v>2036</v>
      </c>
      <c r="F1385" t="s">
        <v>7839</v>
      </c>
      <c r="G1385" t="s">
        <v>22</v>
      </c>
      <c r="H1385">
        <v>5</v>
      </c>
      <c r="I1385" t="s">
        <v>7840</v>
      </c>
      <c r="K1385" t="s">
        <v>2276</v>
      </c>
      <c r="L1385" t="s">
        <v>25</v>
      </c>
      <c r="M1385" t="s">
        <v>7841</v>
      </c>
      <c r="N1385" t="s">
        <v>7842</v>
      </c>
      <c r="O1385" t="s">
        <v>7843</v>
      </c>
      <c r="P1385" t="s">
        <v>7844</v>
      </c>
      <c r="Q1385" t="s">
        <v>30</v>
      </c>
      <c r="R1385" t="s">
        <v>31</v>
      </c>
      <c r="S1385" t="s">
        <v>32</v>
      </c>
    </row>
    <row r="1386" spans="1:19" x14ac:dyDescent="0.45">
      <c r="A1386" t="str">
        <f t="shared" si="87"/>
        <v>17801</v>
      </c>
      <c r="B1386" t="s">
        <v>19</v>
      </c>
      <c r="C1386" t="str">
        <f t="shared" si="90"/>
        <v>27010</v>
      </c>
      <c r="D1386" t="s">
        <v>2273</v>
      </c>
      <c r="E1386" t="str">
        <f>"2039"</f>
        <v>2039</v>
      </c>
      <c r="F1386" t="s">
        <v>7845</v>
      </c>
      <c r="G1386">
        <v>5</v>
      </c>
      <c r="H1386">
        <v>12</v>
      </c>
      <c r="I1386" t="s">
        <v>7846</v>
      </c>
      <c r="K1386" t="s">
        <v>2276</v>
      </c>
      <c r="L1386" t="s">
        <v>25</v>
      </c>
      <c r="M1386" t="s">
        <v>7847</v>
      </c>
      <c r="N1386" t="s">
        <v>7848</v>
      </c>
      <c r="O1386" t="s">
        <v>7849</v>
      </c>
      <c r="P1386" t="s">
        <v>7850</v>
      </c>
      <c r="Q1386" t="s">
        <v>1312</v>
      </c>
      <c r="R1386" t="s">
        <v>1313</v>
      </c>
      <c r="S1386" t="s">
        <v>159</v>
      </c>
    </row>
    <row r="1387" spans="1:19" x14ac:dyDescent="0.45">
      <c r="A1387" t="str">
        <f t="shared" si="87"/>
        <v>17801</v>
      </c>
      <c r="B1387" t="s">
        <v>19</v>
      </c>
      <c r="C1387" t="str">
        <f t="shared" si="90"/>
        <v>27010</v>
      </c>
      <c r="D1387" t="s">
        <v>2273</v>
      </c>
      <c r="E1387" t="str">
        <f>"2083"</f>
        <v>2083</v>
      </c>
      <c r="F1387" t="s">
        <v>2002</v>
      </c>
      <c r="G1387" t="s">
        <v>22</v>
      </c>
      <c r="H1387">
        <v>5</v>
      </c>
      <c r="I1387" t="s">
        <v>7851</v>
      </c>
      <c r="K1387" t="s">
        <v>2276</v>
      </c>
      <c r="L1387" t="s">
        <v>25</v>
      </c>
      <c r="M1387" t="s">
        <v>7852</v>
      </c>
      <c r="N1387" t="s">
        <v>7853</v>
      </c>
      <c r="O1387" t="s">
        <v>7854</v>
      </c>
      <c r="P1387" t="s">
        <v>7855</v>
      </c>
      <c r="Q1387" t="s">
        <v>30</v>
      </c>
      <c r="R1387" t="s">
        <v>31</v>
      </c>
      <c r="S1387" t="s">
        <v>32</v>
      </c>
    </row>
    <row r="1388" spans="1:19" x14ac:dyDescent="0.45">
      <c r="A1388" t="str">
        <f t="shared" si="87"/>
        <v>17801</v>
      </c>
      <c r="B1388" t="s">
        <v>19</v>
      </c>
      <c r="C1388" t="str">
        <f t="shared" si="90"/>
        <v>27010</v>
      </c>
      <c r="D1388" t="s">
        <v>2273</v>
      </c>
      <c r="E1388" t="str">
        <f>"2084"</f>
        <v>2084</v>
      </c>
      <c r="F1388" t="s">
        <v>7856</v>
      </c>
      <c r="G1388">
        <v>9</v>
      </c>
      <c r="H1388">
        <v>12</v>
      </c>
      <c r="I1388" t="s">
        <v>7857</v>
      </c>
      <c r="K1388" t="s">
        <v>2276</v>
      </c>
      <c r="L1388" t="s">
        <v>25</v>
      </c>
      <c r="M1388" t="s">
        <v>7858</v>
      </c>
      <c r="N1388" t="s">
        <v>7859</v>
      </c>
      <c r="O1388" t="s">
        <v>7860</v>
      </c>
      <c r="P1388" t="s">
        <v>7861</v>
      </c>
      <c r="Q1388" t="s">
        <v>30</v>
      </c>
      <c r="R1388" t="s">
        <v>31</v>
      </c>
      <c r="S1388" t="s">
        <v>58</v>
      </c>
    </row>
    <row r="1389" spans="1:19" x14ac:dyDescent="0.45">
      <c r="A1389" t="str">
        <f t="shared" si="87"/>
        <v>17801</v>
      </c>
      <c r="B1389" t="s">
        <v>19</v>
      </c>
      <c r="C1389" t="str">
        <f t="shared" si="90"/>
        <v>27010</v>
      </c>
      <c r="D1389" t="s">
        <v>2273</v>
      </c>
      <c r="E1389" t="str">
        <f>"2094"</f>
        <v>2094</v>
      </c>
      <c r="F1389" t="s">
        <v>7862</v>
      </c>
      <c r="G1389" t="s">
        <v>22</v>
      </c>
      <c r="H1389">
        <v>5</v>
      </c>
      <c r="I1389" t="s">
        <v>7863</v>
      </c>
      <c r="K1389" t="s">
        <v>2276</v>
      </c>
      <c r="L1389" t="s">
        <v>25</v>
      </c>
      <c r="M1389" t="s">
        <v>7864</v>
      </c>
      <c r="N1389" t="s">
        <v>7865</v>
      </c>
      <c r="O1389" t="s">
        <v>7866</v>
      </c>
      <c r="P1389" t="s">
        <v>7867</v>
      </c>
      <c r="Q1389" t="s">
        <v>30</v>
      </c>
      <c r="R1389" t="s">
        <v>31</v>
      </c>
      <c r="S1389" t="s">
        <v>32</v>
      </c>
    </row>
    <row r="1390" spans="1:19" x14ac:dyDescent="0.45">
      <c r="A1390" t="str">
        <f t="shared" si="87"/>
        <v>17801</v>
      </c>
      <c r="B1390" t="s">
        <v>19</v>
      </c>
      <c r="C1390" t="str">
        <f t="shared" si="90"/>
        <v>27010</v>
      </c>
      <c r="D1390" t="s">
        <v>2273</v>
      </c>
      <c r="E1390" t="str">
        <f>"2103"</f>
        <v>2103</v>
      </c>
      <c r="F1390" t="s">
        <v>7868</v>
      </c>
      <c r="G1390" t="s">
        <v>22</v>
      </c>
      <c r="H1390">
        <v>5</v>
      </c>
      <c r="I1390" t="s">
        <v>7869</v>
      </c>
      <c r="K1390" t="s">
        <v>2276</v>
      </c>
      <c r="L1390" t="s">
        <v>25</v>
      </c>
      <c r="M1390" t="s">
        <v>7847</v>
      </c>
      <c r="N1390" t="s">
        <v>7870</v>
      </c>
      <c r="O1390" t="s">
        <v>7871</v>
      </c>
      <c r="P1390" t="s">
        <v>7872</v>
      </c>
      <c r="Q1390" t="s">
        <v>30</v>
      </c>
      <c r="R1390" t="s">
        <v>31</v>
      </c>
      <c r="S1390" t="s">
        <v>32</v>
      </c>
    </row>
    <row r="1391" spans="1:19" x14ac:dyDescent="0.45">
      <c r="A1391" t="str">
        <f t="shared" si="87"/>
        <v>17801</v>
      </c>
      <c r="B1391" t="s">
        <v>19</v>
      </c>
      <c r="C1391" t="str">
        <f t="shared" si="90"/>
        <v>27010</v>
      </c>
      <c r="D1391" t="s">
        <v>2273</v>
      </c>
      <c r="E1391" t="str">
        <f>"2148"</f>
        <v>2148</v>
      </c>
      <c r="F1391" t="s">
        <v>7873</v>
      </c>
      <c r="G1391" t="s">
        <v>22</v>
      </c>
      <c r="H1391">
        <v>5</v>
      </c>
      <c r="I1391" t="s">
        <v>7874</v>
      </c>
      <c r="K1391" t="s">
        <v>2276</v>
      </c>
      <c r="L1391" t="s">
        <v>25</v>
      </c>
      <c r="M1391" t="s">
        <v>7823</v>
      </c>
      <c r="N1391" t="s">
        <v>7875</v>
      </c>
      <c r="O1391" t="s">
        <v>7876</v>
      </c>
      <c r="P1391" t="s">
        <v>7877</v>
      </c>
      <c r="Q1391" t="s">
        <v>30</v>
      </c>
      <c r="R1391" t="s">
        <v>31</v>
      </c>
      <c r="S1391" t="s">
        <v>32</v>
      </c>
    </row>
    <row r="1392" spans="1:19" x14ac:dyDescent="0.45">
      <c r="A1392" t="str">
        <f t="shared" si="87"/>
        <v>17801</v>
      </c>
      <c r="B1392" t="s">
        <v>19</v>
      </c>
      <c r="C1392" t="str">
        <f t="shared" si="90"/>
        <v>27010</v>
      </c>
      <c r="D1392" t="s">
        <v>2273</v>
      </c>
      <c r="E1392" t="str">
        <f>"2167"</f>
        <v>2167</v>
      </c>
      <c r="F1392" t="s">
        <v>7878</v>
      </c>
      <c r="G1392" t="s">
        <v>22</v>
      </c>
      <c r="H1392">
        <v>5</v>
      </c>
      <c r="I1392" t="s">
        <v>7879</v>
      </c>
      <c r="K1392" t="s">
        <v>2276</v>
      </c>
      <c r="L1392" t="s">
        <v>25</v>
      </c>
      <c r="M1392" t="s">
        <v>7880</v>
      </c>
      <c r="N1392" t="s">
        <v>7881</v>
      </c>
      <c r="O1392" t="s">
        <v>7882</v>
      </c>
      <c r="P1392" t="s">
        <v>7883</v>
      </c>
      <c r="Q1392" t="s">
        <v>30</v>
      </c>
      <c r="R1392" t="s">
        <v>31</v>
      </c>
      <c r="S1392" t="s">
        <v>32</v>
      </c>
    </row>
    <row r="1393" spans="1:19" x14ac:dyDescent="0.45">
      <c r="A1393" t="str">
        <f t="shared" si="87"/>
        <v>17801</v>
      </c>
      <c r="B1393" t="s">
        <v>19</v>
      </c>
      <c r="C1393" t="str">
        <f t="shared" si="90"/>
        <v>27010</v>
      </c>
      <c r="D1393" t="s">
        <v>2273</v>
      </c>
      <c r="E1393" t="str">
        <f>"2168"</f>
        <v>2168</v>
      </c>
      <c r="F1393" t="s">
        <v>7884</v>
      </c>
      <c r="G1393" t="s">
        <v>22</v>
      </c>
      <c r="H1393">
        <v>5</v>
      </c>
      <c r="I1393" t="s">
        <v>7885</v>
      </c>
      <c r="K1393" t="s">
        <v>2276</v>
      </c>
      <c r="L1393" t="s">
        <v>25</v>
      </c>
      <c r="M1393">
        <v>98404</v>
      </c>
      <c r="N1393" t="s">
        <v>7886</v>
      </c>
      <c r="O1393" t="s">
        <v>7887</v>
      </c>
      <c r="P1393" t="s">
        <v>7888</v>
      </c>
      <c r="Q1393" t="s">
        <v>30</v>
      </c>
      <c r="R1393" t="s">
        <v>31</v>
      </c>
      <c r="S1393" t="s">
        <v>32</v>
      </c>
    </row>
    <row r="1394" spans="1:19" x14ac:dyDescent="0.45">
      <c r="A1394" t="str">
        <f t="shared" si="87"/>
        <v>17801</v>
      </c>
      <c r="B1394" t="s">
        <v>19</v>
      </c>
      <c r="C1394" t="str">
        <f t="shared" si="90"/>
        <v>27010</v>
      </c>
      <c r="D1394" t="s">
        <v>2273</v>
      </c>
      <c r="E1394" t="str">
        <f>"2169"</f>
        <v>2169</v>
      </c>
      <c r="F1394" t="s">
        <v>7889</v>
      </c>
      <c r="G1394" t="s">
        <v>22</v>
      </c>
      <c r="H1394">
        <v>5</v>
      </c>
      <c r="I1394" t="s">
        <v>7890</v>
      </c>
      <c r="K1394" t="s">
        <v>2276</v>
      </c>
      <c r="L1394" t="s">
        <v>25</v>
      </c>
      <c r="M1394" t="s">
        <v>7852</v>
      </c>
      <c r="N1394" t="s">
        <v>7891</v>
      </c>
      <c r="O1394" t="s">
        <v>7892</v>
      </c>
      <c r="P1394" t="s">
        <v>7893</v>
      </c>
      <c r="Q1394" t="s">
        <v>30</v>
      </c>
      <c r="R1394" t="s">
        <v>31</v>
      </c>
      <c r="S1394" t="s">
        <v>32</v>
      </c>
    </row>
    <row r="1395" spans="1:19" x14ac:dyDescent="0.45">
      <c r="A1395" t="str">
        <f t="shared" si="87"/>
        <v>17801</v>
      </c>
      <c r="B1395" t="s">
        <v>19</v>
      </c>
      <c r="C1395" t="str">
        <f t="shared" si="90"/>
        <v>27010</v>
      </c>
      <c r="D1395" t="s">
        <v>2273</v>
      </c>
      <c r="E1395" t="str">
        <f>"2215"</f>
        <v>2215</v>
      </c>
      <c r="F1395" t="s">
        <v>7894</v>
      </c>
      <c r="G1395">
        <v>9</v>
      </c>
      <c r="H1395">
        <v>12</v>
      </c>
      <c r="I1395" t="s">
        <v>7895</v>
      </c>
      <c r="K1395" t="s">
        <v>2276</v>
      </c>
      <c r="L1395" t="s">
        <v>25</v>
      </c>
      <c r="M1395" t="s">
        <v>7896</v>
      </c>
      <c r="N1395" t="s">
        <v>7897</v>
      </c>
      <c r="O1395" t="s">
        <v>7898</v>
      </c>
      <c r="P1395" t="s">
        <v>7899</v>
      </c>
      <c r="Q1395" t="s">
        <v>30</v>
      </c>
      <c r="R1395" t="s">
        <v>31</v>
      </c>
      <c r="S1395" t="s">
        <v>58</v>
      </c>
    </row>
    <row r="1396" spans="1:19" x14ac:dyDescent="0.45">
      <c r="A1396" t="str">
        <f t="shared" si="87"/>
        <v>17801</v>
      </c>
      <c r="B1396" t="s">
        <v>19</v>
      </c>
      <c r="C1396" t="str">
        <f t="shared" si="90"/>
        <v>27010</v>
      </c>
      <c r="D1396" t="s">
        <v>2273</v>
      </c>
      <c r="E1396" t="str">
        <f>"2247"</f>
        <v>2247</v>
      </c>
      <c r="F1396" t="s">
        <v>7900</v>
      </c>
      <c r="G1396" t="s">
        <v>22</v>
      </c>
      <c r="H1396">
        <v>5</v>
      </c>
      <c r="I1396" t="s">
        <v>7901</v>
      </c>
      <c r="K1396" t="s">
        <v>2276</v>
      </c>
      <c r="L1396" t="s">
        <v>25</v>
      </c>
      <c r="M1396" t="s">
        <v>7902</v>
      </c>
      <c r="N1396" t="s">
        <v>7903</v>
      </c>
      <c r="O1396" t="s">
        <v>7904</v>
      </c>
      <c r="P1396" t="s">
        <v>7905</v>
      </c>
      <c r="Q1396" t="s">
        <v>30</v>
      </c>
      <c r="R1396" t="s">
        <v>31</v>
      </c>
      <c r="S1396" t="s">
        <v>32</v>
      </c>
    </row>
    <row r="1397" spans="1:19" x14ac:dyDescent="0.45">
      <c r="A1397" t="str">
        <f t="shared" si="87"/>
        <v>17801</v>
      </c>
      <c r="B1397" t="s">
        <v>19</v>
      </c>
      <c r="C1397" t="str">
        <f t="shared" si="90"/>
        <v>27010</v>
      </c>
      <c r="D1397" t="s">
        <v>2273</v>
      </c>
      <c r="E1397" t="str">
        <f>"2252"</f>
        <v>2252</v>
      </c>
      <c r="F1397" t="s">
        <v>7906</v>
      </c>
      <c r="G1397" t="s">
        <v>22</v>
      </c>
      <c r="H1397">
        <v>5</v>
      </c>
      <c r="I1397" t="s">
        <v>7907</v>
      </c>
      <c r="K1397" t="s">
        <v>2276</v>
      </c>
      <c r="L1397" t="s">
        <v>25</v>
      </c>
      <c r="M1397" t="s">
        <v>7908</v>
      </c>
      <c r="N1397" t="s">
        <v>7909</v>
      </c>
      <c r="O1397" t="s">
        <v>7910</v>
      </c>
      <c r="P1397" t="s">
        <v>7911</v>
      </c>
      <c r="Q1397" t="s">
        <v>30</v>
      </c>
      <c r="R1397" t="s">
        <v>31</v>
      </c>
      <c r="S1397" t="s">
        <v>32</v>
      </c>
    </row>
    <row r="1398" spans="1:19" x14ac:dyDescent="0.45">
      <c r="A1398" t="str">
        <f t="shared" si="87"/>
        <v>17801</v>
      </c>
      <c r="B1398" t="s">
        <v>19</v>
      </c>
      <c r="C1398" t="str">
        <f t="shared" si="90"/>
        <v>27010</v>
      </c>
      <c r="D1398" t="s">
        <v>2273</v>
      </c>
      <c r="E1398" t="str">
        <f>"2275"</f>
        <v>2275</v>
      </c>
      <c r="F1398" t="s">
        <v>6937</v>
      </c>
      <c r="G1398" t="s">
        <v>22</v>
      </c>
      <c r="H1398">
        <v>5</v>
      </c>
      <c r="I1398" t="s">
        <v>7912</v>
      </c>
      <c r="K1398" t="s">
        <v>2276</v>
      </c>
      <c r="L1398" t="s">
        <v>25</v>
      </c>
      <c r="M1398" t="s">
        <v>7864</v>
      </c>
      <c r="N1398" t="s">
        <v>7913</v>
      </c>
      <c r="O1398" t="s">
        <v>7914</v>
      </c>
      <c r="P1398" t="s">
        <v>7915</v>
      </c>
      <c r="Q1398" t="s">
        <v>30</v>
      </c>
      <c r="R1398" t="s">
        <v>31</v>
      </c>
      <c r="S1398" t="s">
        <v>32</v>
      </c>
    </row>
    <row r="1399" spans="1:19" x14ac:dyDescent="0.45">
      <c r="A1399" t="str">
        <f t="shared" si="87"/>
        <v>17801</v>
      </c>
      <c r="B1399" t="s">
        <v>19</v>
      </c>
      <c r="C1399" t="str">
        <f t="shared" si="90"/>
        <v>27010</v>
      </c>
      <c r="D1399" t="s">
        <v>2273</v>
      </c>
      <c r="E1399" t="str">
        <f>"2335"</f>
        <v>2335</v>
      </c>
      <c r="F1399" t="s">
        <v>7916</v>
      </c>
      <c r="G1399" t="s">
        <v>22</v>
      </c>
      <c r="H1399" t="s">
        <v>22</v>
      </c>
      <c r="I1399" t="s">
        <v>7917</v>
      </c>
      <c r="K1399" t="s">
        <v>2276</v>
      </c>
      <c r="L1399" t="s">
        <v>25</v>
      </c>
      <c r="M1399" t="s">
        <v>7918</v>
      </c>
      <c r="N1399" t="s">
        <v>7919</v>
      </c>
      <c r="P1399" t="s">
        <v>7920</v>
      </c>
      <c r="Q1399" t="s">
        <v>30</v>
      </c>
      <c r="R1399" t="s">
        <v>31</v>
      </c>
      <c r="S1399" t="s">
        <v>1248</v>
      </c>
    </row>
    <row r="1400" spans="1:19" x14ac:dyDescent="0.45">
      <c r="A1400" t="str">
        <f t="shared" si="87"/>
        <v>17801</v>
      </c>
      <c r="B1400" t="s">
        <v>19</v>
      </c>
      <c r="C1400" t="str">
        <f t="shared" si="90"/>
        <v>27010</v>
      </c>
      <c r="D1400" t="s">
        <v>2273</v>
      </c>
      <c r="E1400" t="str">
        <f>"2336"</f>
        <v>2336</v>
      </c>
      <c r="F1400" t="s">
        <v>7921</v>
      </c>
      <c r="G1400" t="s">
        <v>22</v>
      </c>
      <c r="H1400">
        <v>5</v>
      </c>
      <c r="I1400" t="s">
        <v>7922</v>
      </c>
      <c r="K1400" t="s">
        <v>2276</v>
      </c>
      <c r="L1400" t="s">
        <v>25</v>
      </c>
      <c r="M1400" t="s">
        <v>7864</v>
      </c>
      <c r="N1400" t="s">
        <v>7923</v>
      </c>
      <c r="O1400" t="s">
        <v>7924</v>
      </c>
      <c r="P1400" t="s">
        <v>7925</v>
      </c>
      <c r="Q1400" t="s">
        <v>30</v>
      </c>
      <c r="R1400" t="s">
        <v>31</v>
      </c>
      <c r="S1400" t="s">
        <v>32</v>
      </c>
    </row>
    <row r="1401" spans="1:19" x14ac:dyDescent="0.45">
      <c r="A1401" t="str">
        <f t="shared" si="87"/>
        <v>17801</v>
      </c>
      <c r="B1401" t="s">
        <v>19</v>
      </c>
      <c r="C1401" t="str">
        <f t="shared" si="90"/>
        <v>27010</v>
      </c>
      <c r="D1401" t="s">
        <v>2273</v>
      </c>
      <c r="E1401" t="str">
        <f>"2338"</f>
        <v>2338</v>
      </c>
      <c r="F1401" t="s">
        <v>7926</v>
      </c>
      <c r="G1401">
        <v>6</v>
      </c>
      <c r="H1401">
        <v>8</v>
      </c>
      <c r="I1401" t="s">
        <v>7927</v>
      </c>
      <c r="K1401" t="s">
        <v>2276</v>
      </c>
      <c r="L1401" t="s">
        <v>25</v>
      </c>
      <c r="M1401" t="s">
        <v>7858</v>
      </c>
      <c r="N1401" t="s">
        <v>7928</v>
      </c>
      <c r="O1401" t="s">
        <v>7929</v>
      </c>
      <c r="P1401" t="s">
        <v>7930</v>
      </c>
      <c r="Q1401" t="s">
        <v>30</v>
      </c>
      <c r="R1401" t="s">
        <v>31</v>
      </c>
      <c r="S1401" t="s">
        <v>104</v>
      </c>
    </row>
    <row r="1402" spans="1:19" x14ac:dyDescent="0.45">
      <c r="A1402" t="str">
        <f t="shared" si="87"/>
        <v>17801</v>
      </c>
      <c r="B1402" t="s">
        <v>19</v>
      </c>
      <c r="C1402" t="str">
        <f t="shared" si="90"/>
        <v>27010</v>
      </c>
      <c r="D1402" t="s">
        <v>2273</v>
      </c>
      <c r="E1402" t="str">
        <f>"2358"</f>
        <v>2358</v>
      </c>
      <c r="F1402" t="s">
        <v>7931</v>
      </c>
      <c r="G1402" t="s">
        <v>22</v>
      </c>
      <c r="H1402">
        <v>5</v>
      </c>
      <c r="I1402" t="s">
        <v>7932</v>
      </c>
      <c r="K1402" t="s">
        <v>2276</v>
      </c>
      <c r="L1402" t="s">
        <v>25</v>
      </c>
      <c r="M1402" t="s">
        <v>7823</v>
      </c>
      <c r="N1402" t="s">
        <v>7933</v>
      </c>
      <c r="O1402" t="s">
        <v>7934</v>
      </c>
      <c r="P1402" t="s">
        <v>7935</v>
      </c>
      <c r="Q1402" t="s">
        <v>30</v>
      </c>
      <c r="R1402" t="s">
        <v>31</v>
      </c>
      <c r="S1402" t="s">
        <v>32</v>
      </c>
    </row>
    <row r="1403" spans="1:19" x14ac:dyDescent="0.45">
      <c r="A1403" t="str">
        <f t="shared" si="87"/>
        <v>17801</v>
      </c>
      <c r="B1403" t="s">
        <v>19</v>
      </c>
      <c r="C1403" t="str">
        <f t="shared" si="90"/>
        <v>27010</v>
      </c>
      <c r="D1403" t="s">
        <v>2273</v>
      </c>
      <c r="E1403" t="str">
        <f>"2359"</f>
        <v>2359</v>
      </c>
      <c r="F1403" t="s">
        <v>7936</v>
      </c>
      <c r="G1403">
        <v>6</v>
      </c>
      <c r="H1403">
        <v>8</v>
      </c>
      <c r="I1403" t="s">
        <v>7851</v>
      </c>
      <c r="K1403" t="s">
        <v>2276</v>
      </c>
      <c r="L1403" t="s">
        <v>25</v>
      </c>
      <c r="M1403" t="s">
        <v>7937</v>
      </c>
      <c r="N1403" t="s">
        <v>7938</v>
      </c>
      <c r="O1403" t="s">
        <v>7939</v>
      </c>
      <c r="P1403" t="s">
        <v>7940</v>
      </c>
      <c r="Q1403" t="s">
        <v>30</v>
      </c>
      <c r="R1403" t="s">
        <v>31</v>
      </c>
      <c r="S1403" t="s">
        <v>104</v>
      </c>
    </row>
    <row r="1404" spans="1:19" x14ac:dyDescent="0.45">
      <c r="A1404" t="str">
        <f t="shared" si="87"/>
        <v>17801</v>
      </c>
      <c r="B1404" t="s">
        <v>19</v>
      </c>
      <c r="C1404" t="str">
        <f t="shared" si="90"/>
        <v>27010</v>
      </c>
      <c r="D1404" t="s">
        <v>2273</v>
      </c>
      <c r="E1404" t="str">
        <f>"2376"</f>
        <v>2376</v>
      </c>
      <c r="F1404" t="s">
        <v>7941</v>
      </c>
      <c r="G1404">
        <v>6</v>
      </c>
      <c r="H1404">
        <v>8</v>
      </c>
      <c r="I1404" t="s">
        <v>7942</v>
      </c>
      <c r="K1404" t="s">
        <v>2276</v>
      </c>
      <c r="L1404" t="s">
        <v>25</v>
      </c>
      <c r="M1404" t="s">
        <v>7852</v>
      </c>
      <c r="N1404" t="s">
        <v>7943</v>
      </c>
      <c r="O1404" t="s">
        <v>7944</v>
      </c>
      <c r="P1404" t="s">
        <v>7945</v>
      </c>
      <c r="Q1404" t="s">
        <v>30</v>
      </c>
      <c r="R1404" t="s">
        <v>31</v>
      </c>
      <c r="S1404" t="s">
        <v>104</v>
      </c>
    </row>
    <row r="1405" spans="1:19" x14ac:dyDescent="0.45">
      <c r="A1405" t="str">
        <f t="shared" si="87"/>
        <v>17801</v>
      </c>
      <c r="B1405" t="s">
        <v>19</v>
      </c>
      <c r="C1405" t="str">
        <f t="shared" si="90"/>
        <v>27010</v>
      </c>
      <c r="D1405" t="s">
        <v>2273</v>
      </c>
      <c r="E1405" t="str">
        <f>"2377"</f>
        <v>2377</v>
      </c>
      <c r="F1405" t="s">
        <v>7946</v>
      </c>
      <c r="G1405">
        <v>6</v>
      </c>
      <c r="H1405">
        <v>8</v>
      </c>
      <c r="I1405" t="s">
        <v>7947</v>
      </c>
      <c r="K1405" t="s">
        <v>2276</v>
      </c>
      <c r="L1405" t="s">
        <v>25</v>
      </c>
      <c r="M1405" t="s">
        <v>7908</v>
      </c>
      <c r="N1405" t="s">
        <v>7948</v>
      </c>
      <c r="O1405" t="s">
        <v>7949</v>
      </c>
      <c r="P1405" t="s">
        <v>7950</v>
      </c>
      <c r="Q1405" t="s">
        <v>30</v>
      </c>
      <c r="R1405" t="s">
        <v>31</v>
      </c>
      <c r="S1405" t="s">
        <v>104</v>
      </c>
    </row>
    <row r="1406" spans="1:19" x14ac:dyDescent="0.45">
      <c r="A1406" t="str">
        <f t="shared" si="87"/>
        <v>17801</v>
      </c>
      <c r="B1406" t="s">
        <v>19</v>
      </c>
      <c r="C1406" t="str">
        <f t="shared" si="90"/>
        <v>27010</v>
      </c>
      <c r="D1406" t="s">
        <v>2273</v>
      </c>
      <c r="E1406" t="str">
        <f>"2746"</f>
        <v>2746</v>
      </c>
      <c r="F1406" t="s">
        <v>7951</v>
      </c>
      <c r="G1406" t="s">
        <v>22</v>
      </c>
      <c r="H1406">
        <v>5</v>
      </c>
      <c r="I1406" t="s">
        <v>7952</v>
      </c>
      <c r="K1406" t="s">
        <v>2276</v>
      </c>
      <c r="L1406" t="s">
        <v>25</v>
      </c>
      <c r="M1406" t="s">
        <v>7953</v>
      </c>
      <c r="N1406" t="s">
        <v>7954</v>
      </c>
      <c r="O1406" t="s">
        <v>7955</v>
      </c>
      <c r="P1406" t="s">
        <v>7956</v>
      </c>
      <c r="Q1406" t="s">
        <v>30</v>
      </c>
      <c r="R1406" t="s">
        <v>31</v>
      </c>
      <c r="S1406" t="s">
        <v>32</v>
      </c>
    </row>
    <row r="1407" spans="1:19" x14ac:dyDescent="0.45">
      <c r="A1407" t="str">
        <f t="shared" si="87"/>
        <v>17801</v>
      </c>
      <c r="B1407" t="s">
        <v>19</v>
      </c>
      <c r="C1407" t="str">
        <f t="shared" si="90"/>
        <v>27010</v>
      </c>
      <c r="D1407" t="s">
        <v>2273</v>
      </c>
      <c r="E1407" t="str">
        <f>"2747"</f>
        <v>2747</v>
      </c>
      <c r="F1407" t="s">
        <v>7957</v>
      </c>
      <c r="G1407" t="s">
        <v>22</v>
      </c>
      <c r="H1407">
        <v>5</v>
      </c>
      <c r="I1407" t="s">
        <v>7958</v>
      </c>
      <c r="K1407" t="s">
        <v>2276</v>
      </c>
      <c r="L1407" t="s">
        <v>25</v>
      </c>
      <c r="M1407" t="s">
        <v>7847</v>
      </c>
      <c r="N1407" t="s">
        <v>7959</v>
      </c>
      <c r="O1407" t="s">
        <v>7960</v>
      </c>
      <c r="P1407" t="s">
        <v>7961</v>
      </c>
      <c r="Q1407" t="s">
        <v>30</v>
      </c>
      <c r="R1407" t="s">
        <v>31</v>
      </c>
      <c r="S1407" t="s">
        <v>32</v>
      </c>
    </row>
    <row r="1408" spans="1:19" x14ac:dyDescent="0.45">
      <c r="A1408" t="str">
        <f t="shared" ref="A1408:A1471" si="91">"17801"</f>
        <v>17801</v>
      </c>
      <c r="B1408" t="s">
        <v>19</v>
      </c>
      <c r="C1408" t="str">
        <f t="shared" si="90"/>
        <v>27010</v>
      </c>
      <c r="D1408" t="s">
        <v>2273</v>
      </c>
      <c r="E1408" t="str">
        <f>"2771"</f>
        <v>2771</v>
      </c>
      <c r="F1408" t="s">
        <v>7962</v>
      </c>
      <c r="G1408" t="s">
        <v>22</v>
      </c>
      <c r="H1408">
        <v>5</v>
      </c>
      <c r="I1408" t="s">
        <v>7963</v>
      </c>
      <c r="K1408" t="s">
        <v>2276</v>
      </c>
      <c r="L1408" t="s">
        <v>25</v>
      </c>
      <c r="M1408" t="s">
        <v>7864</v>
      </c>
      <c r="N1408" t="s">
        <v>7964</v>
      </c>
      <c r="O1408" t="s">
        <v>7965</v>
      </c>
      <c r="P1408" t="s">
        <v>7966</v>
      </c>
      <c r="Q1408" t="s">
        <v>30</v>
      </c>
      <c r="R1408" t="s">
        <v>31</v>
      </c>
      <c r="S1408" t="s">
        <v>32</v>
      </c>
    </row>
    <row r="1409" spans="1:19" x14ac:dyDescent="0.45">
      <c r="A1409" t="str">
        <f t="shared" si="91"/>
        <v>17801</v>
      </c>
      <c r="B1409" t="s">
        <v>19</v>
      </c>
      <c r="C1409" t="str">
        <f t="shared" si="90"/>
        <v>27010</v>
      </c>
      <c r="D1409" t="s">
        <v>2273</v>
      </c>
      <c r="E1409" t="str">
        <f>"2772"</f>
        <v>2772</v>
      </c>
      <c r="F1409" t="s">
        <v>7967</v>
      </c>
      <c r="G1409" t="s">
        <v>22</v>
      </c>
      <c r="H1409">
        <v>5</v>
      </c>
      <c r="I1409" t="s">
        <v>7968</v>
      </c>
      <c r="K1409" t="s">
        <v>2276</v>
      </c>
      <c r="L1409" t="s">
        <v>25</v>
      </c>
      <c r="M1409" t="s">
        <v>7864</v>
      </c>
      <c r="N1409" t="s">
        <v>7969</v>
      </c>
      <c r="O1409" t="s">
        <v>7970</v>
      </c>
      <c r="P1409" t="s">
        <v>7971</v>
      </c>
      <c r="Q1409" t="s">
        <v>30</v>
      </c>
      <c r="R1409" t="s">
        <v>31</v>
      </c>
      <c r="S1409" t="s">
        <v>32</v>
      </c>
    </row>
    <row r="1410" spans="1:19" x14ac:dyDescent="0.45">
      <c r="A1410" t="str">
        <f t="shared" si="91"/>
        <v>17801</v>
      </c>
      <c r="B1410" t="s">
        <v>19</v>
      </c>
      <c r="C1410" t="str">
        <f t="shared" si="90"/>
        <v>27010</v>
      </c>
      <c r="D1410" t="s">
        <v>2273</v>
      </c>
      <c r="E1410" t="str">
        <f>"2805"</f>
        <v>2805</v>
      </c>
      <c r="F1410" t="s">
        <v>7972</v>
      </c>
      <c r="G1410" t="s">
        <v>70</v>
      </c>
      <c r="H1410">
        <v>5</v>
      </c>
      <c r="I1410" t="s">
        <v>7973</v>
      </c>
      <c r="K1410" t="s">
        <v>2276</v>
      </c>
      <c r="L1410" t="s">
        <v>25</v>
      </c>
      <c r="M1410" t="s">
        <v>7858</v>
      </c>
      <c r="N1410" t="s">
        <v>7974</v>
      </c>
      <c r="O1410" t="s">
        <v>7975</v>
      </c>
      <c r="P1410" t="s">
        <v>7976</v>
      </c>
      <c r="Q1410" t="s">
        <v>30</v>
      </c>
      <c r="R1410" t="s">
        <v>31</v>
      </c>
      <c r="S1410" t="s">
        <v>32</v>
      </c>
    </row>
    <row r="1411" spans="1:19" x14ac:dyDescent="0.45">
      <c r="A1411" t="str">
        <f t="shared" si="91"/>
        <v>17801</v>
      </c>
      <c r="B1411" t="s">
        <v>19</v>
      </c>
      <c r="C1411" t="str">
        <f t="shared" si="90"/>
        <v>27010</v>
      </c>
      <c r="D1411" t="s">
        <v>2273</v>
      </c>
      <c r="E1411" t="str">
        <f>"2806"</f>
        <v>2806</v>
      </c>
      <c r="F1411" t="s">
        <v>7977</v>
      </c>
      <c r="G1411" t="s">
        <v>22</v>
      </c>
      <c r="H1411">
        <v>5</v>
      </c>
      <c r="I1411" t="s">
        <v>7978</v>
      </c>
      <c r="K1411" t="s">
        <v>2276</v>
      </c>
      <c r="L1411" t="s">
        <v>25</v>
      </c>
      <c r="M1411" t="s">
        <v>7896</v>
      </c>
      <c r="N1411" t="s">
        <v>7979</v>
      </c>
      <c r="O1411" t="s">
        <v>7980</v>
      </c>
      <c r="P1411" t="s">
        <v>7981</v>
      </c>
      <c r="Q1411" t="s">
        <v>30</v>
      </c>
      <c r="R1411" t="s">
        <v>31</v>
      </c>
      <c r="S1411" t="s">
        <v>32</v>
      </c>
    </row>
    <row r="1412" spans="1:19" x14ac:dyDescent="0.45">
      <c r="A1412" t="str">
        <f t="shared" si="91"/>
        <v>17801</v>
      </c>
      <c r="B1412" t="s">
        <v>19</v>
      </c>
      <c r="C1412" t="str">
        <f t="shared" si="90"/>
        <v>27010</v>
      </c>
      <c r="D1412" t="s">
        <v>2273</v>
      </c>
      <c r="E1412" t="str">
        <f>"2871"</f>
        <v>2871</v>
      </c>
      <c r="F1412" t="s">
        <v>7982</v>
      </c>
      <c r="G1412" t="s">
        <v>22</v>
      </c>
      <c r="H1412">
        <v>5</v>
      </c>
      <c r="I1412" t="s">
        <v>7983</v>
      </c>
      <c r="K1412" t="s">
        <v>2276</v>
      </c>
      <c r="L1412" t="s">
        <v>25</v>
      </c>
      <c r="M1412" t="s">
        <v>7908</v>
      </c>
      <c r="N1412" t="s">
        <v>7984</v>
      </c>
      <c r="O1412" t="s">
        <v>7985</v>
      </c>
      <c r="P1412" t="s">
        <v>7986</v>
      </c>
      <c r="Q1412" t="s">
        <v>30</v>
      </c>
      <c r="R1412" t="s">
        <v>31</v>
      </c>
      <c r="S1412" t="s">
        <v>32</v>
      </c>
    </row>
    <row r="1413" spans="1:19" x14ac:dyDescent="0.45">
      <c r="A1413" t="str">
        <f t="shared" si="91"/>
        <v>17801</v>
      </c>
      <c r="B1413" t="s">
        <v>19</v>
      </c>
      <c r="C1413" t="str">
        <f t="shared" ref="C1413:C1435" si="92">"27010"</f>
        <v>27010</v>
      </c>
      <c r="D1413" t="s">
        <v>2273</v>
      </c>
      <c r="E1413" t="str">
        <f>"2872"</f>
        <v>2872</v>
      </c>
      <c r="F1413" t="s">
        <v>7987</v>
      </c>
      <c r="G1413" t="s">
        <v>70</v>
      </c>
      <c r="H1413">
        <v>5</v>
      </c>
      <c r="I1413" t="s">
        <v>7988</v>
      </c>
      <c r="K1413" t="s">
        <v>2276</v>
      </c>
      <c r="L1413" t="s">
        <v>25</v>
      </c>
      <c r="M1413" t="s">
        <v>7902</v>
      </c>
      <c r="N1413" t="s">
        <v>2319</v>
      </c>
      <c r="O1413" t="s">
        <v>7989</v>
      </c>
      <c r="P1413" t="s">
        <v>7990</v>
      </c>
      <c r="Q1413" t="s">
        <v>30</v>
      </c>
      <c r="R1413" t="s">
        <v>31</v>
      </c>
      <c r="S1413" t="s">
        <v>32</v>
      </c>
    </row>
    <row r="1414" spans="1:19" x14ac:dyDescent="0.45">
      <c r="A1414" t="str">
        <f t="shared" si="91"/>
        <v>17801</v>
      </c>
      <c r="B1414" t="s">
        <v>19</v>
      </c>
      <c r="C1414" t="str">
        <f t="shared" si="92"/>
        <v>27010</v>
      </c>
      <c r="D1414" t="s">
        <v>2273</v>
      </c>
      <c r="E1414" t="str">
        <f>"2874"</f>
        <v>2874</v>
      </c>
      <c r="F1414" t="s">
        <v>7991</v>
      </c>
      <c r="G1414" t="s">
        <v>22</v>
      </c>
      <c r="H1414">
        <v>5</v>
      </c>
      <c r="I1414" t="s">
        <v>7992</v>
      </c>
      <c r="K1414" t="s">
        <v>2276</v>
      </c>
      <c r="L1414" t="s">
        <v>25</v>
      </c>
      <c r="M1414" t="s">
        <v>7993</v>
      </c>
      <c r="N1414" t="s">
        <v>7994</v>
      </c>
      <c r="O1414" t="s">
        <v>7995</v>
      </c>
      <c r="P1414" t="s">
        <v>7855</v>
      </c>
      <c r="Q1414" t="s">
        <v>30</v>
      </c>
      <c r="R1414" t="s">
        <v>31</v>
      </c>
      <c r="S1414" t="s">
        <v>32</v>
      </c>
    </row>
    <row r="1415" spans="1:19" x14ac:dyDescent="0.45">
      <c r="A1415" t="str">
        <f t="shared" si="91"/>
        <v>17801</v>
      </c>
      <c r="B1415" t="s">
        <v>19</v>
      </c>
      <c r="C1415" t="str">
        <f t="shared" si="92"/>
        <v>27010</v>
      </c>
      <c r="D1415" t="s">
        <v>2273</v>
      </c>
      <c r="E1415" t="str">
        <f>"2938"</f>
        <v>2938</v>
      </c>
      <c r="F1415" t="s">
        <v>7996</v>
      </c>
      <c r="G1415" t="s">
        <v>70</v>
      </c>
      <c r="H1415">
        <v>5</v>
      </c>
      <c r="I1415" t="s">
        <v>7997</v>
      </c>
      <c r="K1415" t="s">
        <v>2276</v>
      </c>
      <c r="L1415" t="s">
        <v>25</v>
      </c>
      <c r="M1415" t="s">
        <v>7852</v>
      </c>
      <c r="N1415" t="s">
        <v>7998</v>
      </c>
      <c r="O1415" t="s">
        <v>7999</v>
      </c>
      <c r="P1415" t="s">
        <v>8000</v>
      </c>
      <c r="Q1415" t="s">
        <v>30</v>
      </c>
      <c r="R1415" t="s">
        <v>31</v>
      </c>
      <c r="S1415" t="s">
        <v>32</v>
      </c>
    </row>
    <row r="1416" spans="1:19" x14ac:dyDescent="0.45">
      <c r="A1416" t="str">
        <f t="shared" si="91"/>
        <v>17801</v>
      </c>
      <c r="B1416" t="s">
        <v>19</v>
      </c>
      <c r="C1416" t="str">
        <f t="shared" si="92"/>
        <v>27010</v>
      </c>
      <c r="D1416" t="s">
        <v>2273</v>
      </c>
      <c r="E1416" t="str">
        <f>"2939"</f>
        <v>2939</v>
      </c>
      <c r="F1416" t="s">
        <v>8001</v>
      </c>
      <c r="G1416" t="s">
        <v>22</v>
      </c>
      <c r="H1416">
        <v>5</v>
      </c>
      <c r="I1416" t="s">
        <v>8002</v>
      </c>
      <c r="K1416" t="s">
        <v>2276</v>
      </c>
      <c r="L1416" t="s">
        <v>25</v>
      </c>
      <c r="M1416" t="s">
        <v>7823</v>
      </c>
      <c r="N1416" t="s">
        <v>8003</v>
      </c>
      <c r="O1416" t="s">
        <v>8004</v>
      </c>
      <c r="P1416" t="s">
        <v>8005</v>
      </c>
      <c r="Q1416" t="s">
        <v>30</v>
      </c>
      <c r="R1416" t="s">
        <v>31</v>
      </c>
      <c r="S1416" t="s">
        <v>32</v>
      </c>
    </row>
    <row r="1417" spans="1:19" x14ac:dyDescent="0.45">
      <c r="A1417" t="str">
        <f t="shared" si="91"/>
        <v>17801</v>
      </c>
      <c r="B1417" t="s">
        <v>19</v>
      </c>
      <c r="C1417" t="str">
        <f t="shared" si="92"/>
        <v>27010</v>
      </c>
      <c r="D1417" t="s">
        <v>2273</v>
      </c>
      <c r="E1417" t="str">
        <f>"2940"</f>
        <v>2940</v>
      </c>
      <c r="F1417" t="s">
        <v>3157</v>
      </c>
      <c r="G1417" t="s">
        <v>22</v>
      </c>
      <c r="H1417">
        <v>5</v>
      </c>
      <c r="I1417" t="s">
        <v>8006</v>
      </c>
      <c r="K1417" t="s">
        <v>2276</v>
      </c>
      <c r="L1417" t="s">
        <v>25</v>
      </c>
      <c r="M1417" t="s">
        <v>7908</v>
      </c>
      <c r="N1417" t="s">
        <v>8007</v>
      </c>
      <c r="O1417" t="s">
        <v>8008</v>
      </c>
      <c r="P1417" t="s">
        <v>8009</v>
      </c>
      <c r="Q1417" t="s">
        <v>30</v>
      </c>
      <c r="R1417" t="s">
        <v>31</v>
      </c>
      <c r="S1417" t="s">
        <v>32</v>
      </c>
    </row>
    <row r="1418" spans="1:19" x14ac:dyDescent="0.45">
      <c r="A1418" t="str">
        <f t="shared" si="91"/>
        <v>17801</v>
      </c>
      <c r="B1418" t="s">
        <v>19</v>
      </c>
      <c r="C1418" t="str">
        <f t="shared" si="92"/>
        <v>27010</v>
      </c>
      <c r="D1418" t="s">
        <v>2273</v>
      </c>
      <c r="E1418" t="str">
        <f>"2941"</f>
        <v>2941</v>
      </c>
      <c r="F1418" t="s">
        <v>8010</v>
      </c>
      <c r="G1418" t="s">
        <v>22</v>
      </c>
      <c r="H1418">
        <v>5</v>
      </c>
      <c r="I1418" t="s">
        <v>8011</v>
      </c>
      <c r="K1418" t="s">
        <v>2276</v>
      </c>
      <c r="L1418" t="s">
        <v>25</v>
      </c>
      <c r="M1418" t="s">
        <v>7993</v>
      </c>
      <c r="N1418" t="s">
        <v>8012</v>
      </c>
      <c r="O1418" t="s">
        <v>8013</v>
      </c>
      <c r="P1418" t="s">
        <v>8014</v>
      </c>
      <c r="Q1418" t="s">
        <v>30</v>
      </c>
      <c r="R1418" t="s">
        <v>31</v>
      </c>
      <c r="S1418" t="s">
        <v>32</v>
      </c>
    </row>
    <row r="1419" spans="1:19" x14ac:dyDescent="0.45">
      <c r="A1419" t="str">
        <f t="shared" si="91"/>
        <v>17801</v>
      </c>
      <c r="B1419" t="s">
        <v>19</v>
      </c>
      <c r="C1419" t="str">
        <f t="shared" si="92"/>
        <v>27010</v>
      </c>
      <c r="D1419" t="s">
        <v>2273</v>
      </c>
      <c r="E1419" t="str">
        <f>"3053"</f>
        <v>3053</v>
      </c>
      <c r="F1419" t="s">
        <v>8015</v>
      </c>
      <c r="G1419" t="s">
        <v>22</v>
      </c>
      <c r="H1419">
        <v>5</v>
      </c>
      <c r="I1419" t="s">
        <v>8016</v>
      </c>
      <c r="K1419" t="s">
        <v>2276</v>
      </c>
      <c r="L1419" t="s">
        <v>25</v>
      </c>
      <c r="M1419" t="s">
        <v>7847</v>
      </c>
      <c r="N1419" t="s">
        <v>8017</v>
      </c>
      <c r="O1419" t="s">
        <v>8018</v>
      </c>
      <c r="P1419" t="s">
        <v>8019</v>
      </c>
      <c r="Q1419" t="s">
        <v>30</v>
      </c>
      <c r="R1419" t="s">
        <v>31</v>
      </c>
      <c r="S1419" t="s">
        <v>32</v>
      </c>
    </row>
    <row r="1420" spans="1:19" x14ac:dyDescent="0.45">
      <c r="A1420" t="str">
        <f t="shared" si="91"/>
        <v>17801</v>
      </c>
      <c r="B1420" t="s">
        <v>19</v>
      </c>
      <c r="C1420" t="str">
        <f t="shared" si="92"/>
        <v>27010</v>
      </c>
      <c r="D1420" t="s">
        <v>2273</v>
      </c>
      <c r="E1420" t="str">
        <f>"3054"</f>
        <v>3054</v>
      </c>
      <c r="F1420" t="s">
        <v>8020</v>
      </c>
      <c r="G1420">
        <v>6</v>
      </c>
      <c r="H1420">
        <v>8</v>
      </c>
      <c r="I1420" t="s">
        <v>8021</v>
      </c>
      <c r="K1420" t="s">
        <v>2276</v>
      </c>
      <c r="L1420" t="s">
        <v>25</v>
      </c>
      <c r="M1420" t="s">
        <v>7993</v>
      </c>
      <c r="N1420" t="s">
        <v>8022</v>
      </c>
      <c r="O1420" t="s">
        <v>8023</v>
      </c>
      <c r="P1420" t="s">
        <v>8024</v>
      </c>
      <c r="Q1420" t="s">
        <v>30</v>
      </c>
      <c r="R1420" t="s">
        <v>31</v>
      </c>
      <c r="S1420" t="s">
        <v>104</v>
      </c>
    </row>
    <row r="1421" spans="1:19" x14ac:dyDescent="0.45">
      <c r="A1421" t="str">
        <f t="shared" si="91"/>
        <v>17801</v>
      </c>
      <c r="B1421" t="s">
        <v>19</v>
      </c>
      <c r="C1421" t="str">
        <f t="shared" si="92"/>
        <v>27010</v>
      </c>
      <c r="D1421" t="s">
        <v>2273</v>
      </c>
      <c r="E1421" t="str">
        <f>"3116"</f>
        <v>3116</v>
      </c>
      <c r="F1421" t="s">
        <v>8025</v>
      </c>
      <c r="G1421">
        <v>4</v>
      </c>
      <c r="H1421">
        <v>8</v>
      </c>
      <c r="I1421" t="s">
        <v>8026</v>
      </c>
      <c r="K1421" t="s">
        <v>2276</v>
      </c>
      <c r="L1421" t="s">
        <v>25</v>
      </c>
      <c r="M1421" t="s">
        <v>8027</v>
      </c>
      <c r="N1421" t="s">
        <v>8028</v>
      </c>
      <c r="O1421" t="s">
        <v>8029</v>
      </c>
      <c r="P1421" t="s">
        <v>8030</v>
      </c>
      <c r="Q1421" t="s">
        <v>30</v>
      </c>
      <c r="R1421" t="s">
        <v>31</v>
      </c>
      <c r="S1421" t="s">
        <v>32</v>
      </c>
    </row>
    <row r="1422" spans="1:19" x14ac:dyDescent="0.45">
      <c r="A1422" t="str">
        <f t="shared" si="91"/>
        <v>17801</v>
      </c>
      <c r="B1422" t="s">
        <v>19</v>
      </c>
      <c r="C1422" t="str">
        <f t="shared" si="92"/>
        <v>27010</v>
      </c>
      <c r="D1422" t="s">
        <v>2273</v>
      </c>
      <c r="E1422" t="str">
        <f>"3244"</f>
        <v>3244</v>
      </c>
      <c r="F1422" t="s">
        <v>8031</v>
      </c>
      <c r="G1422">
        <v>6</v>
      </c>
      <c r="H1422">
        <v>8</v>
      </c>
      <c r="I1422" t="s">
        <v>8032</v>
      </c>
      <c r="K1422" t="s">
        <v>2276</v>
      </c>
      <c r="L1422" t="s">
        <v>25</v>
      </c>
      <c r="M1422" t="s">
        <v>7902</v>
      </c>
      <c r="N1422" t="s">
        <v>8033</v>
      </c>
      <c r="O1422" t="s">
        <v>8034</v>
      </c>
      <c r="P1422" t="s">
        <v>8035</v>
      </c>
      <c r="Q1422" t="s">
        <v>30</v>
      </c>
      <c r="R1422" t="s">
        <v>31</v>
      </c>
      <c r="S1422" t="s">
        <v>104</v>
      </c>
    </row>
    <row r="1423" spans="1:19" x14ac:dyDescent="0.45">
      <c r="A1423" t="str">
        <f t="shared" si="91"/>
        <v>17801</v>
      </c>
      <c r="B1423" t="s">
        <v>19</v>
      </c>
      <c r="C1423" t="str">
        <f t="shared" si="92"/>
        <v>27010</v>
      </c>
      <c r="D1423" t="s">
        <v>2273</v>
      </c>
      <c r="E1423" t="str">
        <f>"3246"</f>
        <v>3246</v>
      </c>
      <c r="F1423" t="s">
        <v>8036</v>
      </c>
      <c r="G1423">
        <v>9</v>
      </c>
      <c r="H1423">
        <v>12</v>
      </c>
      <c r="I1423" t="s">
        <v>8037</v>
      </c>
      <c r="K1423" t="s">
        <v>2276</v>
      </c>
      <c r="L1423" t="s">
        <v>25</v>
      </c>
      <c r="M1423" t="s">
        <v>7847</v>
      </c>
      <c r="N1423" t="s">
        <v>8038</v>
      </c>
      <c r="O1423" t="s">
        <v>8039</v>
      </c>
      <c r="P1423" t="s">
        <v>8040</v>
      </c>
      <c r="Q1423" t="s">
        <v>30</v>
      </c>
      <c r="R1423" t="s">
        <v>31</v>
      </c>
      <c r="S1423" t="s">
        <v>58</v>
      </c>
    </row>
    <row r="1424" spans="1:19" x14ac:dyDescent="0.45">
      <c r="A1424" t="str">
        <f t="shared" si="91"/>
        <v>17801</v>
      </c>
      <c r="B1424" t="s">
        <v>19</v>
      </c>
      <c r="C1424" t="str">
        <f t="shared" si="92"/>
        <v>27010</v>
      </c>
      <c r="D1424" t="s">
        <v>2273</v>
      </c>
      <c r="E1424" t="str">
        <f>"3397"</f>
        <v>3397</v>
      </c>
      <c r="F1424" t="s">
        <v>8041</v>
      </c>
      <c r="G1424" t="s">
        <v>22</v>
      </c>
      <c r="H1424">
        <v>8</v>
      </c>
      <c r="I1424" t="s">
        <v>8042</v>
      </c>
      <c r="K1424" t="s">
        <v>2276</v>
      </c>
      <c r="L1424" t="s">
        <v>25</v>
      </c>
      <c r="M1424" t="s">
        <v>7823</v>
      </c>
      <c r="N1424" t="s">
        <v>8043</v>
      </c>
      <c r="O1424" t="s">
        <v>8044</v>
      </c>
      <c r="P1424" t="s">
        <v>8045</v>
      </c>
      <c r="Q1424" t="s">
        <v>30</v>
      </c>
      <c r="R1424" t="s">
        <v>31</v>
      </c>
      <c r="S1424" t="s">
        <v>159</v>
      </c>
    </row>
    <row r="1425" spans="1:19" x14ac:dyDescent="0.45">
      <c r="A1425" t="str">
        <f t="shared" si="91"/>
        <v>17801</v>
      </c>
      <c r="B1425" t="s">
        <v>19</v>
      </c>
      <c r="C1425" t="str">
        <f t="shared" si="92"/>
        <v>27010</v>
      </c>
      <c r="D1425" t="s">
        <v>2273</v>
      </c>
      <c r="E1425" t="str">
        <f>"3398"</f>
        <v>3398</v>
      </c>
      <c r="F1425" t="s">
        <v>8046</v>
      </c>
      <c r="G1425">
        <v>9</v>
      </c>
      <c r="H1425">
        <v>12</v>
      </c>
      <c r="I1425" t="s">
        <v>8047</v>
      </c>
      <c r="K1425" t="s">
        <v>2276</v>
      </c>
      <c r="L1425" t="s">
        <v>25</v>
      </c>
      <c r="M1425" t="s">
        <v>8048</v>
      </c>
      <c r="N1425" t="s">
        <v>8049</v>
      </c>
      <c r="O1425" t="s">
        <v>8050</v>
      </c>
      <c r="P1425" t="s">
        <v>8051</v>
      </c>
      <c r="Q1425" t="s">
        <v>30</v>
      </c>
      <c r="R1425" t="s">
        <v>31</v>
      </c>
      <c r="S1425" t="s">
        <v>58</v>
      </c>
    </row>
    <row r="1426" spans="1:19" x14ac:dyDescent="0.45">
      <c r="A1426" t="str">
        <f t="shared" si="91"/>
        <v>17801</v>
      </c>
      <c r="B1426" t="s">
        <v>19</v>
      </c>
      <c r="C1426" t="str">
        <f t="shared" si="92"/>
        <v>27010</v>
      </c>
      <c r="D1426" t="s">
        <v>2273</v>
      </c>
      <c r="E1426" t="str">
        <f>"3448"</f>
        <v>3448</v>
      </c>
      <c r="F1426" t="s">
        <v>8052</v>
      </c>
      <c r="G1426">
        <v>6</v>
      </c>
      <c r="H1426">
        <v>8</v>
      </c>
      <c r="I1426" t="s">
        <v>8053</v>
      </c>
      <c r="K1426" t="s">
        <v>2276</v>
      </c>
      <c r="L1426" t="s">
        <v>25</v>
      </c>
      <c r="M1426" t="s">
        <v>7852</v>
      </c>
      <c r="N1426" t="s">
        <v>8054</v>
      </c>
      <c r="O1426" t="s">
        <v>8055</v>
      </c>
      <c r="P1426" t="s">
        <v>8056</v>
      </c>
      <c r="Q1426" t="s">
        <v>30</v>
      </c>
      <c r="R1426" t="s">
        <v>31</v>
      </c>
      <c r="S1426" t="s">
        <v>104</v>
      </c>
    </row>
    <row r="1427" spans="1:19" x14ac:dyDescent="0.45">
      <c r="A1427" t="str">
        <f t="shared" si="91"/>
        <v>17801</v>
      </c>
      <c r="B1427" t="s">
        <v>19</v>
      </c>
      <c r="C1427" t="str">
        <f t="shared" si="92"/>
        <v>27010</v>
      </c>
      <c r="D1427" t="s">
        <v>2273</v>
      </c>
      <c r="E1427" t="str">
        <f>"3449"</f>
        <v>3449</v>
      </c>
      <c r="F1427" t="s">
        <v>8057</v>
      </c>
      <c r="G1427" t="s">
        <v>22</v>
      </c>
      <c r="H1427">
        <v>5</v>
      </c>
      <c r="I1427" t="s">
        <v>8058</v>
      </c>
      <c r="K1427" t="s">
        <v>2276</v>
      </c>
      <c r="L1427" t="s">
        <v>25</v>
      </c>
      <c r="M1427" t="s">
        <v>7993</v>
      </c>
      <c r="N1427" t="s">
        <v>8059</v>
      </c>
      <c r="O1427" t="s">
        <v>8060</v>
      </c>
      <c r="P1427" t="s">
        <v>8061</v>
      </c>
      <c r="Q1427" t="s">
        <v>30</v>
      </c>
      <c r="R1427" t="s">
        <v>31</v>
      </c>
      <c r="S1427" t="s">
        <v>32</v>
      </c>
    </row>
    <row r="1428" spans="1:19" x14ac:dyDescent="0.45">
      <c r="A1428" t="str">
        <f t="shared" si="91"/>
        <v>17801</v>
      </c>
      <c r="B1428" t="s">
        <v>19</v>
      </c>
      <c r="C1428" t="str">
        <f t="shared" si="92"/>
        <v>27010</v>
      </c>
      <c r="D1428" t="s">
        <v>2273</v>
      </c>
      <c r="E1428" t="str">
        <f>"3452"</f>
        <v>3452</v>
      </c>
      <c r="F1428" t="s">
        <v>8062</v>
      </c>
      <c r="G1428" t="s">
        <v>22</v>
      </c>
      <c r="H1428">
        <v>5</v>
      </c>
      <c r="I1428" t="s">
        <v>8063</v>
      </c>
      <c r="K1428" t="s">
        <v>2276</v>
      </c>
      <c r="L1428" t="s">
        <v>25</v>
      </c>
      <c r="M1428" t="s">
        <v>8027</v>
      </c>
      <c r="N1428" t="s">
        <v>8028</v>
      </c>
      <c r="O1428" t="s">
        <v>8029</v>
      </c>
      <c r="P1428" t="s">
        <v>8064</v>
      </c>
      <c r="Q1428" t="s">
        <v>30</v>
      </c>
      <c r="R1428" t="s">
        <v>31</v>
      </c>
      <c r="S1428" t="s">
        <v>32</v>
      </c>
    </row>
    <row r="1429" spans="1:19" x14ac:dyDescent="0.45">
      <c r="A1429" t="str">
        <f t="shared" si="91"/>
        <v>17801</v>
      </c>
      <c r="B1429" t="s">
        <v>19</v>
      </c>
      <c r="C1429" t="str">
        <f t="shared" si="92"/>
        <v>27010</v>
      </c>
      <c r="D1429" t="s">
        <v>2273</v>
      </c>
      <c r="E1429" t="str">
        <f>"3453"</f>
        <v>3453</v>
      </c>
      <c r="F1429" t="s">
        <v>8065</v>
      </c>
      <c r="G1429" t="s">
        <v>22</v>
      </c>
      <c r="H1429">
        <v>5</v>
      </c>
      <c r="I1429" t="s">
        <v>8066</v>
      </c>
      <c r="K1429" t="s">
        <v>2276</v>
      </c>
      <c r="L1429" t="s">
        <v>25</v>
      </c>
      <c r="M1429" t="s">
        <v>7823</v>
      </c>
      <c r="N1429" t="s">
        <v>8067</v>
      </c>
      <c r="O1429" t="s">
        <v>8068</v>
      </c>
      <c r="P1429" t="s">
        <v>8069</v>
      </c>
      <c r="Q1429" t="s">
        <v>30</v>
      </c>
      <c r="R1429" t="s">
        <v>31</v>
      </c>
      <c r="S1429" t="s">
        <v>32</v>
      </c>
    </row>
    <row r="1430" spans="1:19" x14ac:dyDescent="0.45">
      <c r="A1430" t="str">
        <f t="shared" si="91"/>
        <v>17801</v>
      </c>
      <c r="B1430" t="s">
        <v>19</v>
      </c>
      <c r="C1430" t="str">
        <f t="shared" si="92"/>
        <v>27010</v>
      </c>
      <c r="D1430" t="s">
        <v>2273</v>
      </c>
      <c r="E1430" t="str">
        <f>"3498"</f>
        <v>3498</v>
      </c>
      <c r="F1430" t="s">
        <v>8070</v>
      </c>
      <c r="G1430" t="s">
        <v>22</v>
      </c>
      <c r="H1430">
        <v>5</v>
      </c>
      <c r="I1430" t="s">
        <v>8071</v>
      </c>
      <c r="K1430" t="s">
        <v>2276</v>
      </c>
      <c r="L1430" t="s">
        <v>25</v>
      </c>
      <c r="M1430" t="s">
        <v>7847</v>
      </c>
      <c r="N1430" t="s">
        <v>8072</v>
      </c>
      <c r="O1430" t="s">
        <v>8073</v>
      </c>
      <c r="P1430" t="s">
        <v>8074</v>
      </c>
      <c r="Q1430" t="s">
        <v>30</v>
      </c>
      <c r="R1430" t="s">
        <v>31</v>
      </c>
      <c r="S1430" t="s">
        <v>32</v>
      </c>
    </row>
    <row r="1431" spans="1:19" x14ac:dyDescent="0.45">
      <c r="A1431" t="str">
        <f t="shared" si="91"/>
        <v>17801</v>
      </c>
      <c r="B1431" t="s">
        <v>19</v>
      </c>
      <c r="C1431" t="str">
        <f t="shared" si="92"/>
        <v>27010</v>
      </c>
      <c r="D1431" t="s">
        <v>2273</v>
      </c>
      <c r="E1431" t="str">
        <f>"3646"</f>
        <v>3646</v>
      </c>
      <c r="F1431" t="s">
        <v>8075</v>
      </c>
      <c r="G1431" t="s">
        <v>22</v>
      </c>
      <c r="H1431">
        <v>5</v>
      </c>
      <c r="I1431" t="s">
        <v>8076</v>
      </c>
      <c r="K1431" t="s">
        <v>2276</v>
      </c>
      <c r="L1431" t="s">
        <v>25</v>
      </c>
      <c r="M1431" t="s">
        <v>7864</v>
      </c>
      <c r="N1431" t="s">
        <v>8077</v>
      </c>
      <c r="O1431" t="s">
        <v>8078</v>
      </c>
      <c r="P1431" t="s">
        <v>8079</v>
      </c>
      <c r="Q1431" t="s">
        <v>30</v>
      </c>
      <c r="R1431" t="s">
        <v>31</v>
      </c>
      <c r="S1431" t="s">
        <v>32</v>
      </c>
    </row>
    <row r="1432" spans="1:19" x14ac:dyDescent="0.45">
      <c r="A1432" t="str">
        <f t="shared" si="91"/>
        <v>17801</v>
      </c>
      <c r="B1432" t="s">
        <v>19</v>
      </c>
      <c r="C1432" t="str">
        <f t="shared" si="92"/>
        <v>27010</v>
      </c>
      <c r="D1432" t="s">
        <v>2273</v>
      </c>
      <c r="E1432" t="str">
        <f>"3880"</f>
        <v>3880</v>
      </c>
      <c r="F1432" t="s">
        <v>8080</v>
      </c>
      <c r="G1432">
        <v>9</v>
      </c>
      <c r="H1432">
        <v>12</v>
      </c>
      <c r="I1432" t="s">
        <v>8081</v>
      </c>
      <c r="K1432" t="s">
        <v>2276</v>
      </c>
      <c r="L1432" t="s">
        <v>25</v>
      </c>
      <c r="M1432" t="s">
        <v>7823</v>
      </c>
      <c r="N1432" t="s">
        <v>8082</v>
      </c>
      <c r="O1432" t="s">
        <v>8083</v>
      </c>
      <c r="P1432" t="s">
        <v>8084</v>
      </c>
      <c r="Q1432" t="s">
        <v>30</v>
      </c>
      <c r="R1432" t="s">
        <v>31</v>
      </c>
      <c r="S1432" t="s">
        <v>58</v>
      </c>
    </row>
    <row r="1433" spans="1:19" x14ac:dyDescent="0.45">
      <c r="A1433" t="str">
        <f t="shared" si="91"/>
        <v>17801</v>
      </c>
      <c r="B1433" t="s">
        <v>19</v>
      </c>
      <c r="C1433" t="str">
        <f t="shared" si="92"/>
        <v>27010</v>
      </c>
      <c r="D1433" t="s">
        <v>2273</v>
      </c>
      <c r="E1433" t="str">
        <f>"4109"</f>
        <v>4109</v>
      </c>
      <c r="F1433" t="s">
        <v>8085</v>
      </c>
      <c r="G1433">
        <v>9</v>
      </c>
      <c r="H1433">
        <v>12</v>
      </c>
      <c r="I1433" t="s">
        <v>8086</v>
      </c>
      <c r="K1433" t="s">
        <v>2276</v>
      </c>
      <c r="L1433" t="s">
        <v>25</v>
      </c>
      <c r="M1433" t="s">
        <v>7908</v>
      </c>
      <c r="N1433" t="s">
        <v>8087</v>
      </c>
      <c r="O1433" t="s">
        <v>8088</v>
      </c>
      <c r="P1433" t="s">
        <v>8089</v>
      </c>
      <c r="Q1433" t="s">
        <v>157</v>
      </c>
      <c r="R1433" t="s">
        <v>158</v>
      </c>
      <c r="S1433" t="s">
        <v>58</v>
      </c>
    </row>
    <row r="1434" spans="1:19" x14ac:dyDescent="0.45">
      <c r="A1434" t="str">
        <f t="shared" si="91"/>
        <v>17801</v>
      </c>
      <c r="B1434" t="s">
        <v>19</v>
      </c>
      <c r="C1434" t="str">
        <f t="shared" si="92"/>
        <v>27010</v>
      </c>
      <c r="D1434" t="s">
        <v>2273</v>
      </c>
      <c r="E1434" t="str">
        <f>"4283"</f>
        <v>4283</v>
      </c>
      <c r="F1434" t="s">
        <v>8090</v>
      </c>
      <c r="G1434">
        <v>6</v>
      </c>
      <c r="H1434">
        <v>12</v>
      </c>
      <c r="I1434" t="s">
        <v>8091</v>
      </c>
      <c r="K1434" t="s">
        <v>2276</v>
      </c>
      <c r="L1434" t="s">
        <v>25</v>
      </c>
      <c r="M1434" t="s">
        <v>7953</v>
      </c>
      <c r="N1434" t="s">
        <v>7824</v>
      </c>
      <c r="O1434" t="s">
        <v>7825</v>
      </c>
      <c r="P1434" t="s">
        <v>8092</v>
      </c>
      <c r="Q1434" t="s">
        <v>66</v>
      </c>
      <c r="R1434" t="s">
        <v>67</v>
      </c>
      <c r="S1434" t="s">
        <v>159</v>
      </c>
    </row>
    <row r="1435" spans="1:19" x14ac:dyDescent="0.45">
      <c r="A1435" t="str">
        <f t="shared" si="91"/>
        <v>17801</v>
      </c>
      <c r="B1435" t="s">
        <v>19</v>
      </c>
      <c r="C1435" t="str">
        <f t="shared" si="92"/>
        <v>27010</v>
      </c>
      <c r="D1435" t="s">
        <v>2273</v>
      </c>
      <c r="E1435" t="str">
        <f>"4537"</f>
        <v>4537</v>
      </c>
      <c r="F1435" t="s">
        <v>8093</v>
      </c>
      <c r="G1435" t="s">
        <v>70</v>
      </c>
      <c r="H1435">
        <v>5</v>
      </c>
      <c r="I1435" t="s">
        <v>8094</v>
      </c>
      <c r="K1435" t="s">
        <v>2276</v>
      </c>
      <c r="L1435" t="s">
        <v>25</v>
      </c>
      <c r="M1435" t="s">
        <v>7902</v>
      </c>
      <c r="N1435" t="s">
        <v>8095</v>
      </c>
      <c r="O1435" t="s">
        <v>8096</v>
      </c>
      <c r="P1435" t="s">
        <v>8097</v>
      </c>
      <c r="Q1435" t="s">
        <v>30</v>
      </c>
      <c r="R1435" t="s">
        <v>31</v>
      </c>
      <c r="S1435" t="s">
        <v>32</v>
      </c>
    </row>
    <row r="1436" spans="1:19" x14ac:dyDescent="0.45">
      <c r="A1436" t="str">
        <f t="shared" si="91"/>
        <v>17801</v>
      </c>
      <c r="B1436" t="s">
        <v>19</v>
      </c>
      <c r="C1436" t="str">
        <f>"27019"</f>
        <v>27019</v>
      </c>
      <c r="D1436" t="s">
        <v>8098</v>
      </c>
      <c r="E1436" t="str">
        <f>"2466"</f>
        <v>2466</v>
      </c>
      <c r="F1436" t="s">
        <v>8099</v>
      </c>
      <c r="G1436" t="s">
        <v>70</v>
      </c>
      <c r="H1436">
        <v>8</v>
      </c>
      <c r="I1436" t="s">
        <v>8100</v>
      </c>
      <c r="J1436" t="s">
        <v>8101</v>
      </c>
      <c r="K1436" t="s">
        <v>8102</v>
      </c>
      <c r="L1436" t="s">
        <v>25</v>
      </c>
      <c r="M1436" t="s">
        <v>8103</v>
      </c>
      <c r="N1436" t="s">
        <v>8104</v>
      </c>
      <c r="O1436" t="s">
        <v>8105</v>
      </c>
      <c r="P1436" t="s">
        <v>8106</v>
      </c>
      <c r="Q1436" t="s">
        <v>30</v>
      </c>
      <c r="R1436" t="s">
        <v>31</v>
      </c>
      <c r="S1436" t="s">
        <v>159</v>
      </c>
    </row>
    <row r="1437" spans="1:19" x14ac:dyDescent="0.45">
      <c r="A1437" t="str">
        <f t="shared" si="91"/>
        <v>17801</v>
      </c>
      <c r="B1437" t="s">
        <v>19</v>
      </c>
      <c r="C1437" t="str">
        <f t="shared" ref="C1437:C1444" si="93">"27083"</f>
        <v>27083</v>
      </c>
      <c r="D1437" t="s">
        <v>8107</v>
      </c>
      <c r="E1437" t="str">
        <f>"2223"</f>
        <v>2223</v>
      </c>
      <c r="F1437" t="s">
        <v>8108</v>
      </c>
      <c r="G1437" t="s">
        <v>22</v>
      </c>
      <c r="H1437">
        <v>4</v>
      </c>
      <c r="I1437" t="s">
        <v>8109</v>
      </c>
      <c r="K1437" t="s">
        <v>8110</v>
      </c>
      <c r="L1437" t="s">
        <v>25</v>
      </c>
      <c r="M1437" t="s">
        <v>8027</v>
      </c>
      <c r="N1437" t="s">
        <v>8111</v>
      </c>
      <c r="O1437" t="s">
        <v>8112</v>
      </c>
      <c r="P1437" t="s">
        <v>8113</v>
      </c>
      <c r="Q1437" t="s">
        <v>30</v>
      </c>
      <c r="R1437" t="s">
        <v>31</v>
      </c>
      <c r="S1437" t="s">
        <v>32</v>
      </c>
    </row>
    <row r="1438" spans="1:19" x14ac:dyDescent="0.45">
      <c r="A1438" t="str">
        <f t="shared" si="91"/>
        <v>17801</v>
      </c>
      <c r="B1438" t="s">
        <v>19</v>
      </c>
      <c r="C1438" t="str">
        <f t="shared" si="93"/>
        <v>27083</v>
      </c>
      <c r="D1438" t="s">
        <v>8107</v>
      </c>
      <c r="E1438" t="str">
        <f>"3179"</f>
        <v>3179</v>
      </c>
      <c r="F1438" t="s">
        <v>8114</v>
      </c>
      <c r="G1438">
        <v>8</v>
      </c>
      <c r="H1438">
        <v>9</v>
      </c>
      <c r="I1438" t="s">
        <v>8115</v>
      </c>
      <c r="K1438" t="s">
        <v>8116</v>
      </c>
      <c r="L1438" t="s">
        <v>25</v>
      </c>
      <c r="M1438" t="s">
        <v>8027</v>
      </c>
      <c r="N1438" t="s">
        <v>8117</v>
      </c>
      <c r="O1438" t="s">
        <v>8118</v>
      </c>
      <c r="P1438" t="s">
        <v>8119</v>
      </c>
      <c r="Q1438" t="s">
        <v>30</v>
      </c>
      <c r="R1438" t="s">
        <v>31</v>
      </c>
      <c r="S1438" t="s">
        <v>58</v>
      </c>
    </row>
    <row r="1439" spans="1:19" x14ac:dyDescent="0.45">
      <c r="A1439" t="str">
        <f t="shared" si="91"/>
        <v>17801</v>
      </c>
      <c r="B1439" t="s">
        <v>19</v>
      </c>
      <c r="C1439" t="str">
        <f t="shared" si="93"/>
        <v>27083</v>
      </c>
      <c r="D1439" t="s">
        <v>8107</v>
      </c>
      <c r="E1439" t="str">
        <f>"3296"</f>
        <v>3296</v>
      </c>
      <c r="F1439" t="s">
        <v>8120</v>
      </c>
      <c r="G1439">
        <v>5</v>
      </c>
      <c r="H1439">
        <v>7</v>
      </c>
      <c r="I1439" t="s">
        <v>8121</v>
      </c>
      <c r="K1439" t="s">
        <v>8110</v>
      </c>
      <c r="L1439" t="s">
        <v>25</v>
      </c>
      <c r="M1439" t="s">
        <v>8027</v>
      </c>
      <c r="N1439" t="s">
        <v>8122</v>
      </c>
      <c r="O1439" t="s">
        <v>8123</v>
      </c>
      <c r="P1439" t="s">
        <v>8124</v>
      </c>
      <c r="Q1439" t="s">
        <v>30</v>
      </c>
      <c r="R1439" t="s">
        <v>31</v>
      </c>
      <c r="S1439" t="s">
        <v>104</v>
      </c>
    </row>
    <row r="1440" spans="1:19" x14ac:dyDescent="0.45">
      <c r="A1440" t="str">
        <f t="shared" si="91"/>
        <v>17801</v>
      </c>
      <c r="B1440" t="s">
        <v>19</v>
      </c>
      <c r="C1440" t="str">
        <f t="shared" si="93"/>
        <v>27083</v>
      </c>
      <c r="D1440" t="s">
        <v>8107</v>
      </c>
      <c r="E1440" t="str">
        <f>"3600"</f>
        <v>3600</v>
      </c>
      <c r="F1440" t="s">
        <v>8125</v>
      </c>
      <c r="G1440">
        <v>10</v>
      </c>
      <c r="H1440">
        <v>12</v>
      </c>
      <c r="I1440" t="s">
        <v>8126</v>
      </c>
      <c r="K1440" t="s">
        <v>8116</v>
      </c>
      <c r="L1440" t="s">
        <v>25</v>
      </c>
      <c r="M1440" t="s">
        <v>8027</v>
      </c>
      <c r="N1440" t="s">
        <v>3191</v>
      </c>
      <c r="O1440" t="s">
        <v>8127</v>
      </c>
      <c r="P1440" t="s">
        <v>8128</v>
      </c>
      <c r="Q1440" t="s">
        <v>30</v>
      </c>
      <c r="R1440" t="s">
        <v>31</v>
      </c>
      <c r="S1440" t="s">
        <v>58</v>
      </c>
    </row>
    <row r="1441" spans="1:19" x14ac:dyDescent="0.45">
      <c r="A1441" t="str">
        <f t="shared" si="91"/>
        <v>17801</v>
      </c>
      <c r="B1441" t="s">
        <v>19</v>
      </c>
      <c r="C1441" t="str">
        <f t="shared" si="93"/>
        <v>27083</v>
      </c>
      <c r="D1441" t="s">
        <v>8107</v>
      </c>
      <c r="E1441" t="str">
        <f>"3601"</f>
        <v>3601</v>
      </c>
      <c r="F1441" t="s">
        <v>8129</v>
      </c>
      <c r="G1441" t="s">
        <v>22</v>
      </c>
      <c r="H1441">
        <v>4</v>
      </c>
      <c r="I1441" t="s">
        <v>8130</v>
      </c>
      <c r="K1441" t="s">
        <v>8116</v>
      </c>
      <c r="L1441" t="s">
        <v>25</v>
      </c>
      <c r="M1441" t="s">
        <v>8027</v>
      </c>
      <c r="N1441" t="s">
        <v>8131</v>
      </c>
      <c r="O1441" t="s">
        <v>8132</v>
      </c>
      <c r="P1441" t="s">
        <v>8133</v>
      </c>
      <c r="Q1441" t="s">
        <v>30</v>
      </c>
      <c r="R1441" t="s">
        <v>31</v>
      </c>
      <c r="S1441" t="s">
        <v>32</v>
      </c>
    </row>
    <row r="1442" spans="1:19" x14ac:dyDescent="0.45">
      <c r="A1442" t="str">
        <f t="shared" si="91"/>
        <v>17801</v>
      </c>
      <c r="B1442" t="s">
        <v>19</v>
      </c>
      <c r="C1442" t="str">
        <f t="shared" si="93"/>
        <v>27083</v>
      </c>
      <c r="D1442" t="s">
        <v>8107</v>
      </c>
      <c r="E1442" t="str">
        <f>"3792"</f>
        <v>3792</v>
      </c>
      <c r="F1442" t="s">
        <v>8134</v>
      </c>
      <c r="G1442" t="s">
        <v>70</v>
      </c>
      <c r="H1442">
        <v>4</v>
      </c>
      <c r="I1442" t="s">
        <v>8135</v>
      </c>
      <c r="K1442" t="s">
        <v>8110</v>
      </c>
      <c r="L1442" t="s">
        <v>25</v>
      </c>
      <c r="M1442" t="s">
        <v>8136</v>
      </c>
      <c r="N1442" t="s">
        <v>8137</v>
      </c>
      <c r="O1442" t="s">
        <v>8138</v>
      </c>
      <c r="P1442" t="s">
        <v>8139</v>
      </c>
      <c r="Q1442" t="s">
        <v>30</v>
      </c>
      <c r="R1442" t="s">
        <v>31</v>
      </c>
      <c r="S1442" t="s">
        <v>32</v>
      </c>
    </row>
    <row r="1443" spans="1:19" x14ac:dyDescent="0.45">
      <c r="A1443" t="str">
        <f t="shared" si="91"/>
        <v>17801</v>
      </c>
      <c r="B1443" t="s">
        <v>19</v>
      </c>
      <c r="C1443" t="str">
        <f t="shared" si="93"/>
        <v>27083</v>
      </c>
      <c r="D1443" t="s">
        <v>8107</v>
      </c>
      <c r="E1443" t="str">
        <f>"4325"</f>
        <v>4325</v>
      </c>
      <c r="F1443" t="s">
        <v>8140</v>
      </c>
      <c r="G1443">
        <v>5</v>
      </c>
      <c r="H1443">
        <v>7</v>
      </c>
      <c r="I1443" t="s">
        <v>8141</v>
      </c>
      <c r="K1443" t="s">
        <v>8110</v>
      </c>
      <c r="L1443" t="s">
        <v>25</v>
      </c>
      <c r="M1443" t="s">
        <v>8136</v>
      </c>
      <c r="N1443" t="s">
        <v>8142</v>
      </c>
      <c r="O1443" t="s">
        <v>8143</v>
      </c>
      <c r="P1443" t="s">
        <v>8144</v>
      </c>
      <c r="Q1443" t="s">
        <v>30</v>
      </c>
      <c r="R1443" t="s">
        <v>31</v>
      </c>
      <c r="S1443" t="s">
        <v>104</v>
      </c>
    </row>
    <row r="1444" spans="1:19" x14ac:dyDescent="0.45">
      <c r="A1444" t="str">
        <f t="shared" si="91"/>
        <v>17801</v>
      </c>
      <c r="B1444" t="s">
        <v>19</v>
      </c>
      <c r="C1444" t="str">
        <f t="shared" si="93"/>
        <v>27083</v>
      </c>
      <c r="D1444" t="s">
        <v>8107</v>
      </c>
      <c r="E1444" t="str">
        <f>"4447"</f>
        <v>4447</v>
      </c>
      <c r="F1444" t="s">
        <v>8145</v>
      </c>
      <c r="G1444" t="s">
        <v>22</v>
      </c>
      <c r="H1444">
        <v>4</v>
      </c>
      <c r="I1444" t="s">
        <v>8146</v>
      </c>
      <c r="K1444" t="s">
        <v>8116</v>
      </c>
      <c r="L1444" t="s">
        <v>25</v>
      </c>
      <c r="M1444" t="s">
        <v>8027</v>
      </c>
      <c r="N1444" t="s">
        <v>8147</v>
      </c>
      <c r="O1444" t="s">
        <v>8148</v>
      </c>
      <c r="P1444" t="s">
        <v>8149</v>
      </c>
      <c r="Q1444" t="s">
        <v>30</v>
      </c>
      <c r="R1444" t="s">
        <v>31</v>
      </c>
      <c r="S1444" t="s">
        <v>32</v>
      </c>
    </row>
    <row r="1445" spans="1:19" x14ac:dyDescent="0.45">
      <c r="A1445" t="str">
        <f t="shared" si="91"/>
        <v>17801</v>
      </c>
      <c r="B1445" t="s">
        <v>19</v>
      </c>
      <c r="C1445" t="str">
        <f t="shared" ref="C1445:C1457" si="94">"27320"</f>
        <v>27320</v>
      </c>
      <c r="D1445" t="s">
        <v>4328</v>
      </c>
      <c r="E1445" t="str">
        <f>"1781"</f>
        <v>1781</v>
      </c>
      <c r="F1445" t="s">
        <v>8150</v>
      </c>
      <c r="G1445" t="s">
        <v>22</v>
      </c>
      <c r="H1445" t="s">
        <v>22</v>
      </c>
      <c r="I1445" t="s">
        <v>8151</v>
      </c>
      <c r="K1445" t="s">
        <v>8152</v>
      </c>
      <c r="L1445" t="s">
        <v>25</v>
      </c>
      <c r="M1445" t="s">
        <v>8153</v>
      </c>
      <c r="N1445" t="s">
        <v>8154</v>
      </c>
      <c r="O1445" t="s">
        <v>8155</v>
      </c>
      <c r="P1445" t="s">
        <v>8156</v>
      </c>
      <c r="Q1445" t="s">
        <v>66</v>
      </c>
      <c r="R1445" t="s">
        <v>67</v>
      </c>
      <c r="S1445" t="s">
        <v>1248</v>
      </c>
    </row>
    <row r="1446" spans="1:19" x14ac:dyDescent="0.45">
      <c r="A1446" t="str">
        <f t="shared" si="91"/>
        <v>17801</v>
      </c>
      <c r="B1446" t="s">
        <v>19</v>
      </c>
      <c r="C1446" t="str">
        <f t="shared" si="94"/>
        <v>27320</v>
      </c>
      <c r="D1446" t="s">
        <v>4328</v>
      </c>
      <c r="E1446" t="str">
        <f>"2875"</f>
        <v>2875</v>
      </c>
      <c r="F1446" t="s">
        <v>8157</v>
      </c>
      <c r="G1446" t="s">
        <v>22</v>
      </c>
      <c r="H1446">
        <v>5</v>
      </c>
      <c r="I1446" t="s">
        <v>8158</v>
      </c>
      <c r="K1446" t="s">
        <v>8159</v>
      </c>
      <c r="L1446" t="s">
        <v>25</v>
      </c>
      <c r="M1446">
        <v>98390</v>
      </c>
      <c r="N1446" t="s">
        <v>8160</v>
      </c>
      <c r="O1446" t="s">
        <v>8161</v>
      </c>
      <c r="P1446" t="s">
        <v>8162</v>
      </c>
      <c r="Q1446" t="s">
        <v>30</v>
      </c>
      <c r="R1446" t="s">
        <v>31</v>
      </c>
      <c r="S1446" t="s">
        <v>32</v>
      </c>
    </row>
    <row r="1447" spans="1:19" x14ac:dyDescent="0.45">
      <c r="A1447" t="str">
        <f t="shared" si="91"/>
        <v>17801</v>
      </c>
      <c r="B1447" t="s">
        <v>19</v>
      </c>
      <c r="C1447" t="str">
        <f t="shared" si="94"/>
        <v>27320</v>
      </c>
      <c r="D1447" t="s">
        <v>4328</v>
      </c>
      <c r="E1447" t="str">
        <f>"3247"</f>
        <v>3247</v>
      </c>
      <c r="F1447" t="s">
        <v>8163</v>
      </c>
      <c r="G1447">
        <v>9</v>
      </c>
      <c r="H1447">
        <v>12</v>
      </c>
      <c r="I1447" t="s">
        <v>8164</v>
      </c>
      <c r="K1447" t="s">
        <v>8159</v>
      </c>
      <c r="L1447" t="s">
        <v>25</v>
      </c>
      <c r="M1447" t="s">
        <v>8153</v>
      </c>
      <c r="N1447" t="s">
        <v>8165</v>
      </c>
      <c r="O1447" t="s">
        <v>8166</v>
      </c>
      <c r="P1447" t="s">
        <v>8167</v>
      </c>
      <c r="Q1447" t="s">
        <v>30</v>
      </c>
      <c r="R1447" t="s">
        <v>31</v>
      </c>
      <c r="S1447" t="s">
        <v>58</v>
      </c>
    </row>
    <row r="1448" spans="1:19" x14ac:dyDescent="0.45">
      <c r="A1448" t="str">
        <f t="shared" si="91"/>
        <v>17801</v>
      </c>
      <c r="B1448" t="s">
        <v>19</v>
      </c>
      <c r="C1448" t="str">
        <f t="shared" si="94"/>
        <v>27320</v>
      </c>
      <c r="D1448" t="s">
        <v>4328</v>
      </c>
      <c r="E1448" t="str">
        <f>"3349"</f>
        <v>3349</v>
      </c>
      <c r="F1448" t="s">
        <v>8168</v>
      </c>
      <c r="G1448" t="s">
        <v>22</v>
      </c>
      <c r="H1448">
        <v>5</v>
      </c>
      <c r="I1448" t="s">
        <v>8169</v>
      </c>
      <c r="K1448" t="s">
        <v>4331</v>
      </c>
      <c r="L1448" t="s">
        <v>25</v>
      </c>
      <c r="M1448" t="s">
        <v>8153</v>
      </c>
      <c r="N1448" t="s">
        <v>8170</v>
      </c>
      <c r="O1448" t="s">
        <v>8171</v>
      </c>
      <c r="P1448" t="s">
        <v>8172</v>
      </c>
      <c r="Q1448" t="s">
        <v>30</v>
      </c>
      <c r="R1448" t="s">
        <v>31</v>
      </c>
      <c r="S1448" t="s">
        <v>32</v>
      </c>
    </row>
    <row r="1449" spans="1:19" x14ac:dyDescent="0.45">
      <c r="A1449" t="str">
        <f t="shared" si="91"/>
        <v>17801</v>
      </c>
      <c r="B1449" t="s">
        <v>19</v>
      </c>
      <c r="C1449" t="str">
        <f t="shared" si="94"/>
        <v>27320</v>
      </c>
      <c r="D1449" t="s">
        <v>4328</v>
      </c>
      <c r="E1449" t="str">
        <f>"3399"</f>
        <v>3399</v>
      </c>
      <c r="F1449" t="s">
        <v>8173</v>
      </c>
      <c r="G1449" t="s">
        <v>22</v>
      </c>
      <c r="H1449">
        <v>5</v>
      </c>
      <c r="I1449" t="s">
        <v>8174</v>
      </c>
      <c r="K1449" t="s">
        <v>4331</v>
      </c>
      <c r="L1449" t="s">
        <v>25</v>
      </c>
      <c r="M1449">
        <v>98391</v>
      </c>
      <c r="N1449" t="s">
        <v>8175</v>
      </c>
      <c r="O1449" t="s">
        <v>8176</v>
      </c>
      <c r="P1449" t="s">
        <v>8172</v>
      </c>
      <c r="Q1449" t="s">
        <v>30</v>
      </c>
      <c r="R1449" t="s">
        <v>31</v>
      </c>
      <c r="S1449" t="s">
        <v>32</v>
      </c>
    </row>
    <row r="1450" spans="1:19" x14ac:dyDescent="0.45">
      <c r="A1450" t="str">
        <f t="shared" si="91"/>
        <v>17801</v>
      </c>
      <c r="B1450" t="s">
        <v>19</v>
      </c>
      <c r="C1450" t="str">
        <f t="shared" si="94"/>
        <v>27320</v>
      </c>
      <c r="D1450" t="s">
        <v>4328</v>
      </c>
      <c r="E1450" t="str">
        <f>"3499"</f>
        <v>3499</v>
      </c>
      <c r="F1450" t="s">
        <v>8177</v>
      </c>
      <c r="G1450">
        <v>6</v>
      </c>
      <c r="H1450">
        <v>8</v>
      </c>
      <c r="I1450" t="s">
        <v>8178</v>
      </c>
      <c r="K1450" t="s">
        <v>8159</v>
      </c>
      <c r="L1450" t="s">
        <v>25</v>
      </c>
      <c r="M1450" t="s">
        <v>8153</v>
      </c>
      <c r="N1450" t="s">
        <v>8179</v>
      </c>
      <c r="O1450" t="s">
        <v>8180</v>
      </c>
      <c r="P1450" t="s">
        <v>8181</v>
      </c>
      <c r="Q1450" t="s">
        <v>30</v>
      </c>
      <c r="R1450" t="s">
        <v>31</v>
      </c>
      <c r="S1450" t="s">
        <v>104</v>
      </c>
    </row>
    <row r="1451" spans="1:19" x14ac:dyDescent="0.45">
      <c r="A1451" t="str">
        <f t="shared" si="91"/>
        <v>17801</v>
      </c>
      <c r="B1451" t="s">
        <v>19</v>
      </c>
      <c r="C1451" t="str">
        <f t="shared" si="94"/>
        <v>27320</v>
      </c>
      <c r="D1451" t="s">
        <v>4328</v>
      </c>
      <c r="E1451" t="str">
        <f>"4132"</f>
        <v>4132</v>
      </c>
      <c r="F1451" t="s">
        <v>8182</v>
      </c>
      <c r="G1451">
        <v>6</v>
      </c>
      <c r="H1451">
        <v>8</v>
      </c>
      <c r="I1451" t="s">
        <v>8183</v>
      </c>
      <c r="K1451" t="s">
        <v>4331</v>
      </c>
      <c r="L1451" t="s">
        <v>25</v>
      </c>
      <c r="M1451">
        <v>98391</v>
      </c>
      <c r="N1451" t="s">
        <v>8184</v>
      </c>
      <c r="O1451" t="s">
        <v>8185</v>
      </c>
      <c r="P1451" t="s">
        <v>8186</v>
      </c>
      <c r="Q1451" t="s">
        <v>30</v>
      </c>
      <c r="R1451" t="s">
        <v>31</v>
      </c>
      <c r="S1451" t="s">
        <v>104</v>
      </c>
    </row>
    <row r="1452" spans="1:19" x14ac:dyDescent="0.45">
      <c r="A1452" t="str">
        <f t="shared" si="91"/>
        <v>17801</v>
      </c>
      <c r="B1452" t="s">
        <v>19</v>
      </c>
      <c r="C1452" t="str">
        <f t="shared" si="94"/>
        <v>27320</v>
      </c>
      <c r="D1452" t="s">
        <v>4328</v>
      </c>
      <c r="E1452" t="str">
        <f>"4166"</f>
        <v>4166</v>
      </c>
      <c r="F1452" t="s">
        <v>8187</v>
      </c>
      <c r="G1452" t="s">
        <v>22</v>
      </c>
      <c r="H1452">
        <v>5</v>
      </c>
      <c r="I1452" t="s">
        <v>8188</v>
      </c>
      <c r="K1452" t="s">
        <v>4331</v>
      </c>
      <c r="L1452" t="s">
        <v>25</v>
      </c>
      <c r="M1452">
        <v>98391</v>
      </c>
      <c r="N1452" t="s">
        <v>8189</v>
      </c>
      <c r="O1452" t="s">
        <v>8190</v>
      </c>
      <c r="P1452" t="s">
        <v>8191</v>
      </c>
      <c r="Q1452" t="s">
        <v>30</v>
      </c>
      <c r="R1452" t="s">
        <v>31</v>
      </c>
      <c r="S1452" t="s">
        <v>32</v>
      </c>
    </row>
    <row r="1453" spans="1:19" x14ac:dyDescent="0.45">
      <c r="A1453" t="str">
        <f t="shared" si="91"/>
        <v>17801</v>
      </c>
      <c r="B1453" t="s">
        <v>19</v>
      </c>
      <c r="C1453" t="str">
        <f t="shared" si="94"/>
        <v>27320</v>
      </c>
      <c r="D1453" t="s">
        <v>4328</v>
      </c>
      <c r="E1453" t="str">
        <f>"4250"</f>
        <v>4250</v>
      </c>
      <c r="F1453" t="s">
        <v>8192</v>
      </c>
      <c r="G1453" t="s">
        <v>70</v>
      </c>
      <c r="H1453">
        <v>5</v>
      </c>
      <c r="I1453" t="s">
        <v>8193</v>
      </c>
      <c r="K1453" t="s">
        <v>4331</v>
      </c>
      <c r="L1453" t="s">
        <v>25</v>
      </c>
      <c r="M1453" t="s">
        <v>8153</v>
      </c>
      <c r="N1453" t="s">
        <v>8194</v>
      </c>
      <c r="O1453" t="s">
        <v>8195</v>
      </c>
      <c r="P1453" t="s">
        <v>8196</v>
      </c>
      <c r="Q1453" t="s">
        <v>30</v>
      </c>
      <c r="R1453" t="s">
        <v>31</v>
      </c>
      <c r="S1453" t="s">
        <v>32</v>
      </c>
    </row>
    <row r="1454" spans="1:19" x14ac:dyDescent="0.45">
      <c r="A1454" t="str">
        <f t="shared" si="91"/>
        <v>17801</v>
      </c>
      <c r="B1454" t="s">
        <v>19</v>
      </c>
      <c r="C1454" t="str">
        <f t="shared" si="94"/>
        <v>27320</v>
      </c>
      <c r="D1454" t="s">
        <v>4328</v>
      </c>
      <c r="E1454" t="str">
        <f>"4402"</f>
        <v>4402</v>
      </c>
      <c r="F1454" t="s">
        <v>8197</v>
      </c>
      <c r="G1454" t="s">
        <v>22</v>
      </c>
      <c r="H1454">
        <v>5</v>
      </c>
      <c r="I1454" t="s">
        <v>8198</v>
      </c>
      <c r="K1454" t="s">
        <v>8159</v>
      </c>
      <c r="L1454" t="s">
        <v>25</v>
      </c>
      <c r="M1454" t="s">
        <v>8153</v>
      </c>
      <c r="N1454" t="s">
        <v>8199</v>
      </c>
      <c r="O1454" t="s">
        <v>8200</v>
      </c>
      <c r="P1454" t="s">
        <v>8201</v>
      </c>
      <c r="Q1454" t="s">
        <v>30</v>
      </c>
      <c r="R1454" t="s">
        <v>31</v>
      </c>
      <c r="S1454" t="s">
        <v>32</v>
      </c>
    </row>
    <row r="1455" spans="1:19" x14ac:dyDescent="0.45">
      <c r="A1455" t="str">
        <f t="shared" si="91"/>
        <v>17801</v>
      </c>
      <c r="B1455" t="s">
        <v>19</v>
      </c>
      <c r="C1455" t="str">
        <f t="shared" si="94"/>
        <v>27320</v>
      </c>
      <c r="D1455" t="s">
        <v>4328</v>
      </c>
      <c r="E1455" t="str">
        <f>"4435"</f>
        <v>4435</v>
      </c>
      <c r="F1455" t="s">
        <v>8202</v>
      </c>
      <c r="G1455" t="s">
        <v>22</v>
      </c>
      <c r="H1455">
        <v>5</v>
      </c>
      <c r="I1455" t="s">
        <v>8203</v>
      </c>
      <c r="K1455" t="s">
        <v>4331</v>
      </c>
      <c r="L1455" t="s">
        <v>25</v>
      </c>
      <c r="M1455" t="s">
        <v>8153</v>
      </c>
      <c r="N1455" t="s">
        <v>8204</v>
      </c>
      <c r="O1455" t="s">
        <v>8205</v>
      </c>
      <c r="P1455" t="s">
        <v>8167</v>
      </c>
      <c r="Q1455" t="s">
        <v>30</v>
      </c>
      <c r="R1455" t="s">
        <v>31</v>
      </c>
      <c r="S1455" t="s">
        <v>32</v>
      </c>
    </row>
    <row r="1456" spans="1:19" x14ac:dyDescent="0.45">
      <c r="A1456" t="str">
        <f t="shared" si="91"/>
        <v>17801</v>
      </c>
      <c r="B1456" t="s">
        <v>19</v>
      </c>
      <c r="C1456" t="str">
        <f t="shared" si="94"/>
        <v>27320</v>
      </c>
      <c r="D1456" t="s">
        <v>4328</v>
      </c>
      <c r="E1456" t="str">
        <f>"4502"</f>
        <v>4502</v>
      </c>
      <c r="F1456" t="s">
        <v>6502</v>
      </c>
      <c r="G1456">
        <v>6</v>
      </c>
      <c r="H1456">
        <v>8</v>
      </c>
      <c r="I1456" t="s">
        <v>8206</v>
      </c>
      <c r="K1456" t="s">
        <v>4331</v>
      </c>
      <c r="L1456" t="s">
        <v>25</v>
      </c>
      <c r="M1456" t="s">
        <v>8153</v>
      </c>
      <c r="N1456" t="s">
        <v>8207</v>
      </c>
      <c r="O1456" t="s">
        <v>8208</v>
      </c>
      <c r="P1456" t="s">
        <v>8209</v>
      </c>
      <c r="Q1456" t="s">
        <v>30</v>
      </c>
      <c r="R1456" t="s">
        <v>31</v>
      </c>
      <c r="S1456" t="s">
        <v>104</v>
      </c>
    </row>
    <row r="1457" spans="1:19" x14ac:dyDescent="0.45">
      <c r="A1457" t="str">
        <f t="shared" si="91"/>
        <v>17801</v>
      </c>
      <c r="B1457" t="s">
        <v>19</v>
      </c>
      <c r="C1457" t="str">
        <f t="shared" si="94"/>
        <v>27320</v>
      </c>
      <c r="D1457" t="s">
        <v>4328</v>
      </c>
      <c r="E1457" t="str">
        <f>"4541"</f>
        <v>4541</v>
      </c>
      <c r="F1457" t="s">
        <v>8210</v>
      </c>
      <c r="G1457" t="s">
        <v>22</v>
      </c>
      <c r="H1457">
        <v>5</v>
      </c>
      <c r="I1457" t="s">
        <v>8211</v>
      </c>
      <c r="K1457" t="s">
        <v>8159</v>
      </c>
      <c r="L1457" t="s">
        <v>25</v>
      </c>
      <c r="M1457" t="s">
        <v>8153</v>
      </c>
      <c r="N1457" t="s">
        <v>8212</v>
      </c>
      <c r="O1457" t="s">
        <v>8213</v>
      </c>
      <c r="P1457" t="s">
        <v>8214</v>
      </c>
      <c r="Q1457" t="s">
        <v>30</v>
      </c>
      <c r="R1457" t="s">
        <v>31</v>
      </c>
      <c r="S1457" t="s">
        <v>32</v>
      </c>
    </row>
    <row r="1458" spans="1:19" x14ac:dyDescent="0.45">
      <c r="A1458" t="str">
        <f t="shared" si="91"/>
        <v>17801</v>
      </c>
      <c r="B1458" t="s">
        <v>19</v>
      </c>
      <c r="C1458" t="str">
        <f>"27343"</f>
        <v>27343</v>
      </c>
      <c r="D1458" t="s">
        <v>8215</v>
      </c>
      <c r="E1458" t="str">
        <f>"3683"</f>
        <v>3683</v>
      </c>
      <c r="F1458" t="s">
        <v>8216</v>
      </c>
      <c r="G1458">
        <v>1</v>
      </c>
      <c r="H1458">
        <v>3</v>
      </c>
      <c r="I1458" t="s">
        <v>8217</v>
      </c>
      <c r="K1458" t="s">
        <v>8218</v>
      </c>
      <c r="L1458" t="s">
        <v>25</v>
      </c>
      <c r="M1458" t="s">
        <v>8219</v>
      </c>
      <c r="N1458" t="s">
        <v>8220</v>
      </c>
      <c r="O1458" t="s">
        <v>8221</v>
      </c>
      <c r="P1458" t="s">
        <v>8222</v>
      </c>
      <c r="Q1458" t="s">
        <v>30</v>
      </c>
      <c r="R1458" t="s">
        <v>31</v>
      </c>
      <c r="S1458" t="s">
        <v>32</v>
      </c>
    </row>
    <row r="1459" spans="1:19" x14ac:dyDescent="0.45">
      <c r="A1459" t="str">
        <f t="shared" si="91"/>
        <v>17801</v>
      </c>
      <c r="B1459" t="s">
        <v>19</v>
      </c>
      <c r="C1459" t="str">
        <f>"27343"</f>
        <v>27343</v>
      </c>
      <c r="D1459" t="s">
        <v>8215</v>
      </c>
      <c r="E1459" t="str">
        <f>"4416"</f>
        <v>4416</v>
      </c>
      <c r="F1459" t="s">
        <v>8223</v>
      </c>
      <c r="G1459">
        <v>6</v>
      </c>
      <c r="H1459">
        <v>8</v>
      </c>
      <c r="I1459" t="s">
        <v>8224</v>
      </c>
      <c r="K1459" t="s">
        <v>8218</v>
      </c>
      <c r="L1459" t="s">
        <v>25</v>
      </c>
      <c r="M1459" t="s">
        <v>8225</v>
      </c>
      <c r="N1459" t="s">
        <v>8226</v>
      </c>
      <c r="O1459" t="s">
        <v>8227</v>
      </c>
      <c r="P1459" t="s">
        <v>8228</v>
      </c>
      <c r="Q1459" t="s">
        <v>30</v>
      </c>
      <c r="R1459" t="s">
        <v>31</v>
      </c>
      <c r="S1459" t="s">
        <v>104</v>
      </c>
    </row>
    <row r="1460" spans="1:19" x14ac:dyDescent="0.45">
      <c r="A1460" t="str">
        <f t="shared" si="91"/>
        <v>17801</v>
      </c>
      <c r="B1460" t="s">
        <v>19</v>
      </c>
      <c r="C1460" t="str">
        <f>"27343"</f>
        <v>27343</v>
      </c>
      <c r="D1460" t="s">
        <v>8215</v>
      </c>
      <c r="E1460" t="str">
        <f>"4548"</f>
        <v>4548</v>
      </c>
      <c r="F1460" t="s">
        <v>8229</v>
      </c>
      <c r="G1460">
        <v>4</v>
      </c>
      <c r="H1460">
        <v>5</v>
      </c>
      <c r="I1460" t="s">
        <v>8230</v>
      </c>
      <c r="K1460" t="s">
        <v>8218</v>
      </c>
      <c r="L1460" t="s">
        <v>25</v>
      </c>
      <c r="M1460" t="s">
        <v>8231</v>
      </c>
      <c r="N1460" t="s">
        <v>8232</v>
      </c>
      <c r="O1460" t="s">
        <v>8233</v>
      </c>
      <c r="P1460" t="s">
        <v>8234</v>
      </c>
      <c r="Q1460" t="s">
        <v>30</v>
      </c>
      <c r="R1460" t="s">
        <v>31</v>
      </c>
      <c r="S1460" t="s">
        <v>32</v>
      </c>
    </row>
    <row r="1461" spans="1:19" x14ac:dyDescent="0.45">
      <c r="A1461" t="str">
        <f t="shared" si="91"/>
        <v>17801</v>
      </c>
      <c r="B1461" t="s">
        <v>19</v>
      </c>
      <c r="C1461" t="str">
        <f>"27344"</f>
        <v>27344</v>
      </c>
      <c r="D1461" t="s">
        <v>8235</v>
      </c>
      <c r="E1461" t="str">
        <f>"2360"</f>
        <v>2360</v>
      </c>
      <c r="F1461" t="s">
        <v>8236</v>
      </c>
      <c r="G1461" t="s">
        <v>22</v>
      </c>
      <c r="H1461">
        <v>3</v>
      </c>
      <c r="I1461" t="s">
        <v>8237</v>
      </c>
      <c r="K1461" t="s">
        <v>8238</v>
      </c>
      <c r="L1461" t="s">
        <v>25</v>
      </c>
      <c r="M1461" t="s">
        <v>8239</v>
      </c>
      <c r="N1461" t="s">
        <v>8240</v>
      </c>
      <c r="O1461" t="s">
        <v>8241</v>
      </c>
      <c r="P1461" t="s">
        <v>8242</v>
      </c>
      <c r="Q1461" t="s">
        <v>30</v>
      </c>
      <c r="R1461" t="s">
        <v>31</v>
      </c>
      <c r="S1461" t="s">
        <v>32</v>
      </c>
    </row>
    <row r="1462" spans="1:19" x14ac:dyDescent="0.45">
      <c r="A1462" t="str">
        <f t="shared" si="91"/>
        <v>17801</v>
      </c>
      <c r="B1462" t="s">
        <v>19</v>
      </c>
      <c r="C1462" t="str">
        <f>"27344"</f>
        <v>27344</v>
      </c>
      <c r="D1462" t="s">
        <v>8235</v>
      </c>
      <c r="E1462" t="str">
        <f>"2942"</f>
        <v>2942</v>
      </c>
      <c r="F1462" t="s">
        <v>8243</v>
      </c>
      <c r="G1462">
        <v>9</v>
      </c>
      <c r="H1462">
        <v>12</v>
      </c>
      <c r="I1462" t="s">
        <v>8244</v>
      </c>
      <c r="K1462" t="s">
        <v>8238</v>
      </c>
      <c r="L1462" t="s">
        <v>25</v>
      </c>
      <c r="M1462" t="s">
        <v>8239</v>
      </c>
      <c r="N1462" t="s">
        <v>8245</v>
      </c>
      <c r="O1462" t="s">
        <v>8246</v>
      </c>
      <c r="P1462" t="s">
        <v>8247</v>
      </c>
      <c r="Q1462" t="s">
        <v>30</v>
      </c>
      <c r="R1462" t="s">
        <v>31</v>
      </c>
      <c r="S1462" t="s">
        <v>58</v>
      </c>
    </row>
    <row r="1463" spans="1:19" x14ac:dyDescent="0.45">
      <c r="A1463" t="str">
        <f t="shared" si="91"/>
        <v>17801</v>
      </c>
      <c r="B1463" t="s">
        <v>19</v>
      </c>
      <c r="C1463" t="str">
        <f>"27344"</f>
        <v>27344</v>
      </c>
      <c r="D1463" t="s">
        <v>8235</v>
      </c>
      <c r="E1463" t="str">
        <f>"4262"</f>
        <v>4262</v>
      </c>
      <c r="F1463" t="s">
        <v>8248</v>
      </c>
      <c r="G1463">
        <v>6</v>
      </c>
      <c r="H1463">
        <v>8</v>
      </c>
      <c r="I1463" t="s">
        <v>8249</v>
      </c>
      <c r="K1463" t="s">
        <v>8238</v>
      </c>
      <c r="L1463" t="s">
        <v>25</v>
      </c>
      <c r="M1463" t="s">
        <v>8250</v>
      </c>
      <c r="N1463" t="s">
        <v>8251</v>
      </c>
      <c r="O1463" t="s">
        <v>8252</v>
      </c>
      <c r="P1463" t="s">
        <v>8253</v>
      </c>
      <c r="Q1463" t="s">
        <v>30</v>
      </c>
      <c r="R1463" t="s">
        <v>31</v>
      </c>
      <c r="S1463" t="s">
        <v>104</v>
      </c>
    </row>
    <row r="1464" spans="1:19" x14ac:dyDescent="0.45">
      <c r="A1464" t="str">
        <f t="shared" si="91"/>
        <v>17801</v>
      </c>
      <c r="B1464" t="s">
        <v>19</v>
      </c>
      <c r="C1464" t="str">
        <f>"27344"</f>
        <v>27344</v>
      </c>
      <c r="D1464" t="s">
        <v>8235</v>
      </c>
      <c r="E1464" t="str">
        <f>"4547"</f>
        <v>4547</v>
      </c>
      <c r="F1464" t="s">
        <v>8254</v>
      </c>
      <c r="G1464" t="s">
        <v>70</v>
      </c>
      <c r="H1464">
        <v>5</v>
      </c>
      <c r="I1464" t="s">
        <v>8255</v>
      </c>
      <c r="K1464" t="s">
        <v>8238</v>
      </c>
      <c r="L1464" t="s">
        <v>25</v>
      </c>
      <c r="M1464" t="s">
        <v>8239</v>
      </c>
      <c r="N1464" t="s">
        <v>8256</v>
      </c>
      <c r="O1464" t="s">
        <v>8257</v>
      </c>
      <c r="P1464" t="s">
        <v>8258</v>
      </c>
      <c r="Q1464" t="s">
        <v>30</v>
      </c>
      <c r="R1464" t="s">
        <v>31</v>
      </c>
      <c r="S1464" t="s">
        <v>32</v>
      </c>
    </row>
    <row r="1465" spans="1:19" x14ac:dyDescent="0.45">
      <c r="A1465" t="str">
        <f t="shared" si="91"/>
        <v>17801</v>
      </c>
      <c r="B1465" t="s">
        <v>19</v>
      </c>
      <c r="C1465" t="str">
        <f t="shared" ref="C1465:C1489" si="95">"27400"</f>
        <v>27400</v>
      </c>
      <c r="D1465" t="s">
        <v>2226</v>
      </c>
      <c r="E1465" t="str">
        <f>"1825"</f>
        <v>1825</v>
      </c>
      <c r="F1465" t="s">
        <v>8259</v>
      </c>
      <c r="G1465">
        <v>11</v>
      </c>
      <c r="H1465">
        <v>12</v>
      </c>
      <c r="I1465" t="s">
        <v>2228</v>
      </c>
      <c r="K1465" t="s">
        <v>2230</v>
      </c>
      <c r="L1465" t="s">
        <v>25</v>
      </c>
      <c r="M1465" t="s">
        <v>8260</v>
      </c>
      <c r="N1465" t="s">
        <v>8261</v>
      </c>
      <c r="O1465" t="s">
        <v>8262</v>
      </c>
      <c r="P1465" t="s">
        <v>8263</v>
      </c>
      <c r="Q1465" t="s">
        <v>66</v>
      </c>
      <c r="R1465" t="s">
        <v>67</v>
      </c>
      <c r="S1465" t="s">
        <v>58</v>
      </c>
    </row>
    <row r="1466" spans="1:19" x14ac:dyDescent="0.45">
      <c r="A1466" t="str">
        <f t="shared" si="91"/>
        <v>17801</v>
      </c>
      <c r="B1466" t="s">
        <v>19</v>
      </c>
      <c r="C1466" t="str">
        <f t="shared" si="95"/>
        <v>27400</v>
      </c>
      <c r="D1466" t="s">
        <v>2226</v>
      </c>
      <c r="E1466" t="str">
        <f>"1880"</f>
        <v>1880</v>
      </c>
      <c r="F1466" t="s">
        <v>8264</v>
      </c>
      <c r="G1466">
        <v>9</v>
      </c>
      <c r="H1466">
        <v>12</v>
      </c>
      <c r="I1466" t="s">
        <v>8265</v>
      </c>
      <c r="K1466" t="s">
        <v>2230</v>
      </c>
      <c r="L1466" t="s">
        <v>25</v>
      </c>
      <c r="M1466" t="s">
        <v>8260</v>
      </c>
      <c r="N1466" t="s">
        <v>8266</v>
      </c>
      <c r="O1466" t="s">
        <v>8267</v>
      </c>
      <c r="P1466" t="s">
        <v>8268</v>
      </c>
      <c r="Q1466" t="s">
        <v>157</v>
      </c>
      <c r="R1466" t="s">
        <v>158</v>
      </c>
      <c r="S1466" t="s">
        <v>58</v>
      </c>
    </row>
    <row r="1467" spans="1:19" x14ac:dyDescent="0.45">
      <c r="A1467" t="str">
        <f t="shared" si="91"/>
        <v>17801</v>
      </c>
      <c r="B1467" t="s">
        <v>19</v>
      </c>
      <c r="C1467" t="str">
        <f t="shared" si="95"/>
        <v>27400</v>
      </c>
      <c r="D1467" t="s">
        <v>2226</v>
      </c>
      <c r="E1467" t="str">
        <f>"1881"</f>
        <v>1881</v>
      </c>
      <c r="F1467" t="s">
        <v>8269</v>
      </c>
      <c r="G1467">
        <v>6</v>
      </c>
      <c r="H1467">
        <v>8</v>
      </c>
      <c r="I1467" t="s">
        <v>8265</v>
      </c>
      <c r="K1467" t="s">
        <v>2230</v>
      </c>
      <c r="L1467" t="s">
        <v>25</v>
      </c>
      <c r="M1467" t="s">
        <v>8260</v>
      </c>
      <c r="N1467" t="s">
        <v>8266</v>
      </c>
      <c r="O1467" t="s">
        <v>8267</v>
      </c>
      <c r="P1467" t="s">
        <v>8268</v>
      </c>
      <c r="Q1467" t="s">
        <v>157</v>
      </c>
      <c r="R1467" t="s">
        <v>158</v>
      </c>
      <c r="S1467" t="s">
        <v>104</v>
      </c>
    </row>
    <row r="1468" spans="1:19" x14ac:dyDescent="0.45">
      <c r="A1468" t="str">
        <f t="shared" si="91"/>
        <v>17801</v>
      </c>
      <c r="B1468" t="s">
        <v>19</v>
      </c>
      <c r="C1468" t="str">
        <f t="shared" si="95"/>
        <v>27400</v>
      </c>
      <c r="D1468" t="s">
        <v>2226</v>
      </c>
      <c r="E1468" t="str">
        <f>"1882"</f>
        <v>1882</v>
      </c>
      <c r="F1468" t="s">
        <v>8270</v>
      </c>
      <c r="G1468" t="s">
        <v>22</v>
      </c>
      <c r="H1468">
        <v>12</v>
      </c>
      <c r="I1468" t="s">
        <v>8271</v>
      </c>
      <c r="K1468" t="s">
        <v>2230</v>
      </c>
      <c r="L1468" t="s">
        <v>25</v>
      </c>
      <c r="M1468" t="s">
        <v>8260</v>
      </c>
      <c r="N1468" t="s">
        <v>8261</v>
      </c>
      <c r="O1468" t="s">
        <v>8262</v>
      </c>
      <c r="P1468" t="s">
        <v>8263</v>
      </c>
      <c r="Q1468" t="s">
        <v>66</v>
      </c>
      <c r="R1468" t="s">
        <v>67</v>
      </c>
      <c r="S1468" t="s">
        <v>68</v>
      </c>
    </row>
    <row r="1469" spans="1:19" x14ac:dyDescent="0.45">
      <c r="A1469" t="str">
        <f t="shared" si="91"/>
        <v>17801</v>
      </c>
      <c r="B1469" t="s">
        <v>19</v>
      </c>
      <c r="C1469" t="str">
        <f t="shared" si="95"/>
        <v>27400</v>
      </c>
      <c r="D1469" t="s">
        <v>2226</v>
      </c>
      <c r="E1469" t="str">
        <f>"2041"</f>
        <v>2041</v>
      </c>
      <c r="F1469" t="s">
        <v>8272</v>
      </c>
      <c r="G1469">
        <v>4</v>
      </c>
      <c r="H1469">
        <v>12</v>
      </c>
      <c r="I1469" t="s">
        <v>8273</v>
      </c>
      <c r="K1469" t="s">
        <v>2684</v>
      </c>
      <c r="L1469" t="s">
        <v>25</v>
      </c>
      <c r="M1469" t="s">
        <v>8274</v>
      </c>
      <c r="N1469" t="s">
        <v>8275</v>
      </c>
      <c r="O1469" t="s">
        <v>2232</v>
      </c>
      <c r="P1469" t="s">
        <v>2233</v>
      </c>
      <c r="Q1469" t="s">
        <v>962</v>
      </c>
      <c r="R1469" t="s">
        <v>963</v>
      </c>
      <c r="S1469" t="s">
        <v>159</v>
      </c>
    </row>
    <row r="1470" spans="1:19" x14ac:dyDescent="0.45">
      <c r="A1470" t="str">
        <f t="shared" si="91"/>
        <v>17801</v>
      </c>
      <c r="B1470" t="s">
        <v>19</v>
      </c>
      <c r="C1470" t="str">
        <f t="shared" si="95"/>
        <v>27400</v>
      </c>
      <c r="D1470" t="s">
        <v>2226</v>
      </c>
      <c r="E1470" t="str">
        <f>"2189"</f>
        <v>2189</v>
      </c>
      <c r="F1470" t="s">
        <v>8276</v>
      </c>
      <c r="G1470" t="s">
        <v>22</v>
      </c>
      <c r="H1470">
        <v>5</v>
      </c>
      <c r="I1470" t="s">
        <v>8277</v>
      </c>
      <c r="K1470" t="s">
        <v>2230</v>
      </c>
      <c r="L1470" t="s">
        <v>25</v>
      </c>
      <c r="M1470" t="s">
        <v>8278</v>
      </c>
      <c r="N1470" t="s">
        <v>8279</v>
      </c>
      <c r="O1470" t="s">
        <v>8280</v>
      </c>
      <c r="P1470" t="s">
        <v>8281</v>
      </c>
      <c r="Q1470" t="s">
        <v>30</v>
      </c>
      <c r="R1470" t="s">
        <v>31</v>
      </c>
      <c r="S1470" t="s">
        <v>32</v>
      </c>
    </row>
    <row r="1471" spans="1:19" x14ac:dyDescent="0.45">
      <c r="A1471" t="str">
        <f t="shared" si="91"/>
        <v>17801</v>
      </c>
      <c r="B1471" t="s">
        <v>19</v>
      </c>
      <c r="C1471" t="str">
        <f t="shared" si="95"/>
        <v>27400</v>
      </c>
      <c r="D1471" t="s">
        <v>2226</v>
      </c>
      <c r="E1471" t="str">
        <f>"2425"</f>
        <v>2425</v>
      </c>
      <c r="F1471" t="s">
        <v>8282</v>
      </c>
      <c r="G1471">
        <v>9</v>
      </c>
      <c r="H1471">
        <v>12</v>
      </c>
      <c r="I1471" t="s">
        <v>8283</v>
      </c>
      <c r="K1471" t="s">
        <v>2230</v>
      </c>
      <c r="L1471" t="s">
        <v>25</v>
      </c>
      <c r="M1471" t="s">
        <v>8284</v>
      </c>
      <c r="N1471" t="s">
        <v>8285</v>
      </c>
      <c r="O1471" t="s">
        <v>8286</v>
      </c>
      <c r="P1471" t="s">
        <v>8287</v>
      </c>
      <c r="Q1471" t="s">
        <v>30</v>
      </c>
      <c r="R1471" t="s">
        <v>31</v>
      </c>
      <c r="S1471" t="s">
        <v>58</v>
      </c>
    </row>
    <row r="1472" spans="1:19" x14ac:dyDescent="0.45">
      <c r="A1472" t="str">
        <f t="shared" ref="A1472:A1535" si="96">"17801"</f>
        <v>17801</v>
      </c>
      <c r="B1472" t="s">
        <v>19</v>
      </c>
      <c r="C1472" t="str">
        <f t="shared" si="95"/>
        <v>27400</v>
      </c>
      <c r="D1472" t="s">
        <v>2226</v>
      </c>
      <c r="E1472" t="str">
        <f>"2651"</f>
        <v>2651</v>
      </c>
      <c r="F1472" t="s">
        <v>8288</v>
      </c>
      <c r="G1472" t="s">
        <v>22</v>
      </c>
      <c r="H1472">
        <v>5</v>
      </c>
      <c r="I1472" t="s">
        <v>8289</v>
      </c>
      <c r="K1472" t="s">
        <v>2230</v>
      </c>
      <c r="L1472" t="s">
        <v>25</v>
      </c>
      <c r="M1472" t="s">
        <v>8290</v>
      </c>
      <c r="N1472" t="s">
        <v>8291</v>
      </c>
      <c r="O1472" t="s">
        <v>8292</v>
      </c>
      <c r="P1472" t="s">
        <v>8293</v>
      </c>
      <c r="Q1472" t="s">
        <v>30</v>
      </c>
      <c r="R1472" t="s">
        <v>31</v>
      </c>
      <c r="S1472" t="s">
        <v>32</v>
      </c>
    </row>
    <row r="1473" spans="1:19" x14ac:dyDescent="0.45">
      <c r="A1473" t="str">
        <f t="shared" si="96"/>
        <v>17801</v>
      </c>
      <c r="B1473" t="s">
        <v>19</v>
      </c>
      <c r="C1473" t="str">
        <f t="shared" si="95"/>
        <v>27400</v>
      </c>
      <c r="D1473" t="s">
        <v>2226</v>
      </c>
      <c r="E1473" t="str">
        <f>"2652"</f>
        <v>2652</v>
      </c>
      <c r="F1473" t="s">
        <v>8294</v>
      </c>
      <c r="G1473" t="s">
        <v>22</v>
      </c>
      <c r="H1473">
        <v>5</v>
      </c>
      <c r="I1473" t="s">
        <v>8295</v>
      </c>
      <c r="K1473" t="s">
        <v>2230</v>
      </c>
      <c r="L1473" t="s">
        <v>25</v>
      </c>
      <c r="M1473" t="s">
        <v>8296</v>
      </c>
      <c r="N1473" t="s">
        <v>8297</v>
      </c>
      <c r="O1473" t="s">
        <v>8298</v>
      </c>
      <c r="P1473" t="s">
        <v>8299</v>
      </c>
      <c r="Q1473" t="s">
        <v>30</v>
      </c>
      <c r="R1473" t="s">
        <v>31</v>
      </c>
      <c r="S1473" t="s">
        <v>32</v>
      </c>
    </row>
    <row r="1474" spans="1:19" x14ac:dyDescent="0.45">
      <c r="A1474" t="str">
        <f t="shared" si="96"/>
        <v>17801</v>
      </c>
      <c r="B1474" t="s">
        <v>19</v>
      </c>
      <c r="C1474" t="str">
        <f t="shared" si="95"/>
        <v>27400</v>
      </c>
      <c r="D1474" t="s">
        <v>2226</v>
      </c>
      <c r="E1474" t="str">
        <f>"2943"</f>
        <v>2943</v>
      </c>
      <c r="F1474" t="s">
        <v>8300</v>
      </c>
      <c r="G1474" t="s">
        <v>22</v>
      </c>
      <c r="H1474">
        <v>5</v>
      </c>
      <c r="I1474" t="s">
        <v>8301</v>
      </c>
      <c r="K1474" t="s">
        <v>2230</v>
      </c>
      <c r="L1474" t="s">
        <v>25</v>
      </c>
      <c r="M1474" t="s">
        <v>8302</v>
      </c>
      <c r="N1474" t="s">
        <v>8303</v>
      </c>
      <c r="O1474" t="s">
        <v>8304</v>
      </c>
      <c r="P1474" t="s">
        <v>8305</v>
      </c>
      <c r="Q1474" t="s">
        <v>30</v>
      </c>
      <c r="R1474" t="s">
        <v>31</v>
      </c>
      <c r="S1474" t="s">
        <v>32</v>
      </c>
    </row>
    <row r="1475" spans="1:19" x14ac:dyDescent="0.45">
      <c r="A1475" t="str">
        <f t="shared" si="96"/>
        <v>17801</v>
      </c>
      <c r="B1475" t="s">
        <v>19</v>
      </c>
      <c r="C1475" t="str">
        <f t="shared" si="95"/>
        <v>27400</v>
      </c>
      <c r="D1475" t="s">
        <v>2226</v>
      </c>
      <c r="E1475" t="str">
        <f>"3117"</f>
        <v>3117</v>
      </c>
      <c r="F1475" t="s">
        <v>8306</v>
      </c>
      <c r="G1475" t="s">
        <v>22</v>
      </c>
      <c r="H1475">
        <v>5</v>
      </c>
      <c r="I1475" t="s">
        <v>8307</v>
      </c>
      <c r="K1475" t="s">
        <v>2230</v>
      </c>
      <c r="L1475" t="s">
        <v>25</v>
      </c>
      <c r="M1475" t="s">
        <v>8308</v>
      </c>
      <c r="N1475" t="s">
        <v>8309</v>
      </c>
      <c r="O1475" t="s">
        <v>8310</v>
      </c>
      <c r="P1475" t="s">
        <v>8311</v>
      </c>
      <c r="Q1475" t="s">
        <v>30</v>
      </c>
      <c r="R1475" t="s">
        <v>31</v>
      </c>
      <c r="S1475" t="s">
        <v>32</v>
      </c>
    </row>
    <row r="1476" spans="1:19" x14ac:dyDescent="0.45">
      <c r="A1476" t="str">
        <f t="shared" si="96"/>
        <v>17801</v>
      </c>
      <c r="B1476" t="s">
        <v>19</v>
      </c>
      <c r="C1476" t="str">
        <f t="shared" si="95"/>
        <v>27400</v>
      </c>
      <c r="D1476" t="s">
        <v>2226</v>
      </c>
      <c r="E1476" t="str">
        <f>"3248"</f>
        <v>3248</v>
      </c>
      <c r="F1476" t="s">
        <v>8312</v>
      </c>
      <c r="G1476">
        <v>6</v>
      </c>
      <c r="H1476">
        <v>8</v>
      </c>
      <c r="I1476" t="s">
        <v>8313</v>
      </c>
      <c r="K1476" t="s">
        <v>2230</v>
      </c>
      <c r="L1476" t="s">
        <v>25</v>
      </c>
      <c r="M1476" t="s">
        <v>8314</v>
      </c>
      <c r="N1476" t="s">
        <v>8315</v>
      </c>
      <c r="O1476" t="s">
        <v>8316</v>
      </c>
      <c r="P1476" t="s">
        <v>8317</v>
      </c>
      <c r="Q1476" t="s">
        <v>30</v>
      </c>
      <c r="R1476" t="s">
        <v>31</v>
      </c>
      <c r="S1476" t="s">
        <v>104</v>
      </c>
    </row>
    <row r="1477" spans="1:19" x14ac:dyDescent="0.45">
      <c r="A1477" t="str">
        <f t="shared" si="96"/>
        <v>17801</v>
      </c>
      <c r="B1477" t="s">
        <v>19</v>
      </c>
      <c r="C1477" t="str">
        <f t="shared" si="95"/>
        <v>27400</v>
      </c>
      <c r="D1477" t="s">
        <v>2226</v>
      </c>
      <c r="E1477" t="str">
        <f>"3249"</f>
        <v>3249</v>
      </c>
      <c r="F1477" t="s">
        <v>8318</v>
      </c>
      <c r="G1477" t="s">
        <v>22</v>
      </c>
      <c r="H1477">
        <v>5</v>
      </c>
      <c r="I1477" t="s">
        <v>8319</v>
      </c>
      <c r="K1477" t="s">
        <v>2230</v>
      </c>
      <c r="L1477" t="s">
        <v>25</v>
      </c>
      <c r="M1477" t="s">
        <v>8320</v>
      </c>
      <c r="N1477" t="s">
        <v>8321</v>
      </c>
      <c r="O1477" t="s">
        <v>8322</v>
      </c>
      <c r="P1477" t="s">
        <v>8323</v>
      </c>
      <c r="Q1477" t="s">
        <v>30</v>
      </c>
      <c r="R1477" t="s">
        <v>31</v>
      </c>
      <c r="S1477" t="s">
        <v>32</v>
      </c>
    </row>
    <row r="1478" spans="1:19" x14ac:dyDescent="0.45">
      <c r="A1478" t="str">
        <f t="shared" si="96"/>
        <v>17801</v>
      </c>
      <c r="B1478" t="s">
        <v>19</v>
      </c>
      <c r="C1478" t="str">
        <f t="shared" si="95"/>
        <v>27400</v>
      </c>
      <c r="D1478" t="s">
        <v>2226</v>
      </c>
      <c r="E1478" t="str">
        <f>"3297"</f>
        <v>3297</v>
      </c>
      <c r="F1478" t="s">
        <v>8324</v>
      </c>
      <c r="G1478">
        <v>6</v>
      </c>
      <c r="H1478">
        <v>8</v>
      </c>
      <c r="I1478" t="s">
        <v>8325</v>
      </c>
      <c r="K1478" t="s">
        <v>2230</v>
      </c>
      <c r="L1478" t="s">
        <v>25</v>
      </c>
      <c r="M1478" t="s">
        <v>8326</v>
      </c>
      <c r="N1478" t="s">
        <v>8327</v>
      </c>
      <c r="O1478" t="s">
        <v>8328</v>
      </c>
      <c r="P1478" t="s">
        <v>8329</v>
      </c>
      <c r="Q1478" t="s">
        <v>30</v>
      </c>
      <c r="R1478" t="s">
        <v>31</v>
      </c>
      <c r="S1478" t="s">
        <v>104</v>
      </c>
    </row>
    <row r="1479" spans="1:19" x14ac:dyDescent="0.45">
      <c r="A1479" t="str">
        <f t="shared" si="96"/>
        <v>17801</v>
      </c>
      <c r="B1479" t="s">
        <v>19</v>
      </c>
      <c r="C1479" t="str">
        <f t="shared" si="95"/>
        <v>27400</v>
      </c>
      <c r="D1479" t="s">
        <v>2226</v>
      </c>
      <c r="E1479" t="str">
        <f>"3298"</f>
        <v>3298</v>
      </c>
      <c r="F1479" t="s">
        <v>8330</v>
      </c>
      <c r="G1479" t="s">
        <v>22</v>
      </c>
      <c r="H1479">
        <v>5</v>
      </c>
      <c r="I1479" t="s">
        <v>8331</v>
      </c>
      <c r="K1479" t="s">
        <v>2575</v>
      </c>
      <c r="L1479" t="s">
        <v>25</v>
      </c>
      <c r="M1479" t="s">
        <v>8332</v>
      </c>
      <c r="N1479" t="s">
        <v>8333</v>
      </c>
      <c r="O1479" t="s">
        <v>8334</v>
      </c>
      <c r="P1479" t="s">
        <v>8335</v>
      </c>
      <c r="Q1479" t="s">
        <v>30</v>
      </c>
      <c r="R1479" t="s">
        <v>31</v>
      </c>
      <c r="S1479" t="s">
        <v>32</v>
      </c>
    </row>
    <row r="1480" spans="1:19" x14ac:dyDescent="0.45">
      <c r="A1480" t="str">
        <f t="shared" si="96"/>
        <v>17801</v>
      </c>
      <c r="B1480" t="s">
        <v>19</v>
      </c>
      <c r="C1480" t="str">
        <f t="shared" si="95"/>
        <v>27400</v>
      </c>
      <c r="D1480" t="s">
        <v>2226</v>
      </c>
      <c r="E1480" t="str">
        <f>"3351"</f>
        <v>3351</v>
      </c>
      <c r="F1480" t="s">
        <v>8336</v>
      </c>
      <c r="G1480" t="s">
        <v>22</v>
      </c>
      <c r="H1480">
        <v>5</v>
      </c>
      <c r="I1480" t="s">
        <v>8337</v>
      </c>
      <c r="K1480" t="s">
        <v>2230</v>
      </c>
      <c r="L1480" t="s">
        <v>25</v>
      </c>
      <c r="M1480" t="s">
        <v>8338</v>
      </c>
      <c r="N1480" t="s">
        <v>8339</v>
      </c>
      <c r="O1480" t="s">
        <v>8340</v>
      </c>
      <c r="P1480" t="s">
        <v>8341</v>
      </c>
      <c r="Q1480" t="s">
        <v>30</v>
      </c>
      <c r="R1480" t="s">
        <v>31</v>
      </c>
      <c r="S1480" t="s">
        <v>32</v>
      </c>
    </row>
    <row r="1481" spans="1:19" x14ac:dyDescent="0.45">
      <c r="A1481" t="str">
        <f t="shared" si="96"/>
        <v>17801</v>
      </c>
      <c r="B1481" t="s">
        <v>19</v>
      </c>
      <c r="C1481" t="str">
        <f t="shared" si="95"/>
        <v>27400</v>
      </c>
      <c r="D1481" t="s">
        <v>2226</v>
      </c>
      <c r="E1481" t="str">
        <f>"3454"</f>
        <v>3454</v>
      </c>
      <c r="F1481" t="s">
        <v>8342</v>
      </c>
      <c r="G1481" t="s">
        <v>22</v>
      </c>
      <c r="H1481">
        <v>5</v>
      </c>
      <c r="I1481" t="s">
        <v>8343</v>
      </c>
      <c r="K1481" t="s">
        <v>2569</v>
      </c>
      <c r="L1481" t="s">
        <v>25</v>
      </c>
      <c r="M1481">
        <v>98433</v>
      </c>
      <c r="N1481" t="s">
        <v>8344</v>
      </c>
      <c r="O1481" t="s">
        <v>8345</v>
      </c>
      <c r="P1481" t="s">
        <v>8346</v>
      </c>
      <c r="Q1481" t="s">
        <v>30</v>
      </c>
      <c r="R1481" t="s">
        <v>31</v>
      </c>
      <c r="S1481" t="s">
        <v>32</v>
      </c>
    </row>
    <row r="1482" spans="1:19" x14ac:dyDescent="0.45">
      <c r="A1482" t="str">
        <f t="shared" si="96"/>
        <v>17801</v>
      </c>
      <c r="B1482" t="s">
        <v>19</v>
      </c>
      <c r="C1482" t="str">
        <f t="shared" si="95"/>
        <v>27400</v>
      </c>
      <c r="D1482" t="s">
        <v>2226</v>
      </c>
      <c r="E1482" t="str">
        <f>"3455"</f>
        <v>3455</v>
      </c>
      <c r="F1482" t="s">
        <v>8347</v>
      </c>
      <c r="G1482" t="s">
        <v>22</v>
      </c>
      <c r="H1482">
        <v>5</v>
      </c>
      <c r="I1482" t="s">
        <v>8348</v>
      </c>
      <c r="K1482" t="s">
        <v>2230</v>
      </c>
      <c r="L1482" t="s">
        <v>25</v>
      </c>
      <c r="M1482" t="s">
        <v>8349</v>
      </c>
      <c r="N1482" t="s">
        <v>8350</v>
      </c>
      <c r="O1482" t="s">
        <v>8351</v>
      </c>
      <c r="P1482" t="s">
        <v>8352</v>
      </c>
      <c r="Q1482" t="s">
        <v>30</v>
      </c>
      <c r="R1482" t="s">
        <v>31</v>
      </c>
      <c r="S1482" t="s">
        <v>32</v>
      </c>
    </row>
    <row r="1483" spans="1:19" x14ac:dyDescent="0.45">
      <c r="A1483" t="str">
        <f t="shared" si="96"/>
        <v>17801</v>
      </c>
      <c r="B1483" t="s">
        <v>19</v>
      </c>
      <c r="C1483" t="str">
        <f t="shared" si="95"/>
        <v>27400</v>
      </c>
      <c r="D1483" t="s">
        <v>2226</v>
      </c>
      <c r="E1483" t="str">
        <f>"3456"</f>
        <v>3456</v>
      </c>
      <c r="F1483" t="s">
        <v>8353</v>
      </c>
      <c r="G1483">
        <v>9</v>
      </c>
      <c r="H1483">
        <v>12</v>
      </c>
      <c r="I1483" t="s">
        <v>8354</v>
      </c>
      <c r="K1483" t="s">
        <v>2230</v>
      </c>
      <c r="L1483" t="s">
        <v>25</v>
      </c>
      <c r="M1483" t="s">
        <v>8355</v>
      </c>
      <c r="N1483" t="s">
        <v>8356</v>
      </c>
      <c r="O1483" t="s">
        <v>8357</v>
      </c>
      <c r="P1483" t="s">
        <v>8358</v>
      </c>
      <c r="Q1483" t="s">
        <v>30</v>
      </c>
      <c r="R1483" t="s">
        <v>31</v>
      </c>
      <c r="S1483" t="s">
        <v>58</v>
      </c>
    </row>
    <row r="1484" spans="1:19" x14ac:dyDescent="0.45">
      <c r="A1484" t="str">
        <f t="shared" si="96"/>
        <v>17801</v>
      </c>
      <c r="B1484" t="s">
        <v>19</v>
      </c>
      <c r="C1484" t="str">
        <f t="shared" si="95"/>
        <v>27400</v>
      </c>
      <c r="D1484" t="s">
        <v>2226</v>
      </c>
      <c r="E1484" t="str">
        <f>"3457"</f>
        <v>3457</v>
      </c>
      <c r="F1484" t="s">
        <v>8359</v>
      </c>
      <c r="G1484" t="s">
        <v>22</v>
      </c>
      <c r="H1484">
        <v>5</v>
      </c>
      <c r="I1484" t="s">
        <v>8360</v>
      </c>
      <c r="K1484" t="s">
        <v>8361</v>
      </c>
      <c r="L1484" t="s">
        <v>25</v>
      </c>
      <c r="M1484" t="s">
        <v>8362</v>
      </c>
      <c r="N1484" t="s">
        <v>8363</v>
      </c>
      <c r="O1484" t="s">
        <v>8364</v>
      </c>
      <c r="P1484" t="s">
        <v>8365</v>
      </c>
      <c r="Q1484" t="s">
        <v>30</v>
      </c>
      <c r="R1484" t="s">
        <v>31</v>
      </c>
      <c r="S1484" t="s">
        <v>32</v>
      </c>
    </row>
    <row r="1485" spans="1:19" x14ac:dyDescent="0.45">
      <c r="A1485" t="str">
        <f t="shared" si="96"/>
        <v>17801</v>
      </c>
      <c r="B1485" t="s">
        <v>19</v>
      </c>
      <c r="C1485" t="str">
        <f t="shared" si="95"/>
        <v>27400</v>
      </c>
      <c r="D1485" t="s">
        <v>2226</v>
      </c>
      <c r="E1485" t="str">
        <f>"3500"</f>
        <v>3500</v>
      </c>
      <c r="F1485" t="s">
        <v>8366</v>
      </c>
      <c r="G1485">
        <v>6</v>
      </c>
      <c r="H1485">
        <v>8</v>
      </c>
      <c r="I1485" t="s">
        <v>8367</v>
      </c>
      <c r="K1485" t="s">
        <v>2230</v>
      </c>
      <c r="L1485" t="s">
        <v>25</v>
      </c>
      <c r="M1485" t="s">
        <v>8368</v>
      </c>
      <c r="N1485" t="s">
        <v>8369</v>
      </c>
      <c r="O1485" t="s">
        <v>8370</v>
      </c>
      <c r="P1485" t="s">
        <v>8371</v>
      </c>
      <c r="Q1485" t="s">
        <v>30</v>
      </c>
      <c r="R1485" t="s">
        <v>31</v>
      </c>
      <c r="S1485" t="s">
        <v>104</v>
      </c>
    </row>
    <row r="1486" spans="1:19" x14ac:dyDescent="0.45">
      <c r="A1486" t="str">
        <f t="shared" si="96"/>
        <v>17801</v>
      </c>
      <c r="B1486" t="s">
        <v>19</v>
      </c>
      <c r="C1486" t="str">
        <f t="shared" si="95"/>
        <v>27400</v>
      </c>
      <c r="D1486" t="s">
        <v>2226</v>
      </c>
      <c r="E1486" t="str">
        <f>"3602"</f>
        <v>3602</v>
      </c>
      <c r="F1486" t="s">
        <v>8372</v>
      </c>
      <c r="G1486">
        <v>6</v>
      </c>
      <c r="H1486">
        <v>8</v>
      </c>
      <c r="I1486" t="s">
        <v>8265</v>
      </c>
      <c r="K1486" t="s">
        <v>2230</v>
      </c>
      <c r="L1486" t="s">
        <v>25</v>
      </c>
      <c r="M1486" t="s">
        <v>8373</v>
      </c>
      <c r="N1486" t="s">
        <v>8374</v>
      </c>
      <c r="O1486" t="s">
        <v>8375</v>
      </c>
      <c r="P1486" t="s">
        <v>8268</v>
      </c>
      <c r="Q1486" t="s">
        <v>30</v>
      </c>
      <c r="R1486" t="s">
        <v>31</v>
      </c>
      <c r="S1486" t="s">
        <v>104</v>
      </c>
    </row>
    <row r="1487" spans="1:19" x14ac:dyDescent="0.45">
      <c r="A1487" t="str">
        <f t="shared" si="96"/>
        <v>17801</v>
      </c>
      <c r="B1487" t="s">
        <v>19</v>
      </c>
      <c r="C1487" t="str">
        <f t="shared" si="95"/>
        <v>27400</v>
      </c>
      <c r="D1487" t="s">
        <v>2226</v>
      </c>
      <c r="E1487" t="str">
        <f>"3763"</f>
        <v>3763</v>
      </c>
      <c r="F1487" t="s">
        <v>8376</v>
      </c>
      <c r="G1487" t="s">
        <v>22</v>
      </c>
      <c r="H1487">
        <v>5</v>
      </c>
      <c r="I1487" t="s">
        <v>8377</v>
      </c>
      <c r="K1487" t="s">
        <v>2230</v>
      </c>
      <c r="L1487" t="s">
        <v>25</v>
      </c>
      <c r="M1487" t="s">
        <v>8378</v>
      </c>
      <c r="N1487" t="s">
        <v>8379</v>
      </c>
      <c r="O1487" t="s">
        <v>8380</v>
      </c>
      <c r="P1487" t="s">
        <v>8381</v>
      </c>
      <c r="Q1487" t="s">
        <v>30</v>
      </c>
      <c r="R1487" t="s">
        <v>31</v>
      </c>
      <c r="S1487" t="s">
        <v>32</v>
      </c>
    </row>
    <row r="1488" spans="1:19" x14ac:dyDescent="0.45">
      <c r="A1488" t="str">
        <f t="shared" si="96"/>
        <v>17801</v>
      </c>
      <c r="B1488" t="s">
        <v>19</v>
      </c>
      <c r="C1488" t="str">
        <f t="shared" si="95"/>
        <v>27400</v>
      </c>
      <c r="D1488" t="s">
        <v>2226</v>
      </c>
      <c r="E1488" t="str">
        <f>"3910"</f>
        <v>3910</v>
      </c>
      <c r="F1488" t="s">
        <v>8382</v>
      </c>
      <c r="G1488" t="s">
        <v>70</v>
      </c>
      <c r="H1488">
        <v>5</v>
      </c>
      <c r="I1488" t="s">
        <v>8273</v>
      </c>
      <c r="K1488" t="s">
        <v>2230</v>
      </c>
      <c r="L1488" t="s">
        <v>25</v>
      </c>
      <c r="M1488" t="s">
        <v>8274</v>
      </c>
      <c r="N1488" t="s">
        <v>8275</v>
      </c>
      <c r="O1488" t="s">
        <v>2232</v>
      </c>
      <c r="P1488" t="s">
        <v>2233</v>
      </c>
      <c r="Q1488" t="s">
        <v>962</v>
      </c>
      <c r="R1488" t="s">
        <v>963</v>
      </c>
      <c r="S1488" t="s">
        <v>32</v>
      </c>
    </row>
    <row r="1489" spans="1:19" x14ac:dyDescent="0.45">
      <c r="A1489" t="str">
        <f t="shared" si="96"/>
        <v>17801</v>
      </c>
      <c r="B1489" t="s">
        <v>19</v>
      </c>
      <c r="C1489" t="str">
        <f t="shared" si="95"/>
        <v>27400</v>
      </c>
      <c r="D1489" t="s">
        <v>2226</v>
      </c>
      <c r="E1489" t="str">
        <f>"4396"</f>
        <v>4396</v>
      </c>
      <c r="F1489" t="s">
        <v>7288</v>
      </c>
      <c r="G1489" t="s">
        <v>22</v>
      </c>
      <c r="H1489">
        <v>5</v>
      </c>
      <c r="I1489" t="s">
        <v>8383</v>
      </c>
      <c r="K1489" t="s">
        <v>2575</v>
      </c>
      <c r="L1489" t="s">
        <v>25</v>
      </c>
      <c r="M1489" t="s">
        <v>8384</v>
      </c>
      <c r="N1489" t="s">
        <v>8385</v>
      </c>
      <c r="O1489" t="s">
        <v>8386</v>
      </c>
      <c r="P1489" t="s">
        <v>8387</v>
      </c>
      <c r="Q1489" t="s">
        <v>30</v>
      </c>
      <c r="R1489" t="s">
        <v>31</v>
      </c>
      <c r="S1489" t="s">
        <v>32</v>
      </c>
    </row>
    <row r="1490" spans="1:19" x14ac:dyDescent="0.45">
      <c r="A1490" t="str">
        <f t="shared" si="96"/>
        <v>17801</v>
      </c>
      <c r="B1490" t="s">
        <v>19</v>
      </c>
      <c r="C1490" t="str">
        <f t="shared" ref="C1490:C1504" si="97">"27401"</f>
        <v>27401</v>
      </c>
      <c r="D1490" t="s">
        <v>8388</v>
      </c>
      <c r="E1490" t="str">
        <f>"1516"</f>
        <v>1516</v>
      </c>
      <c r="F1490" t="s">
        <v>8389</v>
      </c>
      <c r="G1490">
        <v>9</v>
      </c>
      <c r="H1490">
        <v>12</v>
      </c>
      <c r="I1490" t="s">
        <v>8390</v>
      </c>
      <c r="K1490" t="s">
        <v>8391</v>
      </c>
      <c r="L1490" t="s">
        <v>25</v>
      </c>
      <c r="M1490" t="s">
        <v>8392</v>
      </c>
      <c r="N1490" t="s">
        <v>8393</v>
      </c>
      <c r="O1490" t="s">
        <v>8394</v>
      </c>
      <c r="P1490" t="s">
        <v>8395</v>
      </c>
      <c r="Q1490" t="s">
        <v>157</v>
      </c>
      <c r="R1490" t="s">
        <v>158</v>
      </c>
      <c r="S1490" t="s">
        <v>58</v>
      </c>
    </row>
    <row r="1491" spans="1:19" x14ac:dyDescent="0.45">
      <c r="A1491" t="str">
        <f t="shared" si="96"/>
        <v>17801</v>
      </c>
      <c r="B1491" t="s">
        <v>19</v>
      </c>
      <c r="C1491" t="str">
        <f t="shared" si="97"/>
        <v>27401</v>
      </c>
      <c r="D1491" t="s">
        <v>8388</v>
      </c>
      <c r="E1491" t="str">
        <f>"2294"</f>
        <v>2294</v>
      </c>
      <c r="F1491" t="s">
        <v>8396</v>
      </c>
      <c r="G1491">
        <v>6</v>
      </c>
      <c r="H1491">
        <v>8</v>
      </c>
      <c r="I1491" t="s">
        <v>8397</v>
      </c>
      <c r="K1491" t="s">
        <v>8391</v>
      </c>
      <c r="L1491" t="s">
        <v>25</v>
      </c>
      <c r="M1491" t="s">
        <v>8398</v>
      </c>
      <c r="N1491" t="s">
        <v>8399</v>
      </c>
      <c r="O1491" t="s">
        <v>8400</v>
      </c>
      <c r="P1491" t="s">
        <v>8401</v>
      </c>
      <c r="Q1491" t="s">
        <v>30</v>
      </c>
      <c r="R1491" t="s">
        <v>31</v>
      </c>
      <c r="S1491" t="s">
        <v>104</v>
      </c>
    </row>
    <row r="1492" spans="1:19" x14ac:dyDescent="0.45">
      <c r="A1492" t="str">
        <f t="shared" si="96"/>
        <v>17801</v>
      </c>
      <c r="B1492" t="s">
        <v>19</v>
      </c>
      <c r="C1492" t="str">
        <f t="shared" si="97"/>
        <v>27401</v>
      </c>
      <c r="D1492" t="s">
        <v>8388</v>
      </c>
      <c r="E1492" t="str">
        <f>"2681"</f>
        <v>2681</v>
      </c>
      <c r="F1492" t="s">
        <v>8402</v>
      </c>
      <c r="G1492">
        <v>9</v>
      </c>
      <c r="H1492">
        <v>12</v>
      </c>
      <c r="I1492" t="s">
        <v>8403</v>
      </c>
      <c r="K1492" t="s">
        <v>8391</v>
      </c>
      <c r="L1492" t="s">
        <v>25</v>
      </c>
      <c r="M1492" t="s">
        <v>8404</v>
      </c>
      <c r="N1492" t="s">
        <v>6719</v>
      </c>
      <c r="O1492" t="s">
        <v>8405</v>
      </c>
      <c r="P1492" t="s">
        <v>8406</v>
      </c>
      <c r="Q1492" t="s">
        <v>30</v>
      </c>
      <c r="R1492" t="s">
        <v>31</v>
      </c>
      <c r="S1492" t="s">
        <v>58</v>
      </c>
    </row>
    <row r="1493" spans="1:19" x14ac:dyDescent="0.45">
      <c r="A1493" t="str">
        <f t="shared" si="96"/>
        <v>17801</v>
      </c>
      <c r="B1493" t="s">
        <v>19</v>
      </c>
      <c r="C1493" t="str">
        <f t="shared" si="97"/>
        <v>27401</v>
      </c>
      <c r="D1493" t="s">
        <v>8388</v>
      </c>
      <c r="E1493" t="str">
        <f>"2944"</f>
        <v>2944</v>
      </c>
      <c r="F1493" t="s">
        <v>8407</v>
      </c>
      <c r="G1493" t="s">
        <v>22</v>
      </c>
      <c r="H1493">
        <v>5</v>
      </c>
      <c r="I1493" t="s">
        <v>8408</v>
      </c>
      <c r="K1493" t="s">
        <v>8391</v>
      </c>
      <c r="L1493" t="s">
        <v>25</v>
      </c>
      <c r="M1493" t="s">
        <v>8409</v>
      </c>
      <c r="N1493" t="s">
        <v>8410</v>
      </c>
      <c r="O1493" t="s">
        <v>8411</v>
      </c>
      <c r="P1493" t="s">
        <v>8412</v>
      </c>
      <c r="Q1493" t="s">
        <v>30</v>
      </c>
      <c r="R1493" t="s">
        <v>31</v>
      </c>
      <c r="S1493" t="s">
        <v>32</v>
      </c>
    </row>
    <row r="1494" spans="1:19" x14ac:dyDescent="0.45">
      <c r="A1494" t="str">
        <f t="shared" si="96"/>
        <v>17801</v>
      </c>
      <c r="B1494" t="s">
        <v>19</v>
      </c>
      <c r="C1494" t="str">
        <f t="shared" si="97"/>
        <v>27401</v>
      </c>
      <c r="D1494" t="s">
        <v>8388</v>
      </c>
      <c r="E1494" t="str">
        <f>"3055"</f>
        <v>3055</v>
      </c>
      <c r="F1494" t="s">
        <v>8413</v>
      </c>
      <c r="G1494" t="s">
        <v>22</v>
      </c>
      <c r="H1494">
        <v>5</v>
      </c>
      <c r="I1494" t="s">
        <v>8414</v>
      </c>
      <c r="K1494" t="s">
        <v>8415</v>
      </c>
      <c r="L1494" t="s">
        <v>25</v>
      </c>
      <c r="M1494" t="s">
        <v>8416</v>
      </c>
      <c r="N1494" t="s">
        <v>8417</v>
      </c>
      <c r="O1494" t="s">
        <v>8418</v>
      </c>
      <c r="P1494" t="s">
        <v>8419</v>
      </c>
      <c r="Q1494" t="s">
        <v>30</v>
      </c>
      <c r="R1494" t="s">
        <v>31</v>
      </c>
      <c r="S1494" t="s">
        <v>32</v>
      </c>
    </row>
    <row r="1495" spans="1:19" x14ac:dyDescent="0.45">
      <c r="A1495" t="str">
        <f t="shared" si="96"/>
        <v>17801</v>
      </c>
      <c r="B1495" t="s">
        <v>19</v>
      </c>
      <c r="C1495" t="str">
        <f t="shared" si="97"/>
        <v>27401</v>
      </c>
      <c r="D1495" t="s">
        <v>8388</v>
      </c>
      <c r="E1495" t="str">
        <f>"3056"</f>
        <v>3056</v>
      </c>
      <c r="F1495" t="s">
        <v>8420</v>
      </c>
      <c r="G1495" t="s">
        <v>22</v>
      </c>
      <c r="H1495">
        <v>5</v>
      </c>
      <c r="I1495" t="s">
        <v>8421</v>
      </c>
      <c r="K1495" t="s">
        <v>8422</v>
      </c>
      <c r="L1495" t="s">
        <v>25</v>
      </c>
      <c r="M1495" t="s">
        <v>8423</v>
      </c>
      <c r="N1495" t="s">
        <v>8424</v>
      </c>
      <c r="O1495" t="s">
        <v>8425</v>
      </c>
      <c r="P1495" t="s">
        <v>8426</v>
      </c>
      <c r="Q1495" t="s">
        <v>30</v>
      </c>
      <c r="R1495" t="s">
        <v>31</v>
      </c>
      <c r="S1495" t="s">
        <v>32</v>
      </c>
    </row>
    <row r="1496" spans="1:19" x14ac:dyDescent="0.45">
      <c r="A1496" t="str">
        <f t="shared" si="96"/>
        <v>17801</v>
      </c>
      <c r="B1496" t="s">
        <v>19</v>
      </c>
      <c r="C1496" t="str">
        <f t="shared" si="97"/>
        <v>27401</v>
      </c>
      <c r="D1496" t="s">
        <v>8388</v>
      </c>
      <c r="E1496" t="str">
        <f>"3299"</f>
        <v>3299</v>
      </c>
      <c r="F1496" t="s">
        <v>8427</v>
      </c>
      <c r="G1496" t="s">
        <v>22</v>
      </c>
      <c r="H1496">
        <v>5</v>
      </c>
      <c r="I1496" t="s">
        <v>8428</v>
      </c>
      <c r="K1496" t="s">
        <v>8391</v>
      </c>
      <c r="L1496" t="s">
        <v>25</v>
      </c>
      <c r="M1496" t="s">
        <v>8429</v>
      </c>
      <c r="N1496" t="s">
        <v>8430</v>
      </c>
      <c r="O1496" t="s">
        <v>8431</v>
      </c>
      <c r="P1496" t="s">
        <v>8432</v>
      </c>
      <c r="Q1496" t="s">
        <v>30</v>
      </c>
      <c r="R1496" t="s">
        <v>31</v>
      </c>
      <c r="S1496" t="s">
        <v>32</v>
      </c>
    </row>
    <row r="1497" spans="1:19" x14ac:dyDescent="0.45">
      <c r="A1497" t="str">
        <f t="shared" si="96"/>
        <v>17801</v>
      </c>
      <c r="B1497" t="s">
        <v>19</v>
      </c>
      <c r="C1497" t="str">
        <f t="shared" si="97"/>
        <v>27401</v>
      </c>
      <c r="D1497" t="s">
        <v>8388</v>
      </c>
      <c r="E1497" t="str">
        <f>"3685"</f>
        <v>3685</v>
      </c>
      <c r="F1497" t="s">
        <v>8433</v>
      </c>
      <c r="G1497" t="s">
        <v>22</v>
      </c>
      <c r="H1497">
        <v>5</v>
      </c>
      <c r="I1497" t="s">
        <v>8434</v>
      </c>
      <c r="K1497" t="s">
        <v>8391</v>
      </c>
      <c r="L1497" t="s">
        <v>25</v>
      </c>
      <c r="M1497" t="s">
        <v>8435</v>
      </c>
      <c r="N1497" t="s">
        <v>8436</v>
      </c>
      <c r="O1497" t="s">
        <v>8437</v>
      </c>
      <c r="P1497" t="s">
        <v>8438</v>
      </c>
      <c r="Q1497" t="s">
        <v>30</v>
      </c>
      <c r="R1497" t="s">
        <v>31</v>
      </c>
      <c r="S1497" t="s">
        <v>32</v>
      </c>
    </row>
    <row r="1498" spans="1:19" x14ac:dyDescent="0.45">
      <c r="A1498" t="str">
        <f t="shared" si="96"/>
        <v>17801</v>
      </c>
      <c r="B1498" t="s">
        <v>19</v>
      </c>
      <c r="C1498" t="str">
        <f t="shared" si="97"/>
        <v>27401</v>
      </c>
      <c r="D1498" t="s">
        <v>8388</v>
      </c>
      <c r="E1498" t="str">
        <f>"4080"</f>
        <v>4080</v>
      </c>
      <c r="F1498" t="s">
        <v>8439</v>
      </c>
      <c r="G1498" t="s">
        <v>70</v>
      </c>
      <c r="H1498">
        <v>5</v>
      </c>
      <c r="I1498" t="s">
        <v>8440</v>
      </c>
      <c r="K1498" t="s">
        <v>8391</v>
      </c>
      <c r="L1498" t="s">
        <v>25</v>
      </c>
      <c r="M1498" t="s">
        <v>8441</v>
      </c>
      <c r="N1498" t="s">
        <v>8442</v>
      </c>
      <c r="O1498" t="s">
        <v>8443</v>
      </c>
      <c r="P1498" t="s">
        <v>8444</v>
      </c>
      <c r="Q1498" t="s">
        <v>30</v>
      </c>
      <c r="R1498" t="s">
        <v>31</v>
      </c>
      <c r="S1498" t="s">
        <v>32</v>
      </c>
    </row>
    <row r="1499" spans="1:19" x14ac:dyDescent="0.45">
      <c r="A1499" t="str">
        <f t="shared" si="96"/>
        <v>17801</v>
      </c>
      <c r="B1499" t="s">
        <v>19</v>
      </c>
      <c r="C1499" t="str">
        <f t="shared" si="97"/>
        <v>27401</v>
      </c>
      <c r="D1499" t="s">
        <v>8388</v>
      </c>
      <c r="E1499" t="str">
        <f>"4081"</f>
        <v>4081</v>
      </c>
      <c r="F1499" t="s">
        <v>8445</v>
      </c>
      <c r="G1499">
        <v>9</v>
      </c>
      <c r="H1499">
        <v>12</v>
      </c>
      <c r="I1499" t="s">
        <v>8446</v>
      </c>
      <c r="K1499" t="s">
        <v>8391</v>
      </c>
      <c r="L1499" t="s">
        <v>25</v>
      </c>
      <c r="M1499" t="s">
        <v>8447</v>
      </c>
      <c r="N1499" t="s">
        <v>8448</v>
      </c>
      <c r="O1499" t="s">
        <v>8449</v>
      </c>
      <c r="P1499" t="s">
        <v>8450</v>
      </c>
      <c r="Q1499" t="s">
        <v>30</v>
      </c>
      <c r="R1499" t="s">
        <v>31</v>
      </c>
      <c r="S1499" t="s">
        <v>58</v>
      </c>
    </row>
    <row r="1500" spans="1:19" x14ac:dyDescent="0.45">
      <c r="A1500" t="str">
        <f t="shared" si="96"/>
        <v>17801</v>
      </c>
      <c r="B1500" t="s">
        <v>19</v>
      </c>
      <c r="C1500" t="str">
        <f t="shared" si="97"/>
        <v>27401</v>
      </c>
      <c r="D1500" t="s">
        <v>8388</v>
      </c>
      <c r="E1500" t="str">
        <f>"4156"</f>
        <v>4156</v>
      </c>
      <c r="F1500" t="s">
        <v>8451</v>
      </c>
      <c r="G1500">
        <v>6</v>
      </c>
      <c r="H1500">
        <v>8</v>
      </c>
      <c r="I1500" t="s">
        <v>8452</v>
      </c>
      <c r="K1500" t="s">
        <v>8415</v>
      </c>
      <c r="L1500" t="s">
        <v>25</v>
      </c>
      <c r="M1500" t="s">
        <v>8453</v>
      </c>
      <c r="N1500" t="s">
        <v>8454</v>
      </c>
      <c r="O1500" t="s">
        <v>8455</v>
      </c>
      <c r="P1500" t="s">
        <v>8456</v>
      </c>
      <c r="Q1500" t="s">
        <v>30</v>
      </c>
      <c r="R1500" t="s">
        <v>31</v>
      </c>
      <c r="S1500" t="s">
        <v>104</v>
      </c>
    </row>
    <row r="1501" spans="1:19" x14ac:dyDescent="0.45">
      <c r="A1501" t="str">
        <f t="shared" si="96"/>
        <v>17801</v>
      </c>
      <c r="B1501" t="s">
        <v>19</v>
      </c>
      <c r="C1501" t="str">
        <f t="shared" si="97"/>
        <v>27401</v>
      </c>
      <c r="D1501" t="s">
        <v>8388</v>
      </c>
      <c r="E1501" t="str">
        <f>"4189"</f>
        <v>4189</v>
      </c>
      <c r="F1501" t="s">
        <v>8457</v>
      </c>
      <c r="G1501" t="s">
        <v>70</v>
      </c>
      <c r="H1501">
        <v>5</v>
      </c>
      <c r="I1501" t="s">
        <v>8458</v>
      </c>
      <c r="K1501" t="s">
        <v>8391</v>
      </c>
      <c r="L1501" t="s">
        <v>25</v>
      </c>
      <c r="M1501" t="s">
        <v>8459</v>
      </c>
      <c r="N1501" t="s">
        <v>8460</v>
      </c>
      <c r="O1501" t="s">
        <v>8461</v>
      </c>
      <c r="P1501" t="s">
        <v>8462</v>
      </c>
      <c r="Q1501" t="s">
        <v>30</v>
      </c>
      <c r="R1501" t="s">
        <v>31</v>
      </c>
      <c r="S1501" t="s">
        <v>32</v>
      </c>
    </row>
    <row r="1502" spans="1:19" x14ac:dyDescent="0.45">
      <c r="A1502" t="str">
        <f t="shared" si="96"/>
        <v>17801</v>
      </c>
      <c r="B1502" t="s">
        <v>19</v>
      </c>
      <c r="C1502" t="str">
        <f t="shared" si="97"/>
        <v>27401</v>
      </c>
      <c r="D1502" t="s">
        <v>8388</v>
      </c>
      <c r="E1502" t="str">
        <f>"4219"</f>
        <v>4219</v>
      </c>
      <c r="F1502" t="s">
        <v>8463</v>
      </c>
      <c r="G1502">
        <v>6</v>
      </c>
      <c r="H1502">
        <v>8</v>
      </c>
      <c r="I1502" t="s">
        <v>8464</v>
      </c>
      <c r="K1502" t="s">
        <v>8391</v>
      </c>
      <c r="L1502" t="s">
        <v>25</v>
      </c>
      <c r="M1502" t="s">
        <v>8465</v>
      </c>
      <c r="N1502" t="s">
        <v>8466</v>
      </c>
      <c r="O1502" t="s">
        <v>8467</v>
      </c>
      <c r="P1502" t="s">
        <v>8468</v>
      </c>
      <c r="Q1502" t="s">
        <v>30</v>
      </c>
      <c r="R1502" t="s">
        <v>31</v>
      </c>
      <c r="S1502" t="s">
        <v>104</v>
      </c>
    </row>
    <row r="1503" spans="1:19" x14ac:dyDescent="0.45">
      <c r="A1503" t="str">
        <f t="shared" si="96"/>
        <v>17801</v>
      </c>
      <c r="B1503" t="s">
        <v>19</v>
      </c>
      <c r="C1503" t="str">
        <f t="shared" si="97"/>
        <v>27401</v>
      </c>
      <c r="D1503" t="s">
        <v>8388</v>
      </c>
      <c r="E1503" t="str">
        <f>"4307"</f>
        <v>4307</v>
      </c>
      <c r="F1503" t="s">
        <v>8469</v>
      </c>
      <c r="G1503" t="s">
        <v>70</v>
      </c>
      <c r="H1503">
        <v>5</v>
      </c>
      <c r="I1503" t="s">
        <v>8470</v>
      </c>
      <c r="K1503" t="s">
        <v>8391</v>
      </c>
      <c r="L1503" t="s">
        <v>25</v>
      </c>
      <c r="M1503" t="s">
        <v>8471</v>
      </c>
      <c r="N1503" t="s">
        <v>8472</v>
      </c>
      <c r="O1503" t="s">
        <v>8473</v>
      </c>
      <c r="P1503" t="s">
        <v>8474</v>
      </c>
      <c r="Q1503" t="s">
        <v>30</v>
      </c>
      <c r="R1503" t="s">
        <v>31</v>
      </c>
      <c r="S1503" t="s">
        <v>32</v>
      </c>
    </row>
    <row r="1504" spans="1:19" x14ac:dyDescent="0.45">
      <c r="A1504" t="str">
        <f t="shared" si="96"/>
        <v>17801</v>
      </c>
      <c r="B1504" t="s">
        <v>19</v>
      </c>
      <c r="C1504" t="str">
        <f t="shared" si="97"/>
        <v>27401</v>
      </c>
      <c r="D1504" t="s">
        <v>8388</v>
      </c>
      <c r="E1504" t="str">
        <f>"4387"</f>
        <v>4387</v>
      </c>
      <c r="F1504" t="s">
        <v>8475</v>
      </c>
      <c r="G1504">
        <v>6</v>
      </c>
      <c r="H1504">
        <v>8</v>
      </c>
      <c r="I1504" t="s">
        <v>8476</v>
      </c>
      <c r="K1504" t="s">
        <v>8391</v>
      </c>
      <c r="L1504" t="s">
        <v>25</v>
      </c>
      <c r="M1504" t="s">
        <v>8477</v>
      </c>
      <c r="N1504" t="s">
        <v>8478</v>
      </c>
      <c r="O1504" t="s">
        <v>8479</v>
      </c>
      <c r="P1504" t="s">
        <v>8480</v>
      </c>
      <c r="Q1504" t="s">
        <v>30</v>
      </c>
      <c r="R1504" t="s">
        <v>31</v>
      </c>
      <c r="S1504" t="s">
        <v>104</v>
      </c>
    </row>
    <row r="1505" spans="1:19" x14ac:dyDescent="0.45">
      <c r="A1505" t="str">
        <f t="shared" si="96"/>
        <v>17801</v>
      </c>
      <c r="B1505" t="s">
        <v>19</v>
      </c>
      <c r="C1505" t="str">
        <f t="shared" ref="C1505:C1516" si="98">"27402"</f>
        <v>27402</v>
      </c>
      <c r="D1505" t="s">
        <v>2863</v>
      </c>
      <c r="E1505" t="str">
        <f>"2257"</f>
        <v>2257</v>
      </c>
      <c r="F1505" t="s">
        <v>8481</v>
      </c>
      <c r="G1505" t="s">
        <v>22</v>
      </c>
      <c r="H1505">
        <v>5</v>
      </c>
      <c r="I1505" t="s">
        <v>8482</v>
      </c>
      <c r="K1505" t="s">
        <v>2276</v>
      </c>
      <c r="L1505" t="s">
        <v>25</v>
      </c>
      <c r="M1505">
        <v>98444</v>
      </c>
      <c r="N1505" t="s">
        <v>8483</v>
      </c>
      <c r="O1505" t="s">
        <v>8484</v>
      </c>
      <c r="P1505" t="s">
        <v>8485</v>
      </c>
      <c r="Q1505" t="s">
        <v>30</v>
      </c>
      <c r="R1505" t="s">
        <v>31</v>
      </c>
      <c r="S1505" t="s">
        <v>32</v>
      </c>
    </row>
    <row r="1506" spans="1:19" x14ac:dyDescent="0.45">
      <c r="A1506" t="str">
        <f t="shared" si="96"/>
        <v>17801</v>
      </c>
      <c r="B1506" t="s">
        <v>19</v>
      </c>
      <c r="C1506" t="str">
        <f t="shared" si="98"/>
        <v>27402</v>
      </c>
      <c r="D1506" t="s">
        <v>2863</v>
      </c>
      <c r="E1506" t="str">
        <f>"2398"</f>
        <v>2398</v>
      </c>
      <c r="F1506" t="s">
        <v>8486</v>
      </c>
      <c r="G1506" t="s">
        <v>70</v>
      </c>
      <c r="H1506">
        <v>5</v>
      </c>
      <c r="I1506" t="s">
        <v>8487</v>
      </c>
      <c r="K1506" t="s">
        <v>2276</v>
      </c>
      <c r="L1506" t="s">
        <v>25</v>
      </c>
      <c r="M1506">
        <v>98446</v>
      </c>
      <c r="N1506" t="s">
        <v>8488</v>
      </c>
      <c r="O1506" t="s">
        <v>8489</v>
      </c>
      <c r="P1506" t="s">
        <v>8490</v>
      </c>
      <c r="Q1506" t="s">
        <v>30</v>
      </c>
      <c r="R1506" t="s">
        <v>31</v>
      </c>
      <c r="S1506" t="s">
        <v>32</v>
      </c>
    </row>
    <row r="1507" spans="1:19" x14ac:dyDescent="0.45">
      <c r="A1507" t="str">
        <f t="shared" si="96"/>
        <v>17801</v>
      </c>
      <c r="B1507" t="s">
        <v>19</v>
      </c>
      <c r="C1507" t="str">
        <f t="shared" si="98"/>
        <v>27402</v>
      </c>
      <c r="D1507" t="s">
        <v>2863</v>
      </c>
      <c r="E1507" t="str">
        <f>"2876"</f>
        <v>2876</v>
      </c>
      <c r="F1507" t="s">
        <v>8491</v>
      </c>
      <c r="G1507">
        <v>9</v>
      </c>
      <c r="H1507">
        <v>12</v>
      </c>
      <c r="I1507" t="s">
        <v>8492</v>
      </c>
      <c r="K1507" t="s">
        <v>7816</v>
      </c>
      <c r="L1507" t="s">
        <v>25</v>
      </c>
      <c r="M1507" t="s">
        <v>8493</v>
      </c>
      <c r="N1507" t="s">
        <v>8494</v>
      </c>
      <c r="O1507" t="s">
        <v>8495</v>
      </c>
      <c r="P1507" t="s">
        <v>8496</v>
      </c>
      <c r="Q1507" t="s">
        <v>30</v>
      </c>
      <c r="R1507" t="s">
        <v>31</v>
      </c>
      <c r="S1507" t="s">
        <v>58</v>
      </c>
    </row>
    <row r="1508" spans="1:19" x14ac:dyDescent="0.45">
      <c r="A1508" t="str">
        <f t="shared" si="96"/>
        <v>17801</v>
      </c>
      <c r="B1508" t="s">
        <v>19</v>
      </c>
      <c r="C1508" t="str">
        <f t="shared" si="98"/>
        <v>27402</v>
      </c>
      <c r="D1508" t="s">
        <v>2863</v>
      </c>
      <c r="E1508" t="str">
        <f>"2945"</f>
        <v>2945</v>
      </c>
      <c r="F1508" t="s">
        <v>8497</v>
      </c>
      <c r="G1508" t="s">
        <v>70</v>
      </c>
      <c r="H1508">
        <v>5</v>
      </c>
      <c r="I1508" t="s">
        <v>8498</v>
      </c>
      <c r="K1508" t="s">
        <v>2276</v>
      </c>
      <c r="L1508" t="s">
        <v>25</v>
      </c>
      <c r="M1508">
        <v>98444</v>
      </c>
      <c r="N1508" t="s">
        <v>8499</v>
      </c>
      <c r="O1508" t="s">
        <v>8500</v>
      </c>
      <c r="P1508" t="s">
        <v>8501</v>
      </c>
      <c r="Q1508" t="s">
        <v>30</v>
      </c>
      <c r="R1508" t="s">
        <v>31</v>
      </c>
      <c r="S1508" t="s">
        <v>32</v>
      </c>
    </row>
    <row r="1509" spans="1:19" x14ac:dyDescent="0.45">
      <c r="A1509" t="str">
        <f t="shared" si="96"/>
        <v>17801</v>
      </c>
      <c r="B1509" t="s">
        <v>19</v>
      </c>
      <c r="C1509" t="str">
        <f t="shared" si="98"/>
        <v>27402</v>
      </c>
      <c r="D1509" t="s">
        <v>2863</v>
      </c>
      <c r="E1509" t="str">
        <f>"3000"</f>
        <v>3000</v>
      </c>
      <c r="F1509" t="s">
        <v>8502</v>
      </c>
      <c r="G1509" t="s">
        <v>70</v>
      </c>
      <c r="H1509">
        <v>5</v>
      </c>
      <c r="I1509" t="s">
        <v>8503</v>
      </c>
      <c r="K1509" t="s">
        <v>2276</v>
      </c>
      <c r="L1509" t="s">
        <v>25</v>
      </c>
      <c r="M1509" t="s">
        <v>7841</v>
      </c>
      <c r="N1509" t="s">
        <v>8504</v>
      </c>
      <c r="O1509" t="s">
        <v>8505</v>
      </c>
      <c r="P1509" t="s">
        <v>8506</v>
      </c>
      <c r="Q1509" t="s">
        <v>30</v>
      </c>
      <c r="R1509" t="s">
        <v>31</v>
      </c>
      <c r="S1509" t="s">
        <v>32</v>
      </c>
    </row>
    <row r="1510" spans="1:19" x14ac:dyDescent="0.45">
      <c r="A1510" t="str">
        <f t="shared" si="96"/>
        <v>17801</v>
      </c>
      <c r="B1510" t="s">
        <v>19</v>
      </c>
      <c r="C1510" t="str">
        <f t="shared" si="98"/>
        <v>27402</v>
      </c>
      <c r="D1510" t="s">
        <v>2863</v>
      </c>
      <c r="E1510" t="str">
        <f>"3180"</f>
        <v>3180</v>
      </c>
      <c r="F1510" t="s">
        <v>8507</v>
      </c>
      <c r="G1510" t="s">
        <v>22</v>
      </c>
      <c r="H1510">
        <v>5</v>
      </c>
      <c r="I1510" t="s">
        <v>8508</v>
      </c>
      <c r="K1510" t="s">
        <v>2276</v>
      </c>
      <c r="L1510" t="s">
        <v>25</v>
      </c>
      <c r="M1510">
        <v>98444</v>
      </c>
      <c r="N1510" t="s">
        <v>8509</v>
      </c>
      <c r="O1510" t="s">
        <v>8510</v>
      </c>
      <c r="P1510" t="s">
        <v>8511</v>
      </c>
      <c r="Q1510" t="s">
        <v>30</v>
      </c>
      <c r="R1510" t="s">
        <v>31</v>
      </c>
      <c r="S1510" t="s">
        <v>32</v>
      </c>
    </row>
    <row r="1511" spans="1:19" x14ac:dyDescent="0.45">
      <c r="A1511" t="str">
        <f t="shared" si="96"/>
        <v>17801</v>
      </c>
      <c r="B1511" t="s">
        <v>19</v>
      </c>
      <c r="C1511" t="str">
        <f t="shared" si="98"/>
        <v>27402</v>
      </c>
      <c r="D1511" t="s">
        <v>2863</v>
      </c>
      <c r="E1511" t="str">
        <f>"3300"</f>
        <v>3300</v>
      </c>
      <c r="F1511" t="s">
        <v>8512</v>
      </c>
      <c r="G1511">
        <v>6</v>
      </c>
      <c r="H1511">
        <v>8</v>
      </c>
      <c r="I1511" t="s">
        <v>8513</v>
      </c>
      <c r="K1511" t="s">
        <v>2276</v>
      </c>
      <c r="L1511" t="s">
        <v>25</v>
      </c>
      <c r="M1511" t="s">
        <v>8514</v>
      </c>
      <c r="N1511" t="s">
        <v>8515</v>
      </c>
      <c r="O1511" t="s">
        <v>8516</v>
      </c>
      <c r="P1511" t="s">
        <v>8517</v>
      </c>
      <c r="Q1511" t="s">
        <v>30</v>
      </c>
      <c r="R1511" t="s">
        <v>31</v>
      </c>
      <c r="S1511" t="s">
        <v>104</v>
      </c>
    </row>
    <row r="1512" spans="1:19" x14ac:dyDescent="0.45">
      <c r="A1512" t="str">
        <f t="shared" si="96"/>
        <v>17801</v>
      </c>
      <c r="B1512" t="s">
        <v>19</v>
      </c>
      <c r="C1512" t="str">
        <f t="shared" si="98"/>
        <v>27402</v>
      </c>
      <c r="D1512" t="s">
        <v>2863</v>
      </c>
      <c r="E1512" t="str">
        <f>"3301"</f>
        <v>3301</v>
      </c>
      <c r="F1512" t="s">
        <v>8518</v>
      </c>
      <c r="G1512" t="s">
        <v>22</v>
      </c>
      <c r="H1512">
        <v>5</v>
      </c>
      <c r="I1512" t="s">
        <v>8519</v>
      </c>
      <c r="K1512" t="s">
        <v>2276</v>
      </c>
      <c r="L1512" t="s">
        <v>25</v>
      </c>
      <c r="M1512" t="s">
        <v>8520</v>
      </c>
      <c r="N1512" t="s">
        <v>8521</v>
      </c>
      <c r="O1512" t="s">
        <v>8522</v>
      </c>
      <c r="P1512" t="s">
        <v>8523</v>
      </c>
      <c r="Q1512" t="s">
        <v>30</v>
      </c>
      <c r="R1512" t="s">
        <v>31</v>
      </c>
      <c r="S1512" t="s">
        <v>32</v>
      </c>
    </row>
    <row r="1513" spans="1:19" x14ac:dyDescent="0.45">
      <c r="A1513" t="str">
        <f t="shared" si="96"/>
        <v>17801</v>
      </c>
      <c r="B1513" t="s">
        <v>19</v>
      </c>
      <c r="C1513" t="str">
        <f t="shared" si="98"/>
        <v>27402</v>
      </c>
      <c r="D1513" t="s">
        <v>2863</v>
      </c>
      <c r="E1513" t="str">
        <f>"3401"</f>
        <v>3401</v>
      </c>
      <c r="F1513" t="s">
        <v>8524</v>
      </c>
      <c r="G1513">
        <v>6</v>
      </c>
      <c r="H1513">
        <v>8</v>
      </c>
      <c r="I1513" t="s">
        <v>8525</v>
      </c>
      <c r="K1513" t="s">
        <v>7816</v>
      </c>
      <c r="L1513" t="s">
        <v>25</v>
      </c>
      <c r="M1513" t="s">
        <v>8526</v>
      </c>
      <c r="N1513" t="s">
        <v>8527</v>
      </c>
      <c r="O1513" t="s">
        <v>8528</v>
      </c>
      <c r="P1513" t="s">
        <v>8529</v>
      </c>
      <c r="Q1513" t="s">
        <v>30</v>
      </c>
      <c r="R1513" t="s">
        <v>31</v>
      </c>
      <c r="S1513" t="s">
        <v>104</v>
      </c>
    </row>
    <row r="1514" spans="1:19" x14ac:dyDescent="0.45">
      <c r="A1514" t="str">
        <f t="shared" si="96"/>
        <v>17801</v>
      </c>
      <c r="B1514" t="s">
        <v>19</v>
      </c>
      <c r="C1514" t="str">
        <f t="shared" si="98"/>
        <v>27402</v>
      </c>
      <c r="D1514" t="s">
        <v>2863</v>
      </c>
      <c r="E1514" t="str">
        <f>"3532"</f>
        <v>3532</v>
      </c>
      <c r="F1514" t="s">
        <v>8530</v>
      </c>
      <c r="G1514" t="s">
        <v>70</v>
      </c>
      <c r="H1514">
        <v>5</v>
      </c>
      <c r="I1514" t="s">
        <v>8531</v>
      </c>
      <c r="K1514" t="s">
        <v>7816</v>
      </c>
      <c r="L1514" t="s">
        <v>25</v>
      </c>
      <c r="M1514" t="s">
        <v>8532</v>
      </c>
      <c r="N1514" t="s">
        <v>8533</v>
      </c>
      <c r="O1514" t="s">
        <v>8534</v>
      </c>
      <c r="P1514" t="s">
        <v>8535</v>
      </c>
      <c r="Q1514" t="s">
        <v>30</v>
      </c>
      <c r="R1514" t="s">
        <v>31</v>
      </c>
      <c r="S1514" t="s">
        <v>32</v>
      </c>
    </row>
    <row r="1515" spans="1:19" x14ac:dyDescent="0.45">
      <c r="A1515" t="str">
        <f t="shared" si="96"/>
        <v>17801</v>
      </c>
      <c r="B1515" t="s">
        <v>19</v>
      </c>
      <c r="C1515" t="str">
        <f t="shared" si="98"/>
        <v>27402</v>
      </c>
      <c r="D1515" t="s">
        <v>2863</v>
      </c>
      <c r="E1515" t="str">
        <f>"3648"</f>
        <v>3648</v>
      </c>
      <c r="F1515" t="s">
        <v>8536</v>
      </c>
      <c r="G1515">
        <v>9</v>
      </c>
      <c r="H1515">
        <v>12</v>
      </c>
      <c r="I1515" t="s">
        <v>8537</v>
      </c>
      <c r="K1515" t="s">
        <v>2276</v>
      </c>
      <c r="L1515" t="s">
        <v>25</v>
      </c>
      <c r="M1515" t="s">
        <v>8538</v>
      </c>
      <c r="N1515" t="s">
        <v>8539</v>
      </c>
      <c r="O1515" t="s">
        <v>8540</v>
      </c>
      <c r="P1515" t="s">
        <v>8496</v>
      </c>
      <c r="Q1515" t="s">
        <v>30</v>
      </c>
      <c r="R1515" t="s">
        <v>31</v>
      </c>
      <c r="S1515" t="s">
        <v>58</v>
      </c>
    </row>
    <row r="1516" spans="1:19" x14ac:dyDescent="0.45">
      <c r="A1516" t="str">
        <f t="shared" si="96"/>
        <v>17801</v>
      </c>
      <c r="B1516" t="s">
        <v>19</v>
      </c>
      <c r="C1516" t="str">
        <f t="shared" si="98"/>
        <v>27402</v>
      </c>
      <c r="D1516" t="s">
        <v>2863</v>
      </c>
      <c r="E1516" t="str">
        <f>"4063"</f>
        <v>4063</v>
      </c>
      <c r="F1516" t="s">
        <v>8541</v>
      </c>
      <c r="G1516">
        <v>8</v>
      </c>
      <c r="H1516">
        <v>12</v>
      </c>
      <c r="I1516" t="s">
        <v>8542</v>
      </c>
      <c r="K1516" t="s">
        <v>2276</v>
      </c>
      <c r="L1516" t="s">
        <v>25</v>
      </c>
      <c r="M1516" t="s">
        <v>8543</v>
      </c>
      <c r="N1516" t="s">
        <v>8544</v>
      </c>
      <c r="O1516" t="s">
        <v>8545</v>
      </c>
      <c r="P1516" t="s">
        <v>8546</v>
      </c>
      <c r="Q1516" t="s">
        <v>157</v>
      </c>
      <c r="R1516" t="s">
        <v>158</v>
      </c>
      <c r="S1516" t="s">
        <v>58</v>
      </c>
    </row>
    <row r="1517" spans="1:19" x14ac:dyDescent="0.45">
      <c r="A1517" t="str">
        <f t="shared" si="96"/>
        <v>17801</v>
      </c>
      <c r="B1517" t="s">
        <v>19</v>
      </c>
      <c r="C1517" t="str">
        <f t="shared" ref="C1517:C1539" si="99">"27403"</f>
        <v>27403</v>
      </c>
      <c r="D1517" t="s">
        <v>2606</v>
      </c>
      <c r="E1517" t="str">
        <f>"1510"</f>
        <v>1510</v>
      </c>
      <c r="F1517" t="s">
        <v>8547</v>
      </c>
      <c r="G1517">
        <v>9</v>
      </c>
      <c r="H1517">
        <v>12</v>
      </c>
      <c r="I1517" t="s">
        <v>8548</v>
      </c>
      <c r="K1517" t="s">
        <v>2609</v>
      </c>
      <c r="L1517" t="s">
        <v>25</v>
      </c>
      <c r="M1517" t="s">
        <v>8549</v>
      </c>
      <c r="N1517" t="s">
        <v>8550</v>
      </c>
      <c r="O1517" t="s">
        <v>8551</v>
      </c>
      <c r="P1517" t="s">
        <v>8552</v>
      </c>
      <c r="Q1517" t="s">
        <v>157</v>
      </c>
      <c r="R1517" t="s">
        <v>158</v>
      </c>
      <c r="S1517" t="s">
        <v>159</v>
      </c>
    </row>
    <row r="1518" spans="1:19" x14ac:dyDescent="0.45">
      <c r="A1518" t="str">
        <f t="shared" si="96"/>
        <v>17801</v>
      </c>
      <c r="B1518" t="s">
        <v>19</v>
      </c>
      <c r="C1518" t="str">
        <f t="shared" si="99"/>
        <v>27403</v>
      </c>
      <c r="D1518" t="s">
        <v>2606</v>
      </c>
      <c r="E1518" t="str">
        <f>"1560"</f>
        <v>1560</v>
      </c>
      <c r="F1518" t="s">
        <v>8553</v>
      </c>
      <c r="G1518" t="s">
        <v>22</v>
      </c>
      <c r="H1518" t="s">
        <v>22</v>
      </c>
      <c r="I1518" t="s">
        <v>8554</v>
      </c>
      <c r="K1518" t="s">
        <v>2276</v>
      </c>
      <c r="L1518" t="s">
        <v>25</v>
      </c>
      <c r="M1518" t="s">
        <v>7841</v>
      </c>
      <c r="N1518" t="s">
        <v>8555</v>
      </c>
      <c r="O1518" t="s">
        <v>8556</v>
      </c>
      <c r="P1518" t="s">
        <v>8557</v>
      </c>
      <c r="Q1518" t="s">
        <v>30</v>
      </c>
      <c r="R1518" t="s">
        <v>31</v>
      </c>
      <c r="S1518" t="s">
        <v>1248</v>
      </c>
    </row>
    <row r="1519" spans="1:19" x14ac:dyDescent="0.45">
      <c r="A1519" t="str">
        <f t="shared" si="96"/>
        <v>17801</v>
      </c>
      <c r="B1519" t="s">
        <v>19</v>
      </c>
      <c r="C1519" t="str">
        <f t="shared" si="99"/>
        <v>27403</v>
      </c>
      <c r="D1519" t="s">
        <v>2606</v>
      </c>
      <c r="E1519" t="str">
        <f>"2399"</f>
        <v>2399</v>
      </c>
      <c r="F1519" t="s">
        <v>8558</v>
      </c>
      <c r="G1519" t="s">
        <v>70</v>
      </c>
      <c r="H1519">
        <v>5</v>
      </c>
      <c r="I1519" t="s">
        <v>8559</v>
      </c>
      <c r="K1519" t="s">
        <v>2609</v>
      </c>
      <c r="L1519" t="s">
        <v>25</v>
      </c>
      <c r="M1519" t="s">
        <v>8560</v>
      </c>
      <c r="N1519" t="s">
        <v>8561</v>
      </c>
      <c r="O1519" t="s">
        <v>8562</v>
      </c>
      <c r="P1519" t="s">
        <v>8563</v>
      </c>
      <c r="Q1519" t="s">
        <v>30</v>
      </c>
      <c r="R1519" t="s">
        <v>31</v>
      </c>
      <c r="S1519" t="s">
        <v>32</v>
      </c>
    </row>
    <row r="1520" spans="1:19" x14ac:dyDescent="0.45">
      <c r="A1520" t="str">
        <f t="shared" si="96"/>
        <v>17801</v>
      </c>
      <c r="B1520" t="s">
        <v>19</v>
      </c>
      <c r="C1520" t="str">
        <f t="shared" si="99"/>
        <v>27403</v>
      </c>
      <c r="D1520" t="s">
        <v>2606</v>
      </c>
      <c r="E1520" t="str">
        <f>"2543"</f>
        <v>2543</v>
      </c>
      <c r="F1520" t="s">
        <v>8564</v>
      </c>
      <c r="G1520" t="s">
        <v>70</v>
      </c>
      <c r="H1520">
        <v>5</v>
      </c>
      <c r="I1520" t="s">
        <v>8565</v>
      </c>
      <c r="K1520" t="s">
        <v>8566</v>
      </c>
      <c r="L1520" t="s">
        <v>25</v>
      </c>
      <c r="M1520" t="s">
        <v>8567</v>
      </c>
      <c r="N1520" t="s">
        <v>8568</v>
      </c>
      <c r="O1520" t="s">
        <v>8569</v>
      </c>
      <c r="P1520" t="s">
        <v>8570</v>
      </c>
      <c r="Q1520" t="s">
        <v>30</v>
      </c>
      <c r="R1520" t="s">
        <v>31</v>
      </c>
      <c r="S1520" t="s">
        <v>32</v>
      </c>
    </row>
    <row r="1521" spans="1:19" x14ac:dyDescent="0.45">
      <c r="A1521" t="str">
        <f t="shared" si="96"/>
        <v>17801</v>
      </c>
      <c r="B1521" t="s">
        <v>19</v>
      </c>
      <c r="C1521" t="str">
        <f t="shared" si="99"/>
        <v>27403</v>
      </c>
      <c r="D1521" t="s">
        <v>2606</v>
      </c>
      <c r="E1521" t="str">
        <f>"2576"</f>
        <v>2576</v>
      </c>
      <c r="F1521" t="s">
        <v>8571</v>
      </c>
      <c r="G1521" t="s">
        <v>70</v>
      </c>
      <c r="H1521">
        <v>5</v>
      </c>
      <c r="I1521" t="s">
        <v>8572</v>
      </c>
      <c r="K1521" t="s">
        <v>2276</v>
      </c>
      <c r="L1521" t="s">
        <v>25</v>
      </c>
      <c r="M1521" t="s">
        <v>8573</v>
      </c>
      <c r="N1521" t="s">
        <v>8574</v>
      </c>
      <c r="O1521" t="s">
        <v>8575</v>
      </c>
      <c r="P1521" t="s">
        <v>8576</v>
      </c>
      <c r="Q1521" t="s">
        <v>30</v>
      </c>
      <c r="R1521" t="s">
        <v>31</v>
      </c>
      <c r="S1521" t="s">
        <v>32</v>
      </c>
    </row>
    <row r="1522" spans="1:19" x14ac:dyDescent="0.45">
      <c r="A1522" t="str">
        <f t="shared" si="96"/>
        <v>17801</v>
      </c>
      <c r="B1522" t="s">
        <v>19</v>
      </c>
      <c r="C1522" t="str">
        <f t="shared" si="99"/>
        <v>27403</v>
      </c>
      <c r="D1522" t="s">
        <v>2606</v>
      </c>
      <c r="E1522" t="str">
        <f>"2748"</f>
        <v>2748</v>
      </c>
      <c r="F1522" t="s">
        <v>8577</v>
      </c>
      <c r="G1522" t="s">
        <v>70</v>
      </c>
      <c r="H1522">
        <v>5</v>
      </c>
      <c r="I1522" t="s">
        <v>8578</v>
      </c>
      <c r="K1522" t="s">
        <v>8579</v>
      </c>
      <c r="L1522" t="s">
        <v>25</v>
      </c>
      <c r="M1522" t="s">
        <v>8580</v>
      </c>
      <c r="N1522" t="s">
        <v>8581</v>
      </c>
      <c r="O1522" t="s">
        <v>8582</v>
      </c>
      <c r="P1522" t="s">
        <v>8583</v>
      </c>
      <c r="Q1522" t="s">
        <v>30</v>
      </c>
      <c r="R1522" t="s">
        <v>31</v>
      </c>
      <c r="S1522" t="s">
        <v>32</v>
      </c>
    </row>
    <row r="1523" spans="1:19" x14ac:dyDescent="0.45">
      <c r="A1523" t="str">
        <f t="shared" si="96"/>
        <v>17801</v>
      </c>
      <c r="B1523" t="s">
        <v>19</v>
      </c>
      <c r="C1523" t="str">
        <f t="shared" si="99"/>
        <v>27403</v>
      </c>
      <c r="D1523" t="s">
        <v>2606</v>
      </c>
      <c r="E1523" t="str">
        <f>"2807"</f>
        <v>2807</v>
      </c>
      <c r="F1523" t="s">
        <v>8584</v>
      </c>
      <c r="G1523">
        <v>9</v>
      </c>
      <c r="H1523">
        <v>12</v>
      </c>
      <c r="I1523" t="s">
        <v>8585</v>
      </c>
      <c r="K1523" t="s">
        <v>2609</v>
      </c>
      <c r="L1523" t="s">
        <v>25</v>
      </c>
      <c r="M1523">
        <v>98387</v>
      </c>
      <c r="N1523" t="s">
        <v>8586</v>
      </c>
      <c r="O1523" t="s">
        <v>8587</v>
      </c>
      <c r="P1523" t="s">
        <v>8588</v>
      </c>
      <c r="Q1523" t="s">
        <v>30</v>
      </c>
      <c r="R1523" t="s">
        <v>31</v>
      </c>
      <c r="S1523" t="s">
        <v>58</v>
      </c>
    </row>
    <row r="1524" spans="1:19" x14ac:dyDescent="0.45">
      <c r="A1524" t="str">
        <f t="shared" si="96"/>
        <v>17801</v>
      </c>
      <c r="B1524" t="s">
        <v>19</v>
      </c>
      <c r="C1524" t="str">
        <f t="shared" si="99"/>
        <v>27403</v>
      </c>
      <c r="D1524" t="s">
        <v>2606</v>
      </c>
      <c r="E1524" t="str">
        <f>"2877"</f>
        <v>2877</v>
      </c>
      <c r="F1524" t="s">
        <v>8589</v>
      </c>
      <c r="G1524" t="s">
        <v>70</v>
      </c>
      <c r="H1524">
        <v>8</v>
      </c>
      <c r="I1524" t="s">
        <v>8590</v>
      </c>
      <c r="K1524" t="s">
        <v>2609</v>
      </c>
      <c r="L1524" t="s">
        <v>25</v>
      </c>
      <c r="M1524" t="s">
        <v>8591</v>
      </c>
      <c r="N1524" t="s">
        <v>8592</v>
      </c>
      <c r="O1524" t="s">
        <v>8593</v>
      </c>
      <c r="P1524" t="s">
        <v>8594</v>
      </c>
      <c r="Q1524" t="s">
        <v>30</v>
      </c>
      <c r="R1524" t="s">
        <v>31</v>
      </c>
      <c r="S1524" t="s">
        <v>32</v>
      </c>
    </row>
    <row r="1525" spans="1:19" x14ac:dyDescent="0.45">
      <c r="A1525" t="str">
        <f t="shared" si="96"/>
        <v>17801</v>
      </c>
      <c r="B1525" t="s">
        <v>19</v>
      </c>
      <c r="C1525" t="str">
        <f t="shared" si="99"/>
        <v>27403</v>
      </c>
      <c r="D1525" t="s">
        <v>2606</v>
      </c>
      <c r="E1525" t="str">
        <f>"3250"</f>
        <v>3250</v>
      </c>
      <c r="F1525" t="s">
        <v>8595</v>
      </c>
      <c r="G1525">
        <v>6</v>
      </c>
      <c r="H1525">
        <v>8</v>
      </c>
      <c r="I1525" t="s">
        <v>8596</v>
      </c>
      <c r="K1525" t="s">
        <v>2609</v>
      </c>
      <c r="L1525" t="s">
        <v>25</v>
      </c>
      <c r="M1525" t="s">
        <v>8597</v>
      </c>
      <c r="N1525" t="s">
        <v>8598</v>
      </c>
      <c r="O1525" t="s">
        <v>8599</v>
      </c>
      <c r="P1525" t="s">
        <v>8600</v>
      </c>
      <c r="Q1525" t="s">
        <v>30</v>
      </c>
      <c r="R1525" t="s">
        <v>31</v>
      </c>
      <c r="S1525" t="s">
        <v>104</v>
      </c>
    </row>
    <row r="1526" spans="1:19" x14ac:dyDescent="0.45">
      <c r="A1526" t="str">
        <f t="shared" si="96"/>
        <v>17801</v>
      </c>
      <c r="B1526" t="s">
        <v>19</v>
      </c>
      <c r="C1526" t="str">
        <f t="shared" si="99"/>
        <v>27403</v>
      </c>
      <c r="D1526" t="s">
        <v>2606</v>
      </c>
      <c r="E1526" t="str">
        <f>"3649"</f>
        <v>3649</v>
      </c>
      <c r="F1526" t="s">
        <v>8601</v>
      </c>
      <c r="G1526" t="s">
        <v>70</v>
      </c>
      <c r="H1526">
        <v>5</v>
      </c>
      <c r="I1526" t="s">
        <v>8602</v>
      </c>
      <c r="K1526" t="s">
        <v>7816</v>
      </c>
      <c r="L1526" t="s">
        <v>25</v>
      </c>
      <c r="M1526" t="s">
        <v>8603</v>
      </c>
      <c r="N1526" t="s">
        <v>8555</v>
      </c>
      <c r="O1526" t="s">
        <v>8556</v>
      </c>
      <c r="P1526" t="s">
        <v>8557</v>
      </c>
      <c r="Q1526" t="s">
        <v>30</v>
      </c>
      <c r="R1526" t="s">
        <v>31</v>
      </c>
      <c r="S1526" t="s">
        <v>32</v>
      </c>
    </row>
    <row r="1527" spans="1:19" x14ac:dyDescent="0.45">
      <c r="A1527" t="str">
        <f t="shared" si="96"/>
        <v>17801</v>
      </c>
      <c r="B1527" t="s">
        <v>19</v>
      </c>
      <c r="C1527" t="str">
        <f t="shared" si="99"/>
        <v>27403</v>
      </c>
      <c r="D1527" t="s">
        <v>2606</v>
      </c>
      <c r="E1527" t="str">
        <f>"3751"</f>
        <v>3751</v>
      </c>
      <c r="F1527" t="s">
        <v>8604</v>
      </c>
      <c r="G1527">
        <v>6</v>
      </c>
      <c r="H1527">
        <v>8</v>
      </c>
      <c r="I1527" t="s">
        <v>8605</v>
      </c>
      <c r="K1527" t="s">
        <v>2276</v>
      </c>
      <c r="L1527" t="s">
        <v>25</v>
      </c>
      <c r="M1527" t="s">
        <v>8606</v>
      </c>
      <c r="N1527" t="s">
        <v>8607</v>
      </c>
      <c r="O1527" t="s">
        <v>8608</v>
      </c>
      <c r="P1527" t="s">
        <v>8609</v>
      </c>
      <c r="Q1527" t="s">
        <v>30</v>
      </c>
      <c r="R1527" t="s">
        <v>31</v>
      </c>
      <c r="S1527" t="s">
        <v>104</v>
      </c>
    </row>
    <row r="1528" spans="1:19" x14ac:dyDescent="0.45">
      <c r="A1528" t="str">
        <f t="shared" si="96"/>
        <v>17801</v>
      </c>
      <c r="B1528" t="s">
        <v>19</v>
      </c>
      <c r="C1528" t="str">
        <f t="shared" si="99"/>
        <v>27403</v>
      </c>
      <c r="D1528" t="s">
        <v>2606</v>
      </c>
      <c r="E1528" t="str">
        <f>"4099"</f>
        <v>4099</v>
      </c>
      <c r="F1528" t="s">
        <v>8413</v>
      </c>
      <c r="G1528" t="s">
        <v>70</v>
      </c>
      <c r="H1528">
        <v>5</v>
      </c>
      <c r="I1528" t="s">
        <v>8610</v>
      </c>
      <c r="K1528" t="s">
        <v>2609</v>
      </c>
      <c r="L1528" t="s">
        <v>25</v>
      </c>
      <c r="M1528" t="s">
        <v>8611</v>
      </c>
      <c r="N1528" t="s">
        <v>8612</v>
      </c>
      <c r="O1528" t="s">
        <v>8613</v>
      </c>
      <c r="P1528" t="s">
        <v>8614</v>
      </c>
      <c r="Q1528" t="s">
        <v>30</v>
      </c>
      <c r="R1528" t="s">
        <v>31</v>
      </c>
      <c r="S1528" t="s">
        <v>32</v>
      </c>
    </row>
    <row r="1529" spans="1:19" x14ac:dyDescent="0.45">
      <c r="A1529" t="str">
        <f t="shared" si="96"/>
        <v>17801</v>
      </c>
      <c r="B1529" t="s">
        <v>19</v>
      </c>
      <c r="C1529" t="str">
        <f t="shared" si="99"/>
        <v>27403</v>
      </c>
      <c r="D1529" t="s">
        <v>2606</v>
      </c>
      <c r="E1529" t="str">
        <f>"4102"</f>
        <v>4102</v>
      </c>
      <c r="F1529" t="s">
        <v>8615</v>
      </c>
      <c r="G1529" t="s">
        <v>70</v>
      </c>
      <c r="H1529">
        <v>5</v>
      </c>
      <c r="I1529" t="s">
        <v>8616</v>
      </c>
      <c r="K1529" t="s">
        <v>2276</v>
      </c>
      <c r="L1529" t="s">
        <v>25</v>
      </c>
      <c r="M1529" t="s">
        <v>8617</v>
      </c>
      <c r="N1529" t="s">
        <v>8618</v>
      </c>
      <c r="O1529" t="s">
        <v>8619</v>
      </c>
      <c r="P1529" t="s">
        <v>8620</v>
      </c>
      <c r="Q1529" t="s">
        <v>30</v>
      </c>
      <c r="R1529" t="s">
        <v>31</v>
      </c>
      <c r="S1529" t="s">
        <v>32</v>
      </c>
    </row>
    <row r="1530" spans="1:19" x14ac:dyDescent="0.45">
      <c r="A1530" t="str">
        <f t="shared" si="96"/>
        <v>17801</v>
      </c>
      <c r="B1530" t="s">
        <v>19</v>
      </c>
      <c r="C1530" t="str">
        <f t="shared" si="99"/>
        <v>27403</v>
      </c>
      <c r="D1530" t="s">
        <v>2606</v>
      </c>
      <c r="E1530" t="str">
        <f>"4103"</f>
        <v>4103</v>
      </c>
      <c r="F1530" t="s">
        <v>8621</v>
      </c>
      <c r="G1530" t="s">
        <v>70</v>
      </c>
      <c r="H1530">
        <v>5</v>
      </c>
      <c r="I1530" t="s">
        <v>8622</v>
      </c>
      <c r="K1530" t="s">
        <v>2609</v>
      </c>
      <c r="L1530" t="s">
        <v>25</v>
      </c>
      <c r="M1530" t="s">
        <v>8597</v>
      </c>
      <c r="N1530" t="s">
        <v>8623</v>
      </c>
      <c r="O1530" t="s">
        <v>8624</v>
      </c>
      <c r="P1530" t="s">
        <v>8625</v>
      </c>
      <c r="Q1530" t="s">
        <v>30</v>
      </c>
      <c r="R1530" t="s">
        <v>31</v>
      </c>
      <c r="S1530" t="s">
        <v>32</v>
      </c>
    </row>
    <row r="1531" spans="1:19" x14ac:dyDescent="0.45">
      <c r="A1531" t="str">
        <f t="shared" si="96"/>
        <v>17801</v>
      </c>
      <c r="B1531" t="s">
        <v>19</v>
      </c>
      <c r="C1531" t="str">
        <f t="shared" si="99"/>
        <v>27403</v>
      </c>
      <c r="D1531" t="s">
        <v>2606</v>
      </c>
      <c r="E1531" t="str">
        <f>"4158"</f>
        <v>4158</v>
      </c>
      <c r="F1531" t="s">
        <v>8626</v>
      </c>
      <c r="G1531">
        <v>9</v>
      </c>
      <c r="H1531">
        <v>12</v>
      </c>
      <c r="I1531" t="s">
        <v>8627</v>
      </c>
      <c r="K1531" t="s">
        <v>2609</v>
      </c>
      <c r="L1531" t="s">
        <v>25</v>
      </c>
      <c r="M1531" t="s">
        <v>8628</v>
      </c>
      <c r="N1531" t="s">
        <v>8629</v>
      </c>
      <c r="O1531" t="s">
        <v>8630</v>
      </c>
      <c r="P1531" t="s">
        <v>8631</v>
      </c>
      <c r="Q1531" t="s">
        <v>30</v>
      </c>
      <c r="R1531" t="s">
        <v>31</v>
      </c>
      <c r="S1531" t="s">
        <v>58</v>
      </c>
    </row>
    <row r="1532" spans="1:19" x14ac:dyDescent="0.45">
      <c r="A1532" t="str">
        <f t="shared" si="96"/>
        <v>17801</v>
      </c>
      <c r="B1532" t="s">
        <v>19</v>
      </c>
      <c r="C1532" t="str">
        <f t="shared" si="99"/>
        <v>27403</v>
      </c>
      <c r="D1532" t="s">
        <v>2606</v>
      </c>
      <c r="E1532" t="str">
        <f>"4186"</f>
        <v>4186</v>
      </c>
      <c r="F1532" t="s">
        <v>8632</v>
      </c>
      <c r="G1532">
        <v>6</v>
      </c>
      <c r="H1532">
        <v>8</v>
      </c>
      <c r="I1532" t="s">
        <v>8633</v>
      </c>
      <c r="K1532" t="s">
        <v>2609</v>
      </c>
      <c r="L1532" t="s">
        <v>25</v>
      </c>
      <c r="M1532" t="s">
        <v>8634</v>
      </c>
      <c r="N1532" t="s">
        <v>8635</v>
      </c>
      <c r="O1532" t="s">
        <v>8636</v>
      </c>
      <c r="P1532" t="s">
        <v>8637</v>
      </c>
      <c r="Q1532" t="s">
        <v>30</v>
      </c>
      <c r="R1532" t="s">
        <v>31</v>
      </c>
      <c r="S1532" t="s">
        <v>104</v>
      </c>
    </row>
    <row r="1533" spans="1:19" x14ac:dyDescent="0.45">
      <c r="A1533" t="str">
        <f t="shared" si="96"/>
        <v>17801</v>
      </c>
      <c r="B1533" t="s">
        <v>19</v>
      </c>
      <c r="C1533" t="str">
        <f t="shared" si="99"/>
        <v>27403</v>
      </c>
      <c r="D1533" t="s">
        <v>2606</v>
      </c>
      <c r="E1533" t="str">
        <f>"4227"</f>
        <v>4227</v>
      </c>
      <c r="F1533" t="s">
        <v>8638</v>
      </c>
      <c r="G1533" t="s">
        <v>70</v>
      </c>
      <c r="H1533">
        <v>5</v>
      </c>
      <c r="I1533" t="s">
        <v>8639</v>
      </c>
      <c r="K1533" t="s">
        <v>8579</v>
      </c>
      <c r="L1533" t="s">
        <v>25</v>
      </c>
      <c r="M1533" t="s">
        <v>8640</v>
      </c>
      <c r="N1533" t="s">
        <v>8641</v>
      </c>
      <c r="O1533" t="s">
        <v>8642</v>
      </c>
      <c r="P1533" t="s">
        <v>8643</v>
      </c>
      <c r="Q1533" t="s">
        <v>30</v>
      </c>
      <c r="R1533" t="s">
        <v>31</v>
      </c>
      <c r="S1533" t="s">
        <v>32</v>
      </c>
    </row>
    <row r="1534" spans="1:19" x14ac:dyDescent="0.45">
      <c r="A1534" t="str">
        <f t="shared" si="96"/>
        <v>17801</v>
      </c>
      <c r="B1534" t="s">
        <v>19</v>
      </c>
      <c r="C1534" t="str">
        <f t="shared" si="99"/>
        <v>27403</v>
      </c>
      <c r="D1534" t="s">
        <v>2606</v>
      </c>
      <c r="E1534" t="str">
        <f>"4296"</f>
        <v>4296</v>
      </c>
      <c r="F1534" t="s">
        <v>8644</v>
      </c>
      <c r="G1534" t="s">
        <v>70</v>
      </c>
      <c r="H1534">
        <v>5</v>
      </c>
      <c r="I1534" t="s">
        <v>8645</v>
      </c>
      <c r="K1534" t="s">
        <v>2609</v>
      </c>
      <c r="L1534" t="s">
        <v>25</v>
      </c>
      <c r="M1534" t="s">
        <v>8646</v>
      </c>
      <c r="N1534" t="s">
        <v>8647</v>
      </c>
      <c r="O1534" t="s">
        <v>8648</v>
      </c>
      <c r="P1534" t="s">
        <v>8620</v>
      </c>
      <c r="Q1534" t="s">
        <v>30</v>
      </c>
      <c r="R1534" t="s">
        <v>31</v>
      </c>
      <c r="S1534" t="s">
        <v>32</v>
      </c>
    </row>
    <row r="1535" spans="1:19" x14ac:dyDescent="0.45">
      <c r="A1535" t="str">
        <f t="shared" si="96"/>
        <v>17801</v>
      </c>
      <c r="B1535" t="s">
        <v>19</v>
      </c>
      <c r="C1535" t="str">
        <f t="shared" si="99"/>
        <v>27403</v>
      </c>
      <c r="D1535" t="s">
        <v>2606</v>
      </c>
      <c r="E1535" t="str">
        <f>"4297"</f>
        <v>4297</v>
      </c>
      <c r="F1535" t="s">
        <v>8649</v>
      </c>
      <c r="G1535" t="s">
        <v>70</v>
      </c>
      <c r="H1535">
        <v>5</v>
      </c>
      <c r="I1535" t="s">
        <v>8650</v>
      </c>
      <c r="K1535" t="s">
        <v>8579</v>
      </c>
      <c r="L1535" t="s">
        <v>25</v>
      </c>
      <c r="M1535" t="s">
        <v>8651</v>
      </c>
      <c r="N1535" t="s">
        <v>8652</v>
      </c>
      <c r="O1535" t="s">
        <v>8653</v>
      </c>
      <c r="P1535" t="s">
        <v>8654</v>
      </c>
      <c r="Q1535" t="s">
        <v>30</v>
      </c>
      <c r="R1535" t="s">
        <v>31</v>
      </c>
      <c r="S1535" t="s">
        <v>32</v>
      </c>
    </row>
    <row r="1536" spans="1:19" x14ac:dyDescent="0.45">
      <c r="A1536" t="str">
        <f t="shared" ref="A1536:A1555" si="100">"17801"</f>
        <v>17801</v>
      </c>
      <c r="B1536" t="s">
        <v>19</v>
      </c>
      <c r="C1536" t="str">
        <f t="shared" si="99"/>
        <v>27403</v>
      </c>
      <c r="D1536" t="s">
        <v>2606</v>
      </c>
      <c r="E1536" t="str">
        <f>"4331"</f>
        <v>4331</v>
      </c>
      <c r="F1536" t="s">
        <v>8655</v>
      </c>
      <c r="G1536" t="s">
        <v>70</v>
      </c>
      <c r="H1536">
        <v>5</v>
      </c>
      <c r="I1536" t="s">
        <v>8656</v>
      </c>
      <c r="K1536" t="s">
        <v>8579</v>
      </c>
      <c r="L1536" t="s">
        <v>25</v>
      </c>
      <c r="M1536" t="s">
        <v>8657</v>
      </c>
      <c r="N1536" t="s">
        <v>8658</v>
      </c>
      <c r="O1536" t="s">
        <v>8659</v>
      </c>
      <c r="P1536" t="s">
        <v>8660</v>
      </c>
      <c r="Q1536" t="s">
        <v>30</v>
      </c>
      <c r="R1536" t="s">
        <v>31</v>
      </c>
      <c r="S1536" t="s">
        <v>32</v>
      </c>
    </row>
    <row r="1537" spans="1:19" x14ac:dyDescent="0.45">
      <c r="A1537" t="str">
        <f t="shared" si="100"/>
        <v>17801</v>
      </c>
      <c r="B1537" t="s">
        <v>19</v>
      </c>
      <c r="C1537" t="str">
        <f t="shared" si="99"/>
        <v>27403</v>
      </c>
      <c r="D1537" t="s">
        <v>2606</v>
      </c>
      <c r="E1537" t="str">
        <f>"4381"</f>
        <v>4381</v>
      </c>
      <c r="F1537" t="s">
        <v>8661</v>
      </c>
      <c r="G1537" t="s">
        <v>70</v>
      </c>
      <c r="H1537">
        <v>5</v>
      </c>
      <c r="I1537" t="s">
        <v>8662</v>
      </c>
      <c r="K1537" t="s">
        <v>2609</v>
      </c>
      <c r="L1537" t="s">
        <v>25</v>
      </c>
      <c r="M1537" t="s">
        <v>8663</v>
      </c>
      <c r="N1537" t="s">
        <v>8664</v>
      </c>
      <c r="O1537" t="s">
        <v>8665</v>
      </c>
      <c r="P1537" t="s">
        <v>8666</v>
      </c>
      <c r="Q1537" t="s">
        <v>30</v>
      </c>
      <c r="R1537" t="s">
        <v>31</v>
      </c>
      <c r="S1537" t="s">
        <v>32</v>
      </c>
    </row>
    <row r="1538" spans="1:19" x14ac:dyDescent="0.45">
      <c r="A1538" t="str">
        <f t="shared" si="100"/>
        <v>17801</v>
      </c>
      <c r="B1538" t="s">
        <v>19</v>
      </c>
      <c r="C1538" t="str">
        <f t="shared" si="99"/>
        <v>27403</v>
      </c>
      <c r="D1538" t="s">
        <v>2606</v>
      </c>
      <c r="E1538" t="str">
        <f>"4407"</f>
        <v>4407</v>
      </c>
      <c r="F1538" t="s">
        <v>3339</v>
      </c>
      <c r="G1538">
        <v>6</v>
      </c>
      <c r="H1538">
        <v>8</v>
      </c>
      <c r="I1538" t="s">
        <v>8667</v>
      </c>
      <c r="K1538" t="s">
        <v>8579</v>
      </c>
      <c r="L1538" t="s">
        <v>25</v>
      </c>
      <c r="M1538" t="s">
        <v>8668</v>
      </c>
      <c r="N1538" t="s">
        <v>8669</v>
      </c>
      <c r="O1538" t="s">
        <v>8670</v>
      </c>
      <c r="P1538" t="s">
        <v>8563</v>
      </c>
      <c r="Q1538" t="s">
        <v>30</v>
      </c>
      <c r="R1538" t="s">
        <v>31</v>
      </c>
      <c r="S1538" t="s">
        <v>104</v>
      </c>
    </row>
    <row r="1539" spans="1:19" x14ac:dyDescent="0.45">
      <c r="A1539" t="str">
        <f t="shared" si="100"/>
        <v>17801</v>
      </c>
      <c r="B1539" t="s">
        <v>19</v>
      </c>
      <c r="C1539" t="str">
        <f t="shared" si="99"/>
        <v>27403</v>
      </c>
      <c r="D1539" t="s">
        <v>2606</v>
      </c>
      <c r="E1539" t="str">
        <f>"4538"</f>
        <v>4538</v>
      </c>
      <c r="F1539" t="s">
        <v>8671</v>
      </c>
      <c r="G1539" t="s">
        <v>70</v>
      </c>
      <c r="H1539">
        <v>5</v>
      </c>
      <c r="I1539" t="s">
        <v>8672</v>
      </c>
      <c r="K1539" t="s">
        <v>8579</v>
      </c>
      <c r="L1539" t="s">
        <v>25</v>
      </c>
      <c r="M1539" t="s">
        <v>8651</v>
      </c>
      <c r="N1539" t="s">
        <v>8673</v>
      </c>
      <c r="O1539" t="s">
        <v>8674</v>
      </c>
      <c r="P1539" t="s">
        <v>8675</v>
      </c>
      <c r="Q1539" t="s">
        <v>30</v>
      </c>
      <c r="R1539" t="s">
        <v>31</v>
      </c>
      <c r="S1539" t="s">
        <v>32</v>
      </c>
    </row>
    <row r="1540" spans="1:19" x14ac:dyDescent="0.45">
      <c r="A1540" t="str">
        <f t="shared" si="100"/>
        <v>17801</v>
      </c>
      <c r="B1540" t="s">
        <v>19</v>
      </c>
      <c r="C1540" t="str">
        <f>"27404"</f>
        <v>27404</v>
      </c>
      <c r="D1540" t="s">
        <v>2236</v>
      </c>
      <c r="E1540" t="str">
        <f>"2205"</f>
        <v>2205</v>
      </c>
      <c r="F1540" t="s">
        <v>8676</v>
      </c>
      <c r="G1540" t="s">
        <v>70</v>
      </c>
      <c r="H1540">
        <v>5</v>
      </c>
      <c r="I1540" t="s">
        <v>8677</v>
      </c>
      <c r="K1540" t="s">
        <v>2239</v>
      </c>
      <c r="L1540" t="s">
        <v>25</v>
      </c>
      <c r="M1540" t="s">
        <v>8678</v>
      </c>
      <c r="N1540" t="s">
        <v>8679</v>
      </c>
      <c r="O1540" t="s">
        <v>8680</v>
      </c>
      <c r="P1540" t="s">
        <v>8681</v>
      </c>
      <c r="Q1540" t="s">
        <v>30</v>
      </c>
      <c r="R1540" t="s">
        <v>31</v>
      </c>
      <c r="S1540" t="s">
        <v>32</v>
      </c>
    </row>
    <row r="1541" spans="1:19" x14ac:dyDescent="0.45">
      <c r="A1541" t="str">
        <f t="shared" si="100"/>
        <v>17801</v>
      </c>
      <c r="B1541" t="s">
        <v>19</v>
      </c>
      <c r="C1541" t="str">
        <f>"27404"</f>
        <v>27404</v>
      </c>
      <c r="D1541" t="s">
        <v>2236</v>
      </c>
      <c r="E1541" t="str">
        <f>"2206"</f>
        <v>2206</v>
      </c>
      <c r="F1541" t="s">
        <v>8682</v>
      </c>
      <c r="G1541">
        <v>9</v>
      </c>
      <c r="H1541">
        <v>12</v>
      </c>
      <c r="I1541" t="s">
        <v>8683</v>
      </c>
      <c r="K1541" t="s">
        <v>2239</v>
      </c>
      <c r="L1541" t="s">
        <v>25</v>
      </c>
      <c r="M1541" t="s">
        <v>8684</v>
      </c>
      <c r="N1541" t="s">
        <v>8685</v>
      </c>
      <c r="O1541" t="s">
        <v>8686</v>
      </c>
      <c r="P1541" t="s">
        <v>8687</v>
      </c>
      <c r="Q1541" t="s">
        <v>30</v>
      </c>
      <c r="R1541" t="s">
        <v>31</v>
      </c>
      <c r="S1541" t="s">
        <v>58</v>
      </c>
    </row>
    <row r="1542" spans="1:19" x14ac:dyDescent="0.45">
      <c r="A1542" t="str">
        <f t="shared" si="100"/>
        <v>17801</v>
      </c>
      <c r="B1542" t="s">
        <v>19</v>
      </c>
      <c r="C1542" t="str">
        <f>"27404"</f>
        <v>27404</v>
      </c>
      <c r="D1542" t="s">
        <v>2236</v>
      </c>
      <c r="E1542" t="str">
        <f>"2361"</f>
        <v>2361</v>
      </c>
      <c r="F1542" t="s">
        <v>8688</v>
      </c>
      <c r="G1542" t="s">
        <v>70</v>
      </c>
      <c r="H1542">
        <v>5</v>
      </c>
      <c r="I1542" t="s">
        <v>8689</v>
      </c>
      <c r="K1542" t="s">
        <v>2239</v>
      </c>
      <c r="L1542" t="s">
        <v>25</v>
      </c>
      <c r="M1542" t="s">
        <v>8690</v>
      </c>
      <c r="N1542" t="s">
        <v>2240</v>
      </c>
      <c r="O1542" t="s">
        <v>2241</v>
      </c>
      <c r="P1542" t="s">
        <v>2242</v>
      </c>
      <c r="Q1542" t="s">
        <v>30</v>
      </c>
      <c r="R1542" t="s">
        <v>31</v>
      </c>
      <c r="S1542" t="s">
        <v>32</v>
      </c>
    </row>
    <row r="1543" spans="1:19" x14ac:dyDescent="0.45">
      <c r="A1543" t="str">
        <f t="shared" si="100"/>
        <v>17801</v>
      </c>
      <c r="B1543" t="s">
        <v>19</v>
      </c>
      <c r="C1543" t="str">
        <f>"27404"</f>
        <v>27404</v>
      </c>
      <c r="D1543" t="s">
        <v>2236</v>
      </c>
      <c r="E1543" t="str">
        <f>"2808"</f>
        <v>2808</v>
      </c>
      <c r="F1543" t="s">
        <v>8691</v>
      </c>
      <c r="G1543" t="s">
        <v>70</v>
      </c>
      <c r="H1543">
        <v>8</v>
      </c>
      <c r="I1543" t="s">
        <v>8692</v>
      </c>
      <c r="K1543" t="s">
        <v>8693</v>
      </c>
      <c r="L1543" t="s">
        <v>25</v>
      </c>
      <c r="M1543" t="s">
        <v>8694</v>
      </c>
      <c r="N1543" t="s">
        <v>8695</v>
      </c>
      <c r="O1543" t="s">
        <v>8696</v>
      </c>
      <c r="P1543" t="s">
        <v>8697</v>
      </c>
      <c r="Q1543" t="s">
        <v>30</v>
      </c>
      <c r="R1543" t="s">
        <v>31</v>
      </c>
      <c r="S1543" t="s">
        <v>159</v>
      </c>
    </row>
    <row r="1544" spans="1:19" x14ac:dyDescent="0.45">
      <c r="A1544" t="str">
        <f t="shared" si="100"/>
        <v>17801</v>
      </c>
      <c r="B1544" t="s">
        <v>19</v>
      </c>
      <c r="C1544" t="str">
        <f>"27404"</f>
        <v>27404</v>
      </c>
      <c r="D1544" t="s">
        <v>2236</v>
      </c>
      <c r="E1544" t="str">
        <f>"4230"</f>
        <v>4230</v>
      </c>
      <c r="F1544" t="s">
        <v>8698</v>
      </c>
      <c r="G1544">
        <v>6</v>
      </c>
      <c r="H1544">
        <v>8</v>
      </c>
      <c r="I1544" t="s">
        <v>8699</v>
      </c>
      <c r="K1544" t="s">
        <v>2239</v>
      </c>
      <c r="L1544" t="s">
        <v>25</v>
      </c>
      <c r="M1544" t="s">
        <v>8700</v>
      </c>
      <c r="N1544" t="s">
        <v>4365</v>
      </c>
      <c r="O1544" t="s">
        <v>8701</v>
      </c>
      <c r="P1544" t="s">
        <v>8702</v>
      </c>
      <c r="Q1544" t="s">
        <v>30</v>
      </c>
      <c r="R1544" t="s">
        <v>31</v>
      </c>
      <c r="S1544" t="s">
        <v>104</v>
      </c>
    </row>
    <row r="1545" spans="1:19" x14ac:dyDescent="0.45">
      <c r="A1545" t="str">
        <f t="shared" si="100"/>
        <v>17801</v>
      </c>
      <c r="B1545" t="s">
        <v>19</v>
      </c>
      <c r="C1545" t="str">
        <f t="shared" ref="C1545:C1550" si="101">"27416"</f>
        <v>27416</v>
      </c>
      <c r="D1545" t="s">
        <v>2421</v>
      </c>
      <c r="E1545" t="str">
        <f>"2190"</f>
        <v>2190</v>
      </c>
      <c r="F1545" t="s">
        <v>8703</v>
      </c>
      <c r="G1545" t="s">
        <v>22</v>
      </c>
      <c r="H1545">
        <v>5</v>
      </c>
      <c r="I1545" t="s">
        <v>8704</v>
      </c>
      <c r="K1545" t="s">
        <v>2424</v>
      </c>
      <c r="L1545" t="s">
        <v>25</v>
      </c>
      <c r="M1545" t="s">
        <v>8705</v>
      </c>
      <c r="N1545" t="s">
        <v>8706</v>
      </c>
      <c r="O1545" t="s">
        <v>8707</v>
      </c>
      <c r="P1545" t="s">
        <v>8708</v>
      </c>
      <c r="Q1545" t="s">
        <v>30</v>
      </c>
      <c r="R1545" t="s">
        <v>31</v>
      </c>
      <c r="S1545" t="s">
        <v>32</v>
      </c>
    </row>
    <row r="1546" spans="1:19" x14ac:dyDescent="0.45">
      <c r="A1546" t="str">
        <f t="shared" si="100"/>
        <v>17801</v>
      </c>
      <c r="B1546" t="s">
        <v>19</v>
      </c>
      <c r="C1546" t="str">
        <f t="shared" si="101"/>
        <v>27416</v>
      </c>
      <c r="D1546" t="s">
        <v>2421</v>
      </c>
      <c r="E1546" t="str">
        <f>"3458"</f>
        <v>3458</v>
      </c>
      <c r="F1546" t="s">
        <v>4454</v>
      </c>
      <c r="G1546">
        <v>6</v>
      </c>
      <c r="H1546">
        <v>8</v>
      </c>
      <c r="I1546" t="s">
        <v>8709</v>
      </c>
      <c r="K1546" t="s">
        <v>2424</v>
      </c>
      <c r="L1546" t="s">
        <v>25</v>
      </c>
      <c r="M1546" t="s">
        <v>8710</v>
      </c>
      <c r="N1546" t="s">
        <v>8711</v>
      </c>
      <c r="O1546" t="s">
        <v>8712</v>
      </c>
      <c r="P1546" t="s">
        <v>8713</v>
      </c>
      <c r="Q1546" t="s">
        <v>30</v>
      </c>
      <c r="R1546" t="s">
        <v>31</v>
      </c>
      <c r="S1546" t="s">
        <v>104</v>
      </c>
    </row>
    <row r="1547" spans="1:19" x14ac:dyDescent="0.45">
      <c r="A1547" t="str">
        <f t="shared" si="100"/>
        <v>17801</v>
      </c>
      <c r="B1547" t="s">
        <v>19</v>
      </c>
      <c r="C1547" t="str">
        <f t="shared" si="101"/>
        <v>27416</v>
      </c>
      <c r="D1547" t="s">
        <v>2421</v>
      </c>
      <c r="E1547" t="str">
        <f>"4170"</f>
        <v>4170</v>
      </c>
      <c r="F1547" t="s">
        <v>8714</v>
      </c>
      <c r="G1547" t="s">
        <v>70</v>
      </c>
      <c r="H1547">
        <v>5</v>
      </c>
      <c r="I1547" t="s">
        <v>8715</v>
      </c>
      <c r="K1547" t="s">
        <v>8716</v>
      </c>
      <c r="L1547" t="s">
        <v>25</v>
      </c>
      <c r="M1547" t="s">
        <v>8717</v>
      </c>
      <c r="N1547" t="s">
        <v>8718</v>
      </c>
      <c r="O1547" t="s">
        <v>8719</v>
      </c>
      <c r="P1547" t="s">
        <v>8720</v>
      </c>
      <c r="Q1547" t="s">
        <v>30</v>
      </c>
      <c r="R1547" t="s">
        <v>31</v>
      </c>
      <c r="S1547" t="s">
        <v>32</v>
      </c>
    </row>
    <row r="1548" spans="1:19" x14ac:dyDescent="0.45">
      <c r="A1548" t="str">
        <f t="shared" si="100"/>
        <v>17801</v>
      </c>
      <c r="B1548" t="s">
        <v>19</v>
      </c>
      <c r="C1548" t="str">
        <f t="shared" si="101"/>
        <v>27416</v>
      </c>
      <c r="D1548" t="s">
        <v>2421</v>
      </c>
      <c r="E1548" t="str">
        <f>"4309"</f>
        <v>4309</v>
      </c>
      <c r="F1548" t="s">
        <v>8721</v>
      </c>
      <c r="G1548">
        <v>1</v>
      </c>
      <c r="H1548">
        <v>5</v>
      </c>
      <c r="I1548" t="s">
        <v>8722</v>
      </c>
      <c r="K1548" t="s">
        <v>2424</v>
      </c>
      <c r="L1548" t="s">
        <v>25</v>
      </c>
      <c r="M1548" t="s">
        <v>8723</v>
      </c>
      <c r="N1548" t="s">
        <v>8724</v>
      </c>
      <c r="O1548" t="s">
        <v>8725</v>
      </c>
      <c r="P1548" t="s">
        <v>8726</v>
      </c>
      <c r="Q1548" t="s">
        <v>30</v>
      </c>
      <c r="R1548" t="s">
        <v>31</v>
      </c>
      <c r="S1548" t="s">
        <v>32</v>
      </c>
    </row>
    <row r="1549" spans="1:19" x14ac:dyDescent="0.45">
      <c r="A1549" t="str">
        <f t="shared" si="100"/>
        <v>17801</v>
      </c>
      <c r="B1549" t="s">
        <v>19</v>
      </c>
      <c r="C1549" t="str">
        <f t="shared" si="101"/>
        <v>27416</v>
      </c>
      <c r="D1549" t="s">
        <v>2421</v>
      </c>
      <c r="E1549" t="str">
        <f>"4471"</f>
        <v>4471</v>
      </c>
      <c r="F1549" t="s">
        <v>8727</v>
      </c>
      <c r="G1549">
        <v>1</v>
      </c>
      <c r="H1549">
        <v>5</v>
      </c>
      <c r="I1549" t="s">
        <v>8728</v>
      </c>
      <c r="K1549" t="s">
        <v>2424</v>
      </c>
      <c r="L1549" t="s">
        <v>25</v>
      </c>
      <c r="M1549" t="s">
        <v>8729</v>
      </c>
      <c r="N1549" t="s">
        <v>8730</v>
      </c>
      <c r="O1549" t="s">
        <v>8731</v>
      </c>
      <c r="P1549" t="s">
        <v>8732</v>
      </c>
      <c r="Q1549" t="s">
        <v>30</v>
      </c>
      <c r="R1549" t="s">
        <v>31</v>
      </c>
      <c r="S1549" t="s">
        <v>32</v>
      </c>
    </row>
    <row r="1550" spans="1:19" x14ac:dyDescent="0.45">
      <c r="A1550" t="str">
        <f t="shared" si="100"/>
        <v>17801</v>
      </c>
      <c r="B1550" t="s">
        <v>19</v>
      </c>
      <c r="C1550" t="str">
        <f t="shared" si="101"/>
        <v>27416</v>
      </c>
      <c r="D1550" t="s">
        <v>2421</v>
      </c>
      <c r="E1550" t="str">
        <f>"4569"</f>
        <v>4569</v>
      </c>
      <c r="F1550" t="s">
        <v>8733</v>
      </c>
      <c r="G1550">
        <v>9</v>
      </c>
      <c r="H1550">
        <v>12</v>
      </c>
      <c r="I1550" t="s">
        <v>8734</v>
      </c>
      <c r="K1550" t="s">
        <v>2424</v>
      </c>
      <c r="L1550" t="s">
        <v>25</v>
      </c>
      <c r="M1550">
        <v>98321</v>
      </c>
      <c r="N1550" t="s">
        <v>8735</v>
      </c>
      <c r="O1550" t="s">
        <v>8736</v>
      </c>
      <c r="P1550" t="s">
        <v>8737</v>
      </c>
      <c r="Q1550" t="s">
        <v>30</v>
      </c>
      <c r="R1550" t="s">
        <v>31</v>
      </c>
      <c r="S1550" t="s">
        <v>58</v>
      </c>
    </row>
    <row r="1551" spans="1:19" x14ac:dyDescent="0.45">
      <c r="A1551" t="str">
        <f t="shared" si="100"/>
        <v>17801</v>
      </c>
      <c r="B1551" t="s">
        <v>19</v>
      </c>
      <c r="C1551" t="str">
        <f>"27417"</f>
        <v>27417</v>
      </c>
      <c r="D1551" t="s">
        <v>4592</v>
      </c>
      <c r="E1551" t="str">
        <f>"2773"</f>
        <v>2773</v>
      </c>
      <c r="F1551" t="s">
        <v>8738</v>
      </c>
      <c r="G1551">
        <v>10</v>
      </c>
      <c r="H1551">
        <v>12</v>
      </c>
      <c r="I1551" t="s">
        <v>8739</v>
      </c>
      <c r="K1551" t="s">
        <v>2276</v>
      </c>
      <c r="L1551" t="s">
        <v>25</v>
      </c>
      <c r="M1551" t="s">
        <v>8740</v>
      </c>
      <c r="N1551" t="s">
        <v>8741</v>
      </c>
      <c r="O1551" t="s">
        <v>4596</v>
      </c>
      <c r="P1551" t="s">
        <v>8742</v>
      </c>
      <c r="Q1551" t="s">
        <v>30</v>
      </c>
      <c r="R1551" t="s">
        <v>31</v>
      </c>
      <c r="S1551" t="s">
        <v>58</v>
      </c>
    </row>
    <row r="1552" spans="1:19" x14ac:dyDescent="0.45">
      <c r="A1552" t="str">
        <f t="shared" si="100"/>
        <v>17801</v>
      </c>
      <c r="B1552" t="s">
        <v>19</v>
      </c>
      <c r="C1552" t="str">
        <f>"27417"</f>
        <v>27417</v>
      </c>
      <c r="D1552" t="s">
        <v>4592</v>
      </c>
      <c r="E1552" t="str">
        <f>"2809"</f>
        <v>2809</v>
      </c>
      <c r="F1552" t="s">
        <v>8743</v>
      </c>
      <c r="G1552">
        <v>2</v>
      </c>
      <c r="H1552">
        <v>5</v>
      </c>
      <c r="I1552" t="s">
        <v>8744</v>
      </c>
      <c r="K1552" t="s">
        <v>8745</v>
      </c>
      <c r="L1552" t="s">
        <v>25</v>
      </c>
      <c r="M1552" t="s">
        <v>8746</v>
      </c>
      <c r="N1552" t="s">
        <v>8747</v>
      </c>
      <c r="O1552" t="s">
        <v>8748</v>
      </c>
      <c r="P1552" t="s">
        <v>8749</v>
      </c>
      <c r="Q1552" t="s">
        <v>30</v>
      </c>
      <c r="R1552" t="s">
        <v>31</v>
      </c>
      <c r="S1552" t="s">
        <v>32</v>
      </c>
    </row>
    <row r="1553" spans="1:19" x14ac:dyDescent="0.45">
      <c r="A1553" t="str">
        <f t="shared" si="100"/>
        <v>17801</v>
      </c>
      <c r="B1553" t="s">
        <v>19</v>
      </c>
      <c r="C1553" t="str">
        <f>"27417"</f>
        <v>27417</v>
      </c>
      <c r="D1553" t="s">
        <v>4592</v>
      </c>
      <c r="E1553" t="str">
        <f>"2878"</f>
        <v>2878</v>
      </c>
      <c r="F1553" t="s">
        <v>8750</v>
      </c>
      <c r="G1553" t="s">
        <v>22</v>
      </c>
      <c r="H1553">
        <v>1</v>
      </c>
      <c r="I1553" t="s">
        <v>8751</v>
      </c>
      <c r="K1553" t="s">
        <v>8745</v>
      </c>
      <c r="L1553" t="s">
        <v>25</v>
      </c>
      <c r="M1553" t="s">
        <v>8752</v>
      </c>
      <c r="N1553" t="s">
        <v>8753</v>
      </c>
      <c r="O1553" t="s">
        <v>8754</v>
      </c>
      <c r="P1553" t="s">
        <v>8755</v>
      </c>
      <c r="Q1553" t="s">
        <v>30</v>
      </c>
      <c r="R1553" t="s">
        <v>31</v>
      </c>
      <c r="S1553" t="s">
        <v>32</v>
      </c>
    </row>
    <row r="1554" spans="1:19" x14ac:dyDescent="0.45">
      <c r="A1554" t="str">
        <f t="shared" si="100"/>
        <v>17801</v>
      </c>
      <c r="B1554" t="s">
        <v>19</v>
      </c>
      <c r="C1554" t="str">
        <f>"27417"</f>
        <v>27417</v>
      </c>
      <c r="D1554" t="s">
        <v>4592</v>
      </c>
      <c r="E1554" t="str">
        <f>"3798"</f>
        <v>3798</v>
      </c>
      <c r="F1554" t="s">
        <v>8756</v>
      </c>
      <c r="G1554">
        <v>6</v>
      </c>
      <c r="H1554">
        <v>7</v>
      </c>
      <c r="I1554" t="s">
        <v>8757</v>
      </c>
      <c r="K1554" t="s">
        <v>8745</v>
      </c>
      <c r="L1554" t="s">
        <v>25</v>
      </c>
      <c r="M1554" t="s">
        <v>8758</v>
      </c>
      <c r="N1554" t="s">
        <v>8759</v>
      </c>
      <c r="O1554" t="s">
        <v>8760</v>
      </c>
      <c r="P1554" t="s">
        <v>8761</v>
      </c>
      <c r="Q1554" t="s">
        <v>30</v>
      </c>
      <c r="R1554" t="s">
        <v>31</v>
      </c>
      <c r="S1554" t="s">
        <v>104</v>
      </c>
    </row>
    <row r="1555" spans="1:19" x14ac:dyDescent="0.45">
      <c r="A1555" t="str">
        <f t="shared" si="100"/>
        <v>17801</v>
      </c>
      <c r="B1555" t="s">
        <v>19</v>
      </c>
      <c r="C1555" t="str">
        <f>"27417"</f>
        <v>27417</v>
      </c>
      <c r="D1555" t="s">
        <v>4592</v>
      </c>
      <c r="E1555" t="str">
        <f>"4557"</f>
        <v>4557</v>
      </c>
      <c r="F1555" t="s">
        <v>8762</v>
      </c>
      <c r="G1555">
        <v>2</v>
      </c>
      <c r="H1555">
        <v>5</v>
      </c>
      <c r="I1555" t="s">
        <v>8763</v>
      </c>
      <c r="K1555" t="s">
        <v>7689</v>
      </c>
      <c r="L1555" t="s">
        <v>25</v>
      </c>
      <c r="M1555" t="s">
        <v>8764</v>
      </c>
      <c r="N1555" t="s">
        <v>8765</v>
      </c>
      <c r="O1555" t="s">
        <v>8766</v>
      </c>
      <c r="P1555" t="s">
        <v>8767</v>
      </c>
      <c r="Q1555" t="s">
        <v>30</v>
      </c>
      <c r="R1555" t="s">
        <v>31</v>
      </c>
      <c r="S1555" t="s">
        <v>32</v>
      </c>
    </row>
    <row r="1556" spans="1:19" x14ac:dyDescent="0.45">
      <c r="A1556" t="str">
        <f t="shared" ref="A1556:A1601" si="102">"29801"</f>
        <v>29801</v>
      </c>
      <c r="B1556" t="s">
        <v>2370</v>
      </c>
      <c r="C1556" t="str">
        <f>"28010"</f>
        <v>28010</v>
      </c>
      <c r="D1556" t="s">
        <v>8768</v>
      </c>
      <c r="E1556" t="str">
        <f>"3725"</f>
        <v>3725</v>
      </c>
      <c r="F1556" t="s">
        <v>8769</v>
      </c>
      <c r="G1556" t="s">
        <v>70</v>
      </c>
      <c r="H1556">
        <v>8</v>
      </c>
      <c r="I1556" t="s">
        <v>8770</v>
      </c>
      <c r="K1556" t="s">
        <v>8771</v>
      </c>
      <c r="L1556" t="s">
        <v>25</v>
      </c>
      <c r="M1556" t="s">
        <v>8772</v>
      </c>
      <c r="N1556" t="s">
        <v>8773</v>
      </c>
      <c r="O1556" t="s">
        <v>8774</v>
      </c>
      <c r="P1556" t="s">
        <v>8775</v>
      </c>
      <c r="Q1556" t="s">
        <v>30</v>
      </c>
      <c r="R1556" t="s">
        <v>31</v>
      </c>
      <c r="S1556" t="s">
        <v>159</v>
      </c>
    </row>
    <row r="1557" spans="1:19" x14ac:dyDescent="0.45">
      <c r="A1557" t="str">
        <f t="shared" si="102"/>
        <v>29801</v>
      </c>
      <c r="B1557" t="s">
        <v>2370</v>
      </c>
      <c r="C1557" t="str">
        <f>"28137"</f>
        <v>28137</v>
      </c>
      <c r="D1557" t="s">
        <v>4475</v>
      </c>
      <c r="E1557" t="str">
        <f>"1892"</f>
        <v>1892</v>
      </c>
      <c r="F1557" t="s">
        <v>8776</v>
      </c>
      <c r="G1557" t="s">
        <v>70</v>
      </c>
      <c r="H1557">
        <v>12</v>
      </c>
      <c r="I1557" t="s">
        <v>8777</v>
      </c>
      <c r="K1557" t="s">
        <v>8778</v>
      </c>
      <c r="L1557" t="s">
        <v>25</v>
      </c>
      <c r="M1557" t="s">
        <v>8779</v>
      </c>
      <c r="N1557" t="s">
        <v>8780</v>
      </c>
      <c r="O1557" t="s">
        <v>8781</v>
      </c>
      <c r="P1557" t="s">
        <v>8782</v>
      </c>
      <c r="Q1557" t="s">
        <v>157</v>
      </c>
      <c r="R1557" t="s">
        <v>158</v>
      </c>
      <c r="S1557" t="s">
        <v>330</v>
      </c>
    </row>
    <row r="1558" spans="1:19" x14ac:dyDescent="0.45">
      <c r="A1558" t="str">
        <f t="shared" si="102"/>
        <v>29801</v>
      </c>
      <c r="B1558" t="s">
        <v>2370</v>
      </c>
      <c r="C1558" t="str">
        <f>"28137"</f>
        <v>28137</v>
      </c>
      <c r="D1558" t="s">
        <v>4475</v>
      </c>
      <c r="E1558" t="str">
        <f>"2749"</f>
        <v>2749</v>
      </c>
      <c r="F1558" t="s">
        <v>8783</v>
      </c>
      <c r="G1558" t="s">
        <v>70</v>
      </c>
      <c r="H1558">
        <v>5</v>
      </c>
      <c r="I1558" t="s">
        <v>8784</v>
      </c>
      <c r="K1558" t="s">
        <v>8778</v>
      </c>
      <c r="L1558" t="s">
        <v>25</v>
      </c>
      <c r="M1558" t="s">
        <v>8779</v>
      </c>
      <c r="N1558" t="s">
        <v>8785</v>
      </c>
      <c r="O1558" t="s">
        <v>8786</v>
      </c>
      <c r="P1558" t="s">
        <v>8787</v>
      </c>
      <c r="Q1558" t="s">
        <v>30</v>
      </c>
      <c r="R1558" t="s">
        <v>31</v>
      </c>
      <c r="S1558" t="s">
        <v>32</v>
      </c>
    </row>
    <row r="1559" spans="1:19" x14ac:dyDescent="0.45">
      <c r="A1559" t="str">
        <f t="shared" si="102"/>
        <v>29801</v>
      </c>
      <c r="B1559" t="s">
        <v>2370</v>
      </c>
      <c r="C1559" t="str">
        <f>"28137"</f>
        <v>28137</v>
      </c>
      <c r="D1559" t="s">
        <v>4475</v>
      </c>
      <c r="E1559" t="str">
        <f>"2750"</f>
        <v>2750</v>
      </c>
      <c r="F1559" t="s">
        <v>8788</v>
      </c>
      <c r="G1559">
        <v>9</v>
      </c>
      <c r="H1559">
        <v>12</v>
      </c>
      <c r="I1559" t="s">
        <v>8789</v>
      </c>
      <c r="K1559" t="s">
        <v>8778</v>
      </c>
      <c r="L1559" t="s">
        <v>25</v>
      </c>
      <c r="M1559" t="s">
        <v>8779</v>
      </c>
      <c r="N1559" t="s">
        <v>8790</v>
      </c>
      <c r="O1559" t="s">
        <v>8791</v>
      </c>
      <c r="P1559" t="s">
        <v>8792</v>
      </c>
      <c r="Q1559" t="s">
        <v>30</v>
      </c>
      <c r="R1559" t="s">
        <v>31</v>
      </c>
      <c r="S1559" t="s">
        <v>58</v>
      </c>
    </row>
    <row r="1560" spans="1:19" x14ac:dyDescent="0.45">
      <c r="A1560" t="str">
        <f t="shared" si="102"/>
        <v>29801</v>
      </c>
      <c r="B1560" t="s">
        <v>2370</v>
      </c>
      <c r="C1560" t="str">
        <f>"28137"</f>
        <v>28137</v>
      </c>
      <c r="D1560" t="s">
        <v>4475</v>
      </c>
      <c r="E1560" t="str">
        <f>"3808"</f>
        <v>3808</v>
      </c>
      <c r="F1560" t="s">
        <v>8793</v>
      </c>
      <c r="G1560">
        <v>1</v>
      </c>
      <c r="H1560">
        <v>8</v>
      </c>
      <c r="I1560" t="s">
        <v>8794</v>
      </c>
      <c r="K1560" t="s">
        <v>8795</v>
      </c>
      <c r="L1560" t="s">
        <v>25</v>
      </c>
      <c r="M1560" t="s">
        <v>8796</v>
      </c>
      <c r="N1560" t="s">
        <v>8797</v>
      </c>
      <c r="O1560" t="s">
        <v>8798</v>
      </c>
      <c r="P1560" t="s">
        <v>8792</v>
      </c>
      <c r="Q1560" t="s">
        <v>30</v>
      </c>
      <c r="R1560" t="s">
        <v>31</v>
      </c>
      <c r="S1560" t="s">
        <v>159</v>
      </c>
    </row>
    <row r="1561" spans="1:19" x14ac:dyDescent="0.45">
      <c r="A1561" t="str">
        <f t="shared" si="102"/>
        <v>29801</v>
      </c>
      <c r="B1561" t="s">
        <v>2370</v>
      </c>
      <c r="C1561" t="str">
        <f>"28137"</f>
        <v>28137</v>
      </c>
      <c r="D1561" t="s">
        <v>4475</v>
      </c>
      <c r="E1561" t="str">
        <f>"4558"</f>
        <v>4558</v>
      </c>
      <c r="F1561" t="s">
        <v>8799</v>
      </c>
      <c r="G1561">
        <v>6</v>
      </c>
      <c r="H1561">
        <v>8</v>
      </c>
      <c r="I1561" t="s">
        <v>8789</v>
      </c>
      <c r="K1561" t="s">
        <v>8778</v>
      </c>
      <c r="L1561" t="s">
        <v>25</v>
      </c>
      <c r="M1561" t="s">
        <v>8779</v>
      </c>
      <c r="N1561" t="s">
        <v>8790</v>
      </c>
      <c r="O1561" t="s">
        <v>8791</v>
      </c>
      <c r="P1561" t="s">
        <v>8792</v>
      </c>
      <c r="Q1561" t="s">
        <v>30</v>
      </c>
      <c r="R1561" t="s">
        <v>31</v>
      </c>
      <c r="S1561" t="s">
        <v>104</v>
      </c>
    </row>
    <row r="1562" spans="1:19" x14ac:dyDescent="0.45">
      <c r="A1562" t="str">
        <f t="shared" si="102"/>
        <v>29801</v>
      </c>
      <c r="B1562" t="s">
        <v>2370</v>
      </c>
      <c r="C1562" t="str">
        <f>"28144"</f>
        <v>28144</v>
      </c>
      <c r="D1562" t="s">
        <v>8800</v>
      </c>
      <c r="E1562" t="str">
        <f>"2632"</f>
        <v>2632</v>
      </c>
      <c r="F1562" t="s">
        <v>8801</v>
      </c>
      <c r="G1562">
        <v>6</v>
      </c>
      <c r="H1562">
        <v>12</v>
      </c>
      <c r="I1562" t="s">
        <v>8802</v>
      </c>
      <c r="K1562" t="s">
        <v>8803</v>
      </c>
      <c r="L1562" t="s">
        <v>25</v>
      </c>
      <c r="M1562" t="s">
        <v>8804</v>
      </c>
      <c r="N1562" t="s">
        <v>8805</v>
      </c>
      <c r="O1562" t="s">
        <v>8806</v>
      </c>
      <c r="P1562" t="s">
        <v>8807</v>
      </c>
      <c r="Q1562" t="s">
        <v>30</v>
      </c>
      <c r="R1562" t="s">
        <v>31</v>
      </c>
      <c r="S1562" t="s">
        <v>159</v>
      </c>
    </row>
    <row r="1563" spans="1:19" x14ac:dyDescent="0.45">
      <c r="A1563" t="str">
        <f t="shared" si="102"/>
        <v>29801</v>
      </c>
      <c r="B1563" t="s">
        <v>2370</v>
      </c>
      <c r="C1563" t="str">
        <f>"28144"</f>
        <v>28144</v>
      </c>
      <c r="D1563" t="s">
        <v>8800</v>
      </c>
      <c r="E1563" t="str">
        <f>"4107"</f>
        <v>4107</v>
      </c>
      <c r="F1563" t="s">
        <v>8808</v>
      </c>
      <c r="G1563" t="s">
        <v>70</v>
      </c>
      <c r="H1563">
        <v>5</v>
      </c>
      <c r="I1563" t="s">
        <v>8802</v>
      </c>
      <c r="K1563" t="s">
        <v>8803</v>
      </c>
      <c r="L1563" t="s">
        <v>25</v>
      </c>
      <c r="M1563" t="s">
        <v>8804</v>
      </c>
      <c r="N1563" t="s">
        <v>8805</v>
      </c>
      <c r="O1563" t="s">
        <v>8806</v>
      </c>
      <c r="P1563" t="s">
        <v>8807</v>
      </c>
      <c r="Q1563" t="s">
        <v>30</v>
      </c>
      <c r="R1563" t="s">
        <v>31</v>
      </c>
      <c r="S1563" t="s">
        <v>32</v>
      </c>
    </row>
    <row r="1564" spans="1:19" x14ac:dyDescent="0.45">
      <c r="A1564" t="str">
        <f t="shared" si="102"/>
        <v>29801</v>
      </c>
      <c r="B1564" t="s">
        <v>2370</v>
      </c>
      <c r="C1564" t="str">
        <f>"28144"</f>
        <v>28144</v>
      </c>
      <c r="D1564" t="s">
        <v>8800</v>
      </c>
      <c r="E1564" t="str">
        <f>"4178"</f>
        <v>4178</v>
      </c>
      <c r="F1564" t="s">
        <v>8809</v>
      </c>
      <c r="G1564" t="s">
        <v>70</v>
      </c>
      <c r="H1564">
        <v>8</v>
      </c>
      <c r="I1564" t="s">
        <v>8810</v>
      </c>
      <c r="K1564" t="s">
        <v>3186</v>
      </c>
      <c r="L1564" t="s">
        <v>25</v>
      </c>
      <c r="M1564" t="s">
        <v>8811</v>
      </c>
      <c r="N1564" t="s">
        <v>8805</v>
      </c>
      <c r="O1564" t="s">
        <v>8806</v>
      </c>
      <c r="P1564" t="s">
        <v>8807</v>
      </c>
      <c r="Q1564" t="s">
        <v>30</v>
      </c>
      <c r="R1564" t="s">
        <v>31</v>
      </c>
      <c r="S1564" t="s">
        <v>159</v>
      </c>
    </row>
    <row r="1565" spans="1:19" x14ac:dyDescent="0.45">
      <c r="A1565" t="str">
        <f t="shared" si="102"/>
        <v>29801</v>
      </c>
      <c r="B1565" t="s">
        <v>2370</v>
      </c>
      <c r="C1565" t="str">
        <f>"28149"</f>
        <v>28149</v>
      </c>
      <c r="D1565" t="s">
        <v>4495</v>
      </c>
      <c r="E1565" t="str">
        <f>"2520"</f>
        <v>2520</v>
      </c>
      <c r="F1565" t="s">
        <v>8812</v>
      </c>
      <c r="G1565" t="s">
        <v>70</v>
      </c>
      <c r="H1565">
        <v>5</v>
      </c>
      <c r="I1565" t="s">
        <v>8813</v>
      </c>
      <c r="K1565" t="s">
        <v>8814</v>
      </c>
      <c r="L1565" t="s">
        <v>25</v>
      </c>
      <c r="M1565" t="s">
        <v>8815</v>
      </c>
      <c r="N1565" t="s">
        <v>8816</v>
      </c>
      <c r="O1565" t="s">
        <v>8817</v>
      </c>
      <c r="P1565" t="s">
        <v>8818</v>
      </c>
      <c r="Q1565" t="s">
        <v>30</v>
      </c>
      <c r="R1565" t="s">
        <v>31</v>
      </c>
      <c r="S1565" t="s">
        <v>32</v>
      </c>
    </row>
    <row r="1566" spans="1:19" x14ac:dyDescent="0.45">
      <c r="A1566" t="str">
        <f t="shared" si="102"/>
        <v>29801</v>
      </c>
      <c r="B1566" t="s">
        <v>2370</v>
      </c>
      <c r="C1566" t="str">
        <f>"28149"</f>
        <v>28149</v>
      </c>
      <c r="D1566" t="s">
        <v>4495</v>
      </c>
      <c r="E1566" t="str">
        <f>"2879"</f>
        <v>2879</v>
      </c>
      <c r="F1566" t="s">
        <v>8819</v>
      </c>
      <c r="G1566">
        <v>9</v>
      </c>
      <c r="H1566">
        <v>12</v>
      </c>
      <c r="I1566" t="s">
        <v>4286</v>
      </c>
      <c r="K1566" t="s">
        <v>4497</v>
      </c>
      <c r="L1566" t="s">
        <v>25</v>
      </c>
      <c r="M1566" t="s">
        <v>8815</v>
      </c>
      <c r="N1566" t="s">
        <v>8820</v>
      </c>
      <c r="O1566" t="s">
        <v>8821</v>
      </c>
      <c r="P1566" t="s">
        <v>8822</v>
      </c>
      <c r="Q1566" t="s">
        <v>30</v>
      </c>
      <c r="R1566" t="s">
        <v>31</v>
      </c>
      <c r="S1566" t="s">
        <v>58</v>
      </c>
    </row>
    <row r="1567" spans="1:19" x14ac:dyDescent="0.45">
      <c r="A1567" t="str">
        <f t="shared" si="102"/>
        <v>29801</v>
      </c>
      <c r="B1567" t="s">
        <v>2370</v>
      </c>
      <c r="C1567" t="str">
        <f>"28149"</f>
        <v>28149</v>
      </c>
      <c r="D1567" t="s">
        <v>4495</v>
      </c>
      <c r="E1567" t="str">
        <f>"3011"</f>
        <v>3011</v>
      </c>
      <c r="F1567" t="s">
        <v>8823</v>
      </c>
      <c r="G1567">
        <v>6</v>
      </c>
      <c r="H1567">
        <v>8</v>
      </c>
      <c r="I1567" t="s">
        <v>8813</v>
      </c>
      <c r="K1567" t="s">
        <v>8814</v>
      </c>
      <c r="L1567" t="s">
        <v>25</v>
      </c>
      <c r="M1567" t="s">
        <v>8815</v>
      </c>
      <c r="N1567" t="s">
        <v>8820</v>
      </c>
      <c r="O1567" t="s">
        <v>8821</v>
      </c>
      <c r="P1567" t="s">
        <v>8824</v>
      </c>
      <c r="Q1567" t="s">
        <v>30</v>
      </c>
      <c r="R1567" t="s">
        <v>31</v>
      </c>
      <c r="S1567" t="s">
        <v>104</v>
      </c>
    </row>
    <row r="1568" spans="1:19" x14ac:dyDescent="0.45">
      <c r="A1568" t="str">
        <f t="shared" si="102"/>
        <v>29801</v>
      </c>
      <c r="B1568" t="s">
        <v>2370</v>
      </c>
      <c r="C1568" t="str">
        <f>"29011"</f>
        <v>29011</v>
      </c>
      <c r="D1568" t="s">
        <v>8825</v>
      </c>
      <c r="E1568" t="str">
        <f>"1605"</f>
        <v>1605</v>
      </c>
      <c r="F1568" t="s">
        <v>8826</v>
      </c>
      <c r="G1568">
        <v>7</v>
      </c>
      <c r="H1568">
        <v>12</v>
      </c>
      <c r="I1568" t="s">
        <v>8827</v>
      </c>
      <c r="K1568" t="s">
        <v>8828</v>
      </c>
      <c r="L1568" t="s">
        <v>25</v>
      </c>
      <c r="M1568">
        <v>98237</v>
      </c>
      <c r="N1568" t="s">
        <v>8829</v>
      </c>
      <c r="O1568" t="s">
        <v>8830</v>
      </c>
      <c r="P1568" t="s">
        <v>8831</v>
      </c>
      <c r="Q1568" t="s">
        <v>157</v>
      </c>
      <c r="R1568" t="s">
        <v>158</v>
      </c>
      <c r="S1568" t="s">
        <v>58</v>
      </c>
    </row>
    <row r="1569" spans="1:19" x14ac:dyDescent="0.45">
      <c r="A1569" t="str">
        <f t="shared" si="102"/>
        <v>29801</v>
      </c>
      <c r="B1569" t="s">
        <v>2370</v>
      </c>
      <c r="C1569" t="str">
        <f>"29011"</f>
        <v>29011</v>
      </c>
      <c r="D1569" t="s">
        <v>8825</v>
      </c>
      <c r="E1569" t="str">
        <f>"2577"</f>
        <v>2577</v>
      </c>
      <c r="F1569" t="s">
        <v>8832</v>
      </c>
      <c r="G1569" t="s">
        <v>70</v>
      </c>
      <c r="H1569">
        <v>6</v>
      </c>
      <c r="I1569" t="s">
        <v>8833</v>
      </c>
      <c r="K1569" t="s">
        <v>8828</v>
      </c>
      <c r="L1569" t="s">
        <v>25</v>
      </c>
      <c r="M1569" t="s">
        <v>8834</v>
      </c>
      <c r="N1569" t="s">
        <v>8835</v>
      </c>
      <c r="O1569" t="s">
        <v>8836</v>
      </c>
      <c r="P1569" t="s">
        <v>8837</v>
      </c>
      <c r="Q1569" t="s">
        <v>30</v>
      </c>
      <c r="R1569" t="s">
        <v>31</v>
      </c>
      <c r="S1569" t="s">
        <v>32</v>
      </c>
    </row>
    <row r="1570" spans="1:19" x14ac:dyDescent="0.45">
      <c r="A1570" t="str">
        <f t="shared" si="102"/>
        <v>29801</v>
      </c>
      <c r="B1570" t="s">
        <v>2370</v>
      </c>
      <c r="C1570" t="str">
        <f>"29011"</f>
        <v>29011</v>
      </c>
      <c r="D1570" t="s">
        <v>8825</v>
      </c>
      <c r="E1570" t="str">
        <f>"2810"</f>
        <v>2810</v>
      </c>
      <c r="F1570" t="s">
        <v>8838</v>
      </c>
      <c r="G1570">
        <v>7</v>
      </c>
      <c r="H1570">
        <v>12</v>
      </c>
      <c r="I1570" t="s">
        <v>8839</v>
      </c>
      <c r="K1570" t="s">
        <v>8828</v>
      </c>
      <c r="L1570" t="s">
        <v>25</v>
      </c>
      <c r="M1570" t="s">
        <v>8834</v>
      </c>
      <c r="N1570" t="s">
        <v>8829</v>
      </c>
      <c r="O1570" t="s">
        <v>8830</v>
      </c>
      <c r="P1570" t="s">
        <v>8831</v>
      </c>
      <c r="Q1570" t="s">
        <v>30</v>
      </c>
      <c r="R1570" t="s">
        <v>31</v>
      </c>
      <c r="S1570" t="s">
        <v>159</v>
      </c>
    </row>
    <row r="1571" spans="1:19" x14ac:dyDescent="0.45">
      <c r="A1571" t="str">
        <f t="shared" si="102"/>
        <v>29801</v>
      </c>
      <c r="B1571" t="s">
        <v>2370</v>
      </c>
      <c r="C1571" t="str">
        <f t="shared" ref="C1571:C1577" si="103">"29100"</f>
        <v>29100</v>
      </c>
      <c r="D1571" t="s">
        <v>4335</v>
      </c>
      <c r="E1571" t="str">
        <f>"1650"</f>
        <v>1650</v>
      </c>
      <c r="F1571" t="s">
        <v>8840</v>
      </c>
      <c r="G1571" t="s">
        <v>22</v>
      </c>
      <c r="H1571" t="s">
        <v>22</v>
      </c>
      <c r="I1571" t="s">
        <v>8841</v>
      </c>
      <c r="K1571" t="s">
        <v>8842</v>
      </c>
      <c r="L1571" t="s">
        <v>25</v>
      </c>
      <c r="M1571" t="s">
        <v>8843</v>
      </c>
      <c r="N1571" t="s">
        <v>8844</v>
      </c>
      <c r="O1571" t="s">
        <v>8845</v>
      </c>
      <c r="P1571" t="s">
        <v>8846</v>
      </c>
      <c r="Q1571" t="s">
        <v>66</v>
      </c>
      <c r="R1571" t="s">
        <v>67</v>
      </c>
      <c r="S1571" t="s">
        <v>1248</v>
      </c>
    </row>
    <row r="1572" spans="1:19" x14ac:dyDescent="0.45">
      <c r="A1572" t="str">
        <f t="shared" si="102"/>
        <v>29801</v>
      </c>
      <c r="B1572" t="s">
        <v>2370</v>
      </c>
      <c r="C1572" t="str">
        <f t="shared" si="103"/>
        <v>29100</v>
      </c>
      <c r="D1572" t="s">
        <v>4335</v>
      </c>
      <c r="E1572" t="str">
        <f>"2362"</f>
        <v>2362</v>
      </c>
      <c r="F1572" t="s">
        <v>8847</v>
      </c>
      <c r="G1572">
        <v>9</v>
      </c>
      <c r="H1572">
        <v>12</v>
      </c>
      <c r="I1572" t="s">
        <v>8848</v>
      </c>
      <c r="K1572" t="s">
        <v>8842</v>
      </c>
      <c r="L1572" t="s">
        <v>25</v>
      </c>
      <c r="M1572" t="s">
        <v>8849</v>
      </c>
      <c r="N1572" t="s">
        <v>4339</v>
      </c>
      <c r="O1572" t="s">
        <v>8850</v>
      </c>
      <c r="P1572" t="s">
        <v>8851</v>
      </c>
      <c r="Q1572" t="s">
        <v>30</v>
      </c>
      <c r="R1572" t="s">
        <v>31</v>
      </c>
      <c r="S1572" t="s">
        <v>58</v>
      </c>
    </row>
    <row r="1573" spans="1:19" x14ac:dyDescent="0.45">
      <c r="A1573" t="str">
        <f t="shared" si="102"/>
        <v>29801</v>
      </c>
      <c r="B1573" t="s">
        <v>2370</v>
      </c>
      <c r="C1573" t="str">
        <f t="shared" si="103"/>
        <v>29100</v>
      </c>
      <c r="D1573" t="s">
        <v>4335</v>
      </c>
      <c r="E1573" t="str">
        <f>"2379"</f>
        <v>2379</v>
      </c>
      <c r="F1573" t="s">
        <v>8852</v>
      </c>
      <c r="G1573" t="s">
        <v>70</v>
      </c>
      <c r="H1573">
        <v>8</v>
      </c>
      <c r="I1573" t="s">
        <v>8853</v>
      </c>
      <c r="K1573" t="s">
        <v>8854</v>
      </c>
      <c r="L1573" t="s">
        <v>25</v>
      </c>
      <c r="M1573" t="s">
        <v>8855</v>
      </c>
      <c r="N1573" t="s">
        <v>8856</v>
      </c>
      <c r="O1573" t="s">
        <v>8857</v>
      </c>
      <c r="P1573" t="s">
        <v>8858</v>
      </c>
      <c r="Q1573" t="s">
        <v>30</v>
      </c>
      <c r="R1573" t="s">
        <v>31</v>
      </c>
      <c r="S1573" t="s">
        <v>159</v>
      </c>
    </row>
    <row r="1574" spans="1:19" x14ac:dyDescent="0.45">
      <c r="A1574" t="str">
        <f t="shared" si="102"/>
        <v>29801</v>
      </c>
      <c r="B1574" t="s">
        <v>2370</v>
      </c>
      <c r="C1574" t="str">
        <f t="shared" si="103"/>
        <v>29100</v>
      </c>
      <c r="D1574" t="s">
        <v>4335</v>
      </c>
      <c r="E1574" t="str">
        <f>"2946"</f>
        <v>2946</v>
      </c>
      <c r="F1574" t="s">
        <v>8859</v>
      </c>
      <c r="G1574" t="s">
        <v>70</v>
      </c>
      <c r="H1574">
        <v>6</v>
      </c>
      <c r="I1574" t="s">
        <v>8860</v>
      </c>
      <c r="K1574" t="s">
        <v>8842</v>
      </c>
      <c r="L1574" t="s">
        <v>25</v>
      </c>
      <c r="M1574" t="s">
        <v>8861</v>
      </c>
      <c r="N1574" t="s">
        <v>8862</v>
      </c>
      <c r="O1574" t="s">
        <v>8863</v>
      </c>
      <c r="P1574" t="s">
        <v>8864</v>
      </c>
      <c r="Q1574" t="s">
        <v>30</v>
      </c>
      <c r="R1574" t="s">
        <v>31</v>
      </c>
      <c r="S1574" t="s">
        <v>159</v>
      </c>
    </row>
    <row r="1575" spans="1:19" x14ac:dyDescent="0.45">
      <c r="A1575" t="str">
        <f t="shared" si="102"/>
        <v>29801</v>
      </c>
      <c r="B1575" t="s">
        <v>2370</v>
      </c>
      <c r="C1575" t="str">
        <f t="shared" si="103"/>
        <v>29100</v>
      </c>
      <c r="D1575" t="s">
        <v>4335</v>
      </c>
      <c r="E1575" t="str">
        <f>"3251"</f>
        <v>3251</v>
      </c>
      <c r="F1575" t="s">
        <v>8865</v>
      </c>
      <c r="G1575">
        <v>1</v>
      </c>
      <c r="H1575">
        <v>8</v>
      </c>
      <c r="I1575" t="s">
        <v>8866</v>
      </c>
      <c r="K1575" t="s">
        <v>8842</v>
      </c>
      <c r="L1575" t="s">
        <v>25</v>
      </c>
      <c r="M1575" t="s">
        <v>8867</v>
      </c>
      <c r="N1575" t="s">
        <v>8868</v>
      </c>
      <c r="O1575" t="s">
        <v>8869</v>
      </c>
      <c r="P1575" t="s">
        <v>8870</v>
      </c>
      <c r="Q1575" t="s">
        <v>30</v>
      </c>
      <c r="R1575" t="s">
        <v>31</v>
      </c>
      <c r="S1575" t="s">
        <v>159</v>
      </c>
    </row>
    <row r="1576" spans="1:19" x14ac:dyDescent="0.45">
      <c r="A1576" t="str">
        <f t="shared" si="102"/>
        <v>29801</v>
      </c>
      <c r="B1576" t="s">
        <v>2370</v>
      </c>
      <c r="C1576" t="str">
        <f t="shared" si="103"/>
        <v>29100</v>
      </c>
      <c r="D1576" t="s">
        <v>4335</v>
      </c>
      <c r="E1576" t="str">
        <f>"3603"</f>
        <v>3603</v>
      </c>
      <c r="F1576" t="s">
        <v>8871</v>
      </c>
      <c r="G1576" t="s">
        <v>70</v>
      </c>
      <c r="H1576">
        <v>8</v>
      </c>
      <c r="I1576" t="s">
        <v>8872</v>
      </c>
      <c r="K1576" t="s">
        <v>8873</v>
      </c>
      <c r="L1576" t="s">
        <v>25</v>
      </c>
      <c r="M1576" t="s">
        <v>8874</v>
      </c>
      <c r="N1576" t="s">
        <v>8875</v>
      </c>
      <c r="O1576" t="s">
        <v>8876</v>
      </c>
      <c r="P1576" t="s">
        <v>8877</v>
      </c>
      <c r="Q1576" t="s">
        <v>30</v>
      </c>
      <c r="R1576" t="s">
        <v>31</v>
      </c>
      <c r="S1576" t="s">
        <v>159</v>
      </c>
    </row>
    <row r="1577" spans="1:19" x14ac:dyDescent="0.45">
      <c r="A1577" t="str">
        <f t="shared" si="102"/>
        <v>29801</v>
      </c>
      <c r="B1577" t="s">
        <v>2370</v>
      </c>
      <c r="C1577" t="str">
        <f t="shared" si="103"/>
        <v>29100</v>
      </c>
      <c r="D1577" t="s">
        <v>4335</v>
      </c>
      <c r="E1577" t="str">
        <f>"4412"</f>
        <v>4412</v>
      </c>
      <c r="F1577" t="s">
        <v>8878</v>
      </c>
      <c r="G1577" t="s">
        <v>70</v>
      </c>
      <c r="H1577">
        <v>8</v>
      </c>
      <c r="I1577" t="s">
        <v>8879</v>
      </c>
      <c r="K1577" t="s">
        <v>8842</v>
      </c>
      <c r="L1577" t="s">
        <v>25</v>
      </c>
      <c r="M1577" t="s">
        <v>8880</v>
      </c>
      <c r="N1577" t="s">
        <v>8881</v>
      </c>
      <c r="O1577" t="s">
        <v>8882</v>
      </c>
      <c r="P1577" t="s">
        <v>8846</v>
      </c>
      <c r="Q1577" t="s">
        <v>30</v>
      </c>
      <c r="R1577" t="s">
        <v>31</v>
      </c>
      <c r="S1577" t="s">
        <v>159</v>
      </c>
    </row>
    <row r="1578" spans="1:19" x14ac:dyDescent="0.45">
      <c r="A1578" t="str">
        <f t="shared" si="102"/>
        <v>29801</v>
      </c>
      <c r="B1578" t="s">
        <v>2370</v>
      </c>
      <c r="C1578" t="str">
        <f t="shared" ref="C1578:C1587" si="104">"29101"</f>
        <v>29101</v>
      </c>
      <c r="D1578" t="s">
        <v>2967</v>
      </c>
      <c r="E1578" t="str">
        <f>"1537"</f>
        <v>1537</v>
      </c>
      <c r="F1578" t="s">
        <v>8883</v>
      </c>
      <c r="G1578">
        <v>9</v>
      </c>
      <c r="H1578">
        <v>12</v>
      </c>
      <c r="I1578" t="s">
        <v>8884</v>
      </c>
      <c r="K1578" t="s">
        <v>2970</v>
      </c>
      <c r="L1578" t="s">
        <v>25</v>
      </c>
      <c r="M1578" t="s">
        <v>8885</v>
      </c>
      <c r="N1578" t="s">
        <v>8886</v>
      </c>
      <c r="O1578" t="s">
        <v>8887</v>
      </c>
      <c r="P1578" t="s">
        <v>8888</v>
      </c>
      <c r="Q1578" t="s">
        <v>157</v>
      </c>
      <c r="R1578" t="s">
        <v>158</v>
      </c>
      <c r="S1578" t="s">
        <v>58</v>
      </c>
    </row>
    <row r="1579" spans="1:19" x14ac:dyDescent="0.45">
      <c r="A1579" t="str">
        <f t="shared" si="102"/>
        <v>29801</v>
      </c>
      <c r="B1579" t="s">
        <v>2370</v>
      </c>
      <c r="C1579" t="str">
        <f t="shared" si="104"/>
        <v>29101</v>
      </c>
      <c r="D1579" t="s">
        <v>2967</v>
      </c>
      <c r="E1579" t="str">
        <f>"2150"</f>
        <v>2150</v>
      </c>
      <c r="F1579" t="s">
        <v>8889</v>
      </c>
      <c r="G1579">
        <v>9</v>
      </c>
      <c r="H1579">
        <v>12</v>
      </c>
      <c r="I1579" t="s">
        <v>8890</v>
      </c>
      <c r="K1579" t="s">
        <v>2970</v>
      </c>
      <c r="L1579" t="s">
        <v>25</v>
      </c>
      <c r="M1579" t="s">
        <v>8885</v>
      </c>
      <c r="N1579" t="s">
        <v>8891</v>
      </c>
      <c r="O1579" t="s">
        <v>8892</v>
      </c>
      <c r="P1579" t="s">
        <v>8893</v>
      </c>
      <c r="Q1579" t="s">
        <v>30</v>
      </c>
      <c r="R1579" t="s">
        <v>31</v>
      </c>
      <c r="S1579" t="s">
        <v>58</v>
      </c>
    </row>
    <row r="1580" spans="1:19" x14ac:dyDescent="0.45">
      <c r="A1580" t="str">
        <f t="shared" si="102"/>
        <v>29801</v>
      </c>
      <c r="B1580" t="s">
        <v>2370</v>
      </c>
      <c r="C1580" t="str">
        <f t="shared" si="104"/>
        <v>29101</v>
      </c>
      <c r="D1580" t="s">
        <v>2967</v>
      </c>
      <c r="E1580" t="str">
        <f>"2380"</f>
        <v>2380</v>
      </c>
      <c r="F1580" t="s">
        <v>4750</v>
      </c>
      <c r="G1580" t="s">
        <v>70</v>
      </c>
      <c r="H1580">
        <v>6</v>
      </c>
      <c r="I1580" t="s">
        <v>8894</v>
      </c>
      <c r="K1580" t="s">
        <v>2970</v>
      </c>
      <c r="L1580" t="s">
        <v>25</v>
      </c>
      <c r="M1580" t="s">
        <v>8885</v>
      </c>
      <c r="N1580" t="s">
        <v>8895</v>
      </c>
      <c r="O1580" t="s">
        <v>8896</v>
      </c>
      <c r="P1580" t="s">
        <v>8897</v>
      </c>
      <c r="Q1580" t="s">
        <v>30</v>
      </c>
      <c r="R1580" t="s">
        <v>31</v>
      </c>
      <c r="S1580" t="s">
        <v>32</v>
      </c>
    </row>
    <row r="1581" spans="1:19" x14ac:dyDescent="0.45">
      <c r="A1581" t="str">
        <f t="shared" si="102"/>
        <v>29801</v>
      </c>
      <c r="B1581" t="s">
        <v>2370</v>
      </c>
      <c r="C1581" t="str">
        <f t="shared" si="104"/>
        <v>29101</v>
      </c>
      <c r="D1581" t="s">
        <v>2967</v>
      </c>
      <c r="E1581" t="str">
        <f>"2521"</f>
        <v>2521</v>
      </c>
      <c r="F1581" t="s">
        <v>8898</v>
      </c>
      <c r="G1581" t="s">
        <v>70</v>
      </c>
      <c r="H1581">
        <v>6</v>
      </c>
      <c r="I1581" t="s">
        <v>8899</v>
      </c>
      <c r="K1581" t="s">
        <v>2936</v>
      </c>
      <c r="L1581" t="s">
        <v>25</v>
      </c>
      <c r="M1581" t="s">
        <v>8900</v>
      </c>
      <c r="N1581" t="s">
        <v>79</v>
      </c>
      <c r="Q1581" t="s">
        <v>30</v>
      </c>
      <c r="R1581" t="s">
        <v>31</v>
      </c>
      <c r="S1581" t="s">
        <v>32</v>
      </c>
    </row>
    <row r="1582" spans="1:19" x14ac:dyDescent="0.45">
      <c r="A1582" t="str">
        <f t="shared" si="102"/>
        <v>29801</v>
      </c>
      <c r="B1582" t="s">
        <v>2370</v>
      </c>
      <c r="C1582" t="str">
        <f t="shared" si="104"/>
        <v>29101</v>
      </c>
      <c r="D1582" t="s">
        <v>2967</v>
      </c>
      <c r="E1582" t="str">
        <f>"2620"</f>
        <v>2620</v>
      </c>
      <c r="F1582" t="s">
        <v>8901</v>
      </c>
      <c r="G1582" t="s">
        <v>70</v>
      </c>
      <c r="H1582">
        <v>6</v>
      </c>
      <c r="I1582" t="s">
        <v>8902</v>
      </c>
      <c r="K1582" t="s">
        <v>8903</v>
      </c>
      <c r="L1582" t="s">
        <v>25</v>
      </c>
      <c r="M1582" t="s">
        <v>8904</v>
      </c>
      <c r="N1582" t="s">
        <v>2971</v>
      </c>
      <c r="O1582" t="s">
        <v>2972</v>
      </c>
      <c r="P1582" t="s">
        <v>8905</v>
      </c>
      <c r="Q1582" t="s">
        <v>30</v>
      </c>
      <c r="R1582" t="s">
        <v>31</v>
      </c>
      <c r="S1582" t="s">
        <v>32</v>
      </c>
    </row>
    <row r="1583" spans="1:19" x14ac:dyDescent="0.45">
      <c r="A1583" t="str">
        <f t="shared" si="102"/>
        <v>29801</v>
      </c>
      <c r="B1583" t="s">
        <v>2370</v>
      </c>
      <c r="C1583" t="str">
        <f t="shared" si="104"/>
        <v>29101</v>
      </c>
      <c r="D1583" t="s">
        <v>2967</v>
      </c>
      <c r="E1583" t="str">
        <f>"2774"</f>
        <v>2774</v>
      </c>
      <c r="F1583" t="s">
        <v>8906</v>
      </c>
      <c r="G1583" t="s">
        <v>70</v>
      </c>
      <c r="H1583">
        <v>6</v>
      </c>
      <c r="I1583" t="s">
        <v>8907</v>
      </c>
      <c r="K1583" t="s">
        <v>2970</v>
      </c>
      <c r="L1583" t="s">
        <v>25</v>
      </c>
      <c r="M1583" t="s">
        <v>8885</v>
      </c>
      <c r="N1583" t="s">
        <v>8908</v>
      </c>
      <c r="O1583" t="s">
        <v>8909</v>
      </c>
      <c r="P1583" t="s">
        <v>8910</v>
      </c>
      <c r="Q1583" t="s">
        <v>30</v>
      </c>
      <c r="R1583" t="s">
        <v>31</v>
      </c>
      <c r="S1583" t="s">
        <v>32</v>
      </c>
    </row>
    <row r="1584" spans="1:19" x14ac:dyDescent="0.45">
      <c r="A1584" t="str">
        <f t="shared" si="102"/>
        <v>29801</v>
      </c>
      <c r="B1584" t="s">
        <v>2370</v>
      </c>
      <c r="C1584" t="str">
        <f t="shared" si="104"/>
        <v>29101</v>
      </c>
      <c r="D1584" t="s">
        <v>2967</v>
      </c>
      <c r="E1584" t="str">
        <f>"3181"</f>
        <v>3181</v>
      </c>
      <c r="F1584" t="s">
        <v>274</v>
      </c>
      <c r="G1584">
        <v>7</v>
      </c>
      <c r="H1584">
        <v>8</v>
      </c>
      <c r="I1584" t="s">
        <v>8911</v>
      </c>
      <c r="K1584" t="s">
        <v>2970</v>
      </c>
      <c r="L1584" t="s">
        <v>25</v>
      </c>
      <c r="M1584" t="s">
        <v>8885</v>
      </c>
      <c r="N1584" t="s">
        <v>8912</v>
      </c>
      <c r="O1584" t="s">
        <v>8913</v>
      </c>
      <c r="P1584" t="s">
        <v>8914</v>
      </c>
      <c r="Q1584" t="s">
        <v>30</v>
      </c>
      <c r="R1584" t="s">
        <v>31</v>
      </c>
      <c r="S1584" t="s">
        <v>104</v>
      </c>
    </row>
    <row r="1585" spans="1:19" x14ac:dyDescent="0.45">
      <c r="A1585" t="str">
        <f t="shared" si="102"/>
        <v>29801</v>
      </c>
      <c r="B1585" t="s">
        <v>2370</v>
      </c>
      <c r="C1585" t="str">
        <f t="shared" si="104"/>
        <v>29101</v>
      </c>
      <c r="D1585" t="s">
        <v>2967</v>
      </c>
      <c r="E1585" t="str">
        <f>"3402"</f>
        <v>3402</v>
      </c>
      <c r="F1585" t="s">
        <v>8915</v>
      </c>
      <c r="G1585" t="s">
        <v>70</v>
      </c>
      <c r="H1585">
        <v>6</v>
      </c>
      <c r="I1585" t="s">
        <v>8916</v>
      </c>
      <c r="K1585" t="s">
        <v>2970</v>
      </c>
      <c r="L1585" t="s">
        <v>25</v>
      </c>
      <c r="M1585" t="s">
        <v>8885</v>
      </c>
      <c r="N1585" t="s">
        <v>8917</v>
      </c>
      <c r="O1585" t="s">
        <v>8918</v>
      </c>
      <c r="P1585" t="s">
        <v>8919</v>
      </c>
      <c r="Q1585" t="s">
        <v>30</v>
      </c>
      <c r="R1585" t="s">
        <v>31</v>
      </c>
      <c r="S1585" t="s">
        <v>32</v>
      </c>
    </row>
    <row r="1586" spans="1:19" x14ac:dyDescent="0.45">
      <c r="A1586" t="str">
        <f t="shared" si="102"/>
        <v>29801</v>
      </c>
      <c r="B1586" t="s">
        <v>2370</v>
      </c>
      <c r="C1586" t="str">
        <f t="shared" si="104"/>
        <v>29101</v>
      </c>
      <c r="D1586" t="s">
        <v>2967</v>
      </c>
      <c r="E1586" t="str">
        <f>"3403"</f>
        <v>3403</v>
      </c>
      <c r="F1586" t="s">
        <v>8920</v>
      </c>
      <c r="G1586" t="s">
        <v>70</v>
      </c>
      <c r="H1586">
        <v>6</v>
      </c>
      <c r="I1586" t="s">
        <v>8921</v>
      </c>
      <c r="K1586" t="s">
        <v>8922</v>
      </c>
      <c r="L1586" t="s">
        <v>25</v>
      </c>
      <c r="M1586" t="s">
        <v>8923</v>
      </c>
      <c r="N1586" t="s">
        <v>8924</v>
      </c>
      <c r="O1586" t="s">
        <v>8925</v>
      </c>
      <c r="P1586" t="s">
        <v>8926</v>
      </c>
      <c r="Q1586" t="s">
        <v>30</v>
      </c>
      <c r="R1586" t="s">
        <v>31</v>
      </c>
      <c r="S1586" t="s">
        <v>32</v>
      </c>
    </row>
    <row r="1587" spans="1:19" x14ac:dyDescent="0.45">
      <c r="A1587" t="str">
        <f t="shared" si="102"/>
        <v>29801</v>
      </c>
      <c r="B1587" t="s">
        <v>2370</v>
      </c>
      <c r="C1587" t="str">
        <f t="shared" si="104"/>
        <v>29101</v>
      </c>
      <c r="D1587" t="s">
        <v>2967</v>
      </c>
      <c r="E1587" t="str">
        <f>"3942"</f>
        <v>3942</v>
      </c>
      <c r="F1587" t="s">
        <v>7288</v>
      </c>
      <c r="G1587" t="s">
        <v>70</v>
      </c>
      <c r="H1587">
        <v>6</v>
      </c>
      <c r="I1587" t="s">
        <v>8927</v>
      </c>
      <c r="K1587" t="s">
        <v>2970</v>
      </c>
      <c r="L1587" t="s">
        <v>25</v>
      </c>
      <c r="M1587" t="s">
        <v>8885</v>
      </c>
      <c r="N1587" t="s">
        <v>8928</v>
      </c>
      <c r="O1587" t="s">
        <v>8929</v>
      </c>
      <c r="P1587" t="s">
        <v>8930</v>
      </c>
      <c r="Q1587" t="s">
        <v>30</v>
      </c>
      <c r="R1587" t="s">
        <v>31</v>
      </c>
      <c r="S1587" t="s">
        <v>32</v>
      </c>
    </row>
    <row r="1588" spans="1:19" x14ac:dyDescent="0.45">
      <c r="A1588" t="str">
        <f t="shared" si="102"/>
        <v>29801</v>
      </c>
      <c r="B1588" t="s">
        <v>2370</v>
      </c>
      <c r="C1588" t="str">
        <f t="shared" ref="C1588:C1593" si="105">"29103"</f>
        <v>29103</v>
      </c>
      <c r="D1588" t="s">
        <v>4625</v>
      </c>
      <c r="E1588" t="str">
        <f>"2467"</f>
        <v>2467</v>
      </c>
      <c r="F1588" t="s">
        <v>8931</v>
      </c>
      <c r="G1588">
        <v>9</v>
      </c>
      <c r="H1588">
        <v>12</v>
      </c>
      <c r="I1588" t="s">
        <v>8932</v>
      </c>
      <c r="K1588" t="s">
        <v>3186</v>
      </c>
      <c r="L1588" t="s">
        <v>25</v>
      </c>
      <c r="M1588" t="s">
        <v>8933</v>
      </c>
      <c r="N1588" t="s">
        <v>8934</v>
      </c>
      <c r="O1588" t="s">
        <v>8935</v>
      </c>
      <c r="P1588" t="s">
        <v>8936</v>
      </c>
      <c r="Q1588" t="s">
        <v>30</v>
      </c>
      <c r="R1588" t="s">
        <v>31</v>
      </c>
      <c r="S1588" t="s">
        <v>58</v>
      </c>
    </row>
    <row r="1589" spans="1:19" x14ac:dyDescent="0.45">
      <c r="A1589" t="str">
        <f t="shared" si="102"/>
        <v>29801</v>
      </c>
      <c r="B1589" t="s">
        <v>2370</v>
      </c>
      <c r="C1589" t="str">
        <f t="shared" si="105"/>
        <v>29103</v>
      </c>
      <c r="D1589" t="s">
        <v>4625</v>
      </c>
      <c r="E1589" t="str">
        <f>"2707"</f>
        <v>2707</v>
      </c>
      <c r="F1589" t="s">
        <v>8937</v>
      </c>
      <c r="G1589">
        <v>6</v>
      </c>
      <c r="H1589">
        <v>8</v>
      </c>
      <c r="I1589" t="s">
        <v>8938</v>
      </c>
      <c r="K1589" t="s">
        <v>3186</v>
      </c>
      <c r="L1589" t="s">
        <v>25</v>
      </c>
      <c r="M1589" t="s">
        <v>8939</v>
      </c>
      <c r="N1589" t="s">
        <v>8940</v>
      </c>
      <c r="O1589" t="s">
        <v>8941</v>
      </c>
      <c r="P1589" t="s">
        <v>8942</v>
      </c>
      <c r="Q1589" t="s">
        <v>30</v>
      </c>
      <c r="R1589" t="s">
        <v>31</v>
      </c>
      <c r="S1589" t="s">
        <v>104</v>
      </c>
    </row>
    <row r="1590" spans="1:19" x14ac:dyDescent="0.45">
      <c r="A1590" t="str">
        <f t="shared" si="102"/>
        <v>29801</v>
      </c>
      <c r="B1590" t="s">
        <v>2370</v>
      </c>
      <c r="C1590" t="str">
        <f t="shared" si="105"/>
        <v>29103</v>
      </c>
      <c r="D1590" t="s">
        <v>4625</v>
      </c>
      <c r="E1590" t="str">
        <f>"3057"</f>
        <v>3057</v>
      </c>
      <c r="F1590" t="s">
        <v>8943</v>
      </c>
      <c r="G1590" t="s">
        <v>70</v>
      </c>
      <c r="H1590">
        <v>5</v>
      </c>
      <c r="I1590" t="s">
        <v>8944</v>
      </c>
      <c r="K1590" t="s">
        <v>3186</v>
      </c>
      <c r="L1590" t="s">
        <v>25</v>
      </c>
      <c r="M1590" t="s">
        <v>8945</v>
      </c>
      <c r="N1590" t="s">
        <v>8946</v>
      </c>
      <c r="O1590" t="s">
        <v>8947</v>
      </c>
      <c r="P1590" t="s">
        <v>8948</v>
      </c>
      <c r="Q1590" t="s">
        <v>30</v>
      </c>
      <c r="R1590" t="s">
        <v>31</v>
      </c>
      <c r="S1590" t="s">
        <v>32</v>
      </c>
    </row>
    <row r="1591" spans="1:19" x14ac:dyDescent="0.45">
      <c r="A1591" t="str">
        <f t="shared" si="102"/>
        <v>29801</v>
      </c>
      <c r="B1591" t="s">
        <v>2370</v>
      </c>
      <c r="C1591" t="str">
        <f t="shared" si="105"/>
        <v>29103</v>
      </c>
      <c r="D1591" t="s">
        <v>4625</v>
      </c>
      <c r="E1591" t="str">
        <f>"3182"</f>
        <v>3182</v>
      </c>
      <c r="F1591" t="s">
        <v>8949</v>
      </c>
      <c r="G1591" t="s">
        <v>70</v>
      </c>
      <c r="H1591">
        <v>5</v>
      </c>
      <c r="I1591" t="s">
        <v>8950</v>
      </c>
      <c r="K1591" t="s">
        <v>3186</v>
      </c>
      <c r="L1591" t="s">
        <v>25</v>
      </c>
      <c r="M1591" t="s">
        <v>8951</v>
      </c>
      <c r="N1591" t="s">
        <v>8952</v>
      </c>
      <c r="O1591" t="s">
        <v>8953</v>
      </c>
      <c r="P1591" t="s">
        <v>8942</v>
      </c>
      <c r="Q1591" t="s">
        <v>30</v>
      </c>
      <c r="R1591" t="s">
        <v>31</v>
      </c>
      <c r="S1591" t="s">
        <v>32</v>
      </c>
    </row>
    <row r="1592" spans="1:19" x14ac:dyDescent="0.45">
      <c r="A1592" t="str">
        <f t="shared" si="102"/>
        <v>29801</v>
      </c>
      <c r="B1592" t="s">
        <v>2370</v>
      </c>
      <c r="C1592" t="str">
        <f t="shared" si="105"/>
        <v>29103</v>
      </c>
      <c r="D1592" t="s">
        <v>4625</v>
      </c>
      <c r="E1592" t="str">
        <f>"3252"</f>
        <v>3252</v>
      </c>
      <c r="F1592" t="s">
        <v>8954</v>
      </c>
      <c r="G1592" t="s">
        <v>70</v>
      </c>
      <c r="H1592">
        <v>5</v>
      </c>
      <c r="I1592" t="s">
        <v>8955</v>
      </c>
      <c r="K1592" t="s">
        <v>3186</v>
      </c>
      <c r="L1592" t="s">
        <v>25</v>
      </c>
      <c r="M1592" t="s">
        <v>8956</v>
      </c>
      <c r="N1592" t="s">
        <v>8957</v>
      </c>
      <c r="O1592" t="s">
        <v>8958</v>
      </c>
      <c r="P1592" t="s">
        <v>8959</v>
      </c>
      <c r="Q1592" t="s">
        <v>30</v>
      </c>
      <c r="R1592" t="s">
        <v>31</v>
      </c>
      <c r="S1592" t="s">
        <v>32</v>
      </c>
    </row>
    <row r="1593" spans="1:19" x14ac:dyDescent="0.45">
      <c r="A1593" t="str">
        <f t="shared" si="102"/>
        <v>29801</v>
      </c>
      <c r="B1593" t="s">
        <v>2370</v>
      </c>
      <c r="C1593" t="str">
        <f t="shared" si="105"/>
        <v>29103</v>
      </c>
      <c r="D1593" t="s">
        <v>4625</v>
      </c>
      <c r="E1593" t="str">
        <f>"3404"</f>
        <v>3404</v>
      </c>
      <c r="F1593" t="s">
        <v>8960</v>
      </c>
      <c r="G1593" t="s">
        <v>22</v>
      </c>
      <c r="H1593" t="s">
        <v>70</v>
      </c>
      <c r="I1593" t="s">
        <v>8961</v>
      </c>
      <c r="K1593" t="s">
        <v>3186</v>
      </c>
      <c r="L1593" t="s">
        <v>25</v>
      </c>
      <c r="M1593" t="s">
        <v>8811</v>
      </c>
      <c r="N1593" t="s">
        <v>8962</v>
      </c>
      <c r="O1593" t="s">
        <v>8963</v>
      </c>
      <c r="P1593" t="s">
        <v>8964</v>
      </c>
      <c r="Q1593" t="s">
        <v>30</v>
      </c>
      <c r="R1593" t="s">
        <v>31</v>
      </c>
      <c r="S1593" t="s">
        <v>32</v>
      </c>
    </row>
    <row r="1594" spans="1:19" x14ac:dyDescent="0.45">
      <c r="A1594" t="str">
        <f t="shared" si="102"/>
        <v>29801</v>
      </c>
      <c r="B1594" t="s">
        <v>2370</v>
      </c>
      <c r="C1594" t="str">
        <f>"29311"</f>
        <v>29311</v>
      </c>
      <c r="D1594" t="s">
        <v>8965</v>
      </c>
      <c r="E1594" t="str">
        <f>"2276"</f>
        <v>2276</v>
      </c>
      <c r="F1594" t="s">
        <v>8966</v>
      </c>
      <c r="G1594">
        <v>9</v>
      </c>
      <c r="H1594">
        <v>12</v>
      </c>
      <c r="I1594" t="s">
        <v>8967</v>
      </c>
      <c r="K1594" t="s">
        <v>8968</v>
      </c>
      <c r="L1594" t="s">
        <v>25</v>
      </c>
      <c r="M1594" t="s">
        <v>8969</v>
      </c>
      <c r="N1594" t="s">
        <v>8970</v>
      </c>
      <c r="O1594" t="s">
        <v>8971</v>
      </c>
      <c r="P1594" t="s">
        <v>8972</v>
      </c>
      <c r="Q1594" t="s">
        <v>30</v>
      </c>
      <c r="R1594" t="s">
        <v>31</v>
      </c>
      <c r="S1594" t="s">
        <v>58</v>
      </c>
    </row>
    <row r="1595" spans="1:19" x14ac:dyDescent="0.45">
      <c r="A1595" t="str">
        <f t="shared" si="102"/>
        <v>29801</v>
      </c>
      <c r="B1595" t="s">
        <v>2370</v>
      </c>
      <c r="C1595" t="str">
        <f>"29311"</f>
        <v>29311</v>
      </c>
      <c r="D1595" t="s">
        <v>8965</v>
      </c>
      <c r="E1595" t="str">
        <f>"2522"</f>
        <v>2522</v>
      </c>
      <c r="F1595" t="s">
        <v>8973</v>
      </c>
      <c r="G1595" t="s">
        <v>70</v>
      </c>
      <c r="H1595">
        <v>5</v>
      </c>
      <c r="I1595" t="s">
        <v>8974</v>
      </c>
      <c r="K1595" t="s">
        <v>8975</v>
      </c>
      <c r="L1595" t="s">
        <v>25</v>
      </c>
      <c r="M1595" t="s">
        <v>8969</v>
      </c>
      <c r="N1595" t="s">
        <v>8976</v>
      </c>
      <c r="O1595" t="s">
        <v>8977</v>
      </c>
      <c r="P1595" t="s">
        <v>8978</v>
      </c>
      <c r="Q1595" t="s">
        <v>30</v>
      </c>
      <c r="R1595" t="s">
        <v>31</v>
      </c>
      <c r="S1595" t="s">
        <v>32</v>
      </c>
    </row>
    <row r="1596" spans="1:19" x14ac:dyDescent="0.45">
      <c r="A1596" t="str">
        <f t="shared" si="102"/>
        <v>29801</v>
      </c>
      <c r="B1596" t="s">
        <v>2370</v>
      </c>
      <c r="C1596" t="str">
        <f>"29311"</f>
        <v>29311</v>
      </c>
      <c r="D1596" t="s">
        <v>8965</v>
      </c>
      <c r="E1596" t="str">
        <f>"3900"</f>
        <v>3900</v>
      </c>
      <c r="F1596" t="s">
        <v>8979</v>
      </c>
      <c r="G1596">
        <v>6</v>
      </c>
      <c r="H1596">
        <v>8</v>
      </c>
      <c r="I1596" t="s">
        <v>8967</v>
      </c>
      <c r="K1596" t="s">
        <v>8975</v>
      </c>
      <c r="L1596" t="s">
        <v>25</v>
      </c>
      <c r="M1596" t="s">
        <v>8969</v>
      </c>
      <c r="N1596" t="s">
        <v>8980</v>
      </c>
      <c r="O1596" t="s">
        <v>8981</v>
      </c>
      <c r="P1596" t="s">
        <v>8972</v>
      </c>
      <c r="Q1596" t="s">
        <v>30</v>
      </c>
      <c r="R1596" t="s">
        <v>31</v>
      </c>
      <c r="S1596" t="s">
        <v>104</v>
      </c>
    </row>
    <row r="1597" spans="1:19" x14ac:dyDescent="0.45">
      <c r="A1597" t="str">
        <f t="shared" si="102"/>
        <v>29801</v>
      </c>
      <c r="B1597" t="s">
        <v>2370</v>
      </c>
      <c r="C1597" t="str">
        <f>"29317"</f>
        <v>29317</v>
      </c>
      <c r="D1597" t="s">
        <v>8982</v>
      </c>
      <c r="E1597" t="str">
        <f>"2578"</f>
        <v>2578</v>
      </c>
      <c r="F1597" t="s">
        <v>8983</v>
      </c>
      <c r="G1597" t="s">
        <v>70</v>
      </c>
      <c r="H1597">
        <v>8</v>
      </c>
      <c r="I1597" t="s">
        <v>8984</v>
      </c>
      <c r="K1597" t="s">
        <v>2936</v>
      </c>
      <c r="L1597" t="s">
        <v>25</v>
      </c>
      <c r="M1597" t="s">
        <v>8985</v>
      </c>
      <c r="N1597" t="s">
        <v>8986</v>
      </c>
      <c r="O1597" t="s">
        <v>8987</v>
      </c>
      <c r="P1597" t="s">
        <v>8988</v>
      </c>
      <c r="Q1597" t="s">
        <v>30</v>
      </c>
      <c r="R1597" t="s">
        <v>31</v>
      </c>
      <c r="S1597" t="s">
        <v>159</v>
      </c>
    </row>
    <row r="1598" spans="1:19" x14ac:dyDescent="0.45">
      <c r="A1598" t="str">
        <f t="shared" si="102"/>
        <v>29801</v>
      </c>
      <c r="B1598" t="s">
        <v>2370</v>
      </c>
      <c r="C1598" t="str">
        <f>"29320"</f>
        <v>29320</v>
      </c>
      <c r="D1598" t="s">
        <v>2933</v>
      </c>
      <c r="E1598" t="str">
        <f>"2295"</f>
        <v>2295</v>
      </c>
      <c r="F1598" t="s">
        <v>8989</v>
      </c>
      <c r="G1598">
        <v>9</v>
      </c>
      <c r="H1598">
        <v>12</v>
      </c>
      <c r="I1598" t="s">
        <v>8990</v>
      </c>
      <c r="K1598" t="s">
        <v>2936</v>
      </c>
      <c r="L1598" t="s">
        <v>25</v>
      </c>
      <c r="M1598" t="s">
        <v>8991</v>
      </c>
      <c r="N1598" t="s">
        <v>8992</v>
      </c>
      <c r="O1598" t="s">
        <v>8993</v>
      </c>
      <c r="P1598" t="s">
        <v>8994</v>
      </c>
      <c r="Q1598" t="s">
        <v>30</v>
      </c>
      <c r="R1598" t="s">
        <v>31</v>
      </c>
      <c r="S1598" t="s">
        <v>58</v>
      </c>
    </row>
    <row r="1599" spans="1:19" x14ac:dyDescent="0.45">
      <c r="A1599" t="str">
        <f t="shared" si="102"/>
        <v>29801</v>
      </c>
      <c r="B1599" t="s">
        <v>2370</v>
      </c>
      <c r="C1599" t="str">
        <f>"29320"</f>
        <v>29320</v>
      </c>
      <c r="D1599" t="s">
        <v>2933</v>
      </c>
      <c r="E1599" t="str">
        <f>"2880"</f>
        <v>2880</v>
      </c>
      <c r="F1599" t="s">
        <v>707</v>
      </c>
      <c r="G1599" t="s">
        <v>70</v>
      </c>
      <c r="H1599">
        <v>5</v>
      </c>
      <c r="I1599" t="s">
        <v>8995</v>
      </c>
      <c r="K1599" t="s">
        <v>2936</v>
      </c>
      <c r="L1599" t="s">
        <v>25</v>
      </c>
      <c r="M1599" t="s">
        <v>8996</v>
      </c>
      <c r="N1599" t="s">
        <v>8875</v>
      </c>
      <c r="O1599" t="s">
        <v>8997</v>
      </c>
      <c r="P1599" t="s">
        <v>8998</v>
      </c>
      <c r="Q1599" t="s">
        <v>30</v>
      </c>
      <c r="R1599" t="s">
        <v>31</v>
      </c>
      <c r="S1599" t="s">
        <v>32</v>
      </c>
    </row>
    <row r="1600" spans="1:19" x14ac:dyDescent="0.45">
      <c r="A1600" t="str">
        <f t="shared" si="102"/>
        <v>29801</v>
      </c>
      <c r="B1600" t="s">
        <v>2370</v>
      </c>
      <c r="C1600" t="str">
        <f>"29320"</f>
        <v>29320</v>
      </c>
      <c r="D1600" t="s">
        <v>2933</v>
      </c>
      <c r="E1600" t="str">
        <f>"3001"</f>
        <v>3001</v>
      </c>
      <c r="F1600" t="s">
        <v>8999</v>
      </c>
      <c r="G1600" t="s">
        <v>70</v>
      </c>
      <c r="H1600">
        <v>5</v>
      </c>
      <c r="I1600" t="s">
        <v>4631</v>
      </c>
      <c r="K1600" t="s">
        <v>2936</v>
      </c>
      <c r="L1600" t="s">
        <v>25</v>
      </c>
      <c r="M1600" t="s">
        <v>9000</v>
      </c>
      <c r="N1600" t="s">
        <v>9001</v>
      </c>
      <c r="O1600" t="s">
        <v>9002</v>
      </c>
      <c r="P1600" t="s">
        <v>9003</v>
      </c>
      <c r="Q1600" t="s">
        <v>30</v>
      </c>
      <c r="R1600" t="s">
        <v>31</v>
      </c>
      <c r="S1600" t="s">
        <v>32</v>
      </c>
    </row>
    <row r="1601" spans="1:19" x14ac:dyDescent="0.45">
      <c r="A1601" t="str">
        <f t="shared" si="102"/>
        <v>29801</v>
      </c>
      <c r="B1601" t="s">
        <v>2370</v>
      </c>
      <c r="C1601" t="str">
        <f>"29320"</f>
        <v>29320</v>
      </c>
      <c r="D1601" t="s">
        <v>2933</v>
      </c>
      <c r="E1601" t="str">
        <f>"3183"</f>
        <v>3183</v>
      </c>
      <c r="F1601" t="s">
        <v>1470</v>
      </c>
      <c r="G1601" t="s">
        <v>70</v>
      </c>
      <c r="H1601">
        <v>5</v>
      </c>
      <c r="I1601" t="s">
        <v>9004</v>
      </c>
      <c r="K1601" t="s">
        <v>2936</v>
      </c>
      <c r="L1601" t="s">
        <v>25</v>
      </c>
      <c r="M1601" t="s">
        <v>9005</v>
      </c>
      <c r="N1601" t="s">
        <v>9006</v>
      </c>
      <c r="O1601" t="s">
        <v>9007</v>
      </c>
      <c r="P1601" t="s">
        <v>9008</v>
      </c>
      <c r="Q1601" t="s">
        <v>30</v>
      </c>
      <c r="R1601" t="s">
        <v>31</v>
      </c>
      <c r="S1601" t="s">
        <v>32</v>
      </c>
    </row>
    <row r="1602" spans="1:19" x14ac:dyDescent="0.45">
      <c r="A1602" t="str">
        <f>"OSPI"</f>
        <v>OSPI</v>
      </c>
      <c r="B1602" t="s">
        <v>1763</v>
      </c>
      <c r="C1602" t="str">
        <f>"29801"</f>
        <v>29801</v>
      </c>
      <c r="D1602" t="s">
        <v>2370</v>
      </c>
      <c r="E1602" t="str">
        <f>"3363"</f>
        <v>3363</v>
      </c>
      <c r="F1602" t="s">
        <v>9009</v>
      </c>
      <c r="G1602">
        <v>8</v>
      </c>
      <c r="H1602">
        <v>12</v>
      </c>
      <c r="I1602" t="s">
        <v>9010</v>
      </c>
      <c r="K1602" t="s">
        <v>9011</v>
      </c>
      <c r="L1602" t="s">
        <v>25</v>
      </c>
      <c r="M1602" t="s">
        <v>9012</v>
      </c>
      <c r="N1602" t="s">
        <v>9013</v>
      </c>
      <c r="O1602" t="s">
        <v>9014</v>
      </c>
      <c r="P1602" t="s">
        <v>3188</v>
      </c>
      <c r="Q1602" t="s">
        <v>1312</v>
      </c>
      <c r="R1602" t="s">
        <v>1313</v>
      </c>
      <c r="S1602" t="s">
        <v>58</v>
      </c>
    </row>
    <row r="1603" spans="1:19" x14ac:dyDescent="0.45">
      <c r="A1603" t="str">
        <f>"29801"</f>
        <v>29801</v>
      </c>
      <c r="B1603" t="s">
        <v>2370</v>
      </c>
      <c r="C1603" t="str">
        <f>"29320"</f>
        <v>29320</v>
      </c>
      <c r="D1603" t="s">
        <v>2933</v>
      </c>
      <c r="E1603" t="str">
        <f>"3821"</f>
        <v>3821</v>
      </c>
      <c r="F1603" t="s">
        <v>9015</v>
      </c>
      <c r="G1603">
        <v>6</v>
      </c>
      <c r="H1603">
        <v>8</v>
      </c>
      <c r="I1603" t="s">
        <v>9016</v>
      </c>
      <c r="K1603" t="s">
        <v>2936</v>
      </c>
      <c r="L1603" t="s">
        <v>25</v>
      </c>
      <c r="M1603" t="s">
        <v>9017</v>
      </c>
      <c r="N1603" t="s">
        <v>9018</v>
      </c>
      <c r="O1603" t="s">
        <v>9019</v>
      </c>
      <c r="P1603" t="s">
        <v>9020</v>
      </c>
      <c r="Q1603" t="s">
        <v>30</v>
      </c>
      <c r="R1603" t="s">
        <v>31</v>
      </c>
      <c r="S1603" t="s">
        <v>104</v>
      </c>
    </row>
    <row r="1604" spans="1:19" x14ac:dyDescent="0.45">
      <c r="A1604" t="str">
        <f>"29801"</f>
        <v>29801</v>
      </c>
      <c r="B1604" t="s">
        <v>2370</v>
      </c>
      <c r="C1604" t="str">
        <f>"29320"</f>
        <v>29320</v>
      </c>
      <c r="D1604" t="s">
        <v>2933</v>
      </c>
      <c r="E1604" t="str">
        <f>"3829"</f>
        <v>3829</v>
      </c>
      <c r="F1604" t="s">
        <v>9021</v>
      </c>
      <c r="G1604" t="s">
        <v>22</v>
      </c>
      <c r="H1604">
        <v>12</v>
      </c>
      <c r="I1604" t="s">
        <v>9022</v>
      </c>
      <c r="K1604" t="s">
        <v>2936</v>
      </c>
      <c r="L1604" t="s">
        <v>25</v>
      </c>
      <c r="M1604" t="s">
        <v>9023</v>
      </c>
      <c r="N1604" t="s">
        <v>9024</v>
      </c>
      <c r="O1604" t="s">
        <v>9025</v>
      </c>
      <c r="P1604" t="s">
        <v>9026</v>
      </c>
      <c r="Q1604" t="s">
        <v>66</v>
      </c>
      <c r="R1604" t="s">
        <v>67</v>
      </c>
      <c r="S1604" t="s">
        <v>68</v>
      </c>
    </row>
    <row r="1605" spans="1:19" x14ac:dyDescent="0.45">
      <c r="A1605" t="str">
        <f>"29801"</f>
        <v>29801</v>
      </c>
      <c r="B1605" t="s">
        <v>2370</v>
      </c>
      <c r="C1605" t="str">
        <f>"29320"</f>
        <v>29320</v>
      </c>
      <c r="D1605" t="s">
        <v>2933</v>
      </c>
      <c r="E1605" t="str">
        <f>"4013"</f>
        <v>4013</v>
      </c>
      <c r="F1605" t="s">
        <v>9027</v>
      </c>
      <c r="G1605" t="s">
        <v>70</v>
      </c>
      <c r="H1605">
        <v>5</v>
      </c>
      <c r="I1605" t="s">
        <v>9028</v>
      </c>
      <c r="K1605" t="s">
        <v>2936</v>
      </c>
      <c r="L1605" t="s">
        <v>25</v>
      </c>
      <c r="M1605" t="s">
        <v>9029</v>
      </c>
      <c r="N1605" t="s">
        <v>9030</v>
      </c>
      <c r="O1605" t="s">
        <v>9031</v>
      </c>
      <c r="P1605" t="s">
        <v>9032</v>
      </c>
      <c r="Q1605" t="s">
        <v>30</v>
      </c>
      <c r="R1605" t="s">
        <v>31</v>
      </c>
      <c r="S1605" t="s">
        <v>32</v>
      </c>
    </row>
    <row r="1606" spans="1:19" x14ac:dyDescent="0.45">
      <c r="A1606" t="str">
        <f>"29801"</f>
        <v>29801</v>
      </c>
      <c r="B1606" t="s">
        <v>2370</v>
      </c>
      <c r="C1606" t="str">
        <f>"29320"</f>
        <v>29320</v>
      </c>
      <c r="D1606" t="s">
        <v>2933</v>
      </c>
      <c r="E1606" t="str">
        <f>"4329"</f>
        <v>4329</v>
      </c>
      <c r="F1606" t="s">
        <v>9033</v>
      </c>
      <c r="G1606" t="s">
        <v>70</v>
      </c>
      <c r="H1606">
        <v>5</v>
      </c>
      <c r="I1606" t="s">
        <v>9034</v>
      </c>
      <c r="K1606" t="s">
        <v>2936</v>
      </c>
      <c r="L1606" t="s">
        <v>25</v>
      </c>
      <c r="M1606" t="s">
        <v>9035</v>
      </c>
      <c r="N1606" t="s">
        <v>9036</v>
      </c>
      <c r="O1606" t="s">
        <v>9037</v>
      </c>
      <c r="P1606" t="s">
        <v>9038</v>
      </c>
      <c r="Q1606" t="s">
        <v>30</v>
      </c>
      <c r="R1606" t="s">
        <v>31</v>
      </c>
      <c r="S1606" t="s">
        <v>32</v>
      </c>
    </row>
    <row r="1607" spans="1:19" x14ac:dyDescent="0.45">
      <c r="A1607" t="str">
        <f>"29801"</f>
        <v>29801</v>
      </c>
      <c r="B1607" t="s">
        <v>2370</v>
      </c>
      <c r="C1607" t="str">
        <f>"29320"</f>
        <v>29320</v>
      </c>
      <c r="D1607" t="s">
        <v>2933</v>
      </c>
      <c r="E1607" t="str">
        <f>"4511"</f>
        <v>4511</v>
      </c>
      <c r="F1607" t="s">
        <v>9039</v>
      </c>
      <c r="G1607">
        <v>6</v>
      </c>
      <c r="H1607">
        <v>8</v>
      </c>
      <c r="I1607" t="s">
        <v>9040</v>
      </c>
      <c r="K1607" t="s">
        <v>2936</v>
      </c>
      <c r="L1607" t="s">
        <v>25</v>
      </c>
      <c r="M1607" t="s">
        <v>9041</v>
      </c>
      <c r="N1607" t="s">
        <v>9042</v>
      </c>
      <c r="O1607" t="s">
        <v>9043</v>
      </c>
      <c r="P1607" t="s">
        <v>9044</v>
      </c>
      <c r="Q1607" t="s">
        <v>30</v>
      </c>
      <c r="R1607" t="s">
        <v>31</v>
      </c>
      <c r="S1607" t="s">
        <v>104</v>
      </c>
    </row>
    <row r="1608" spans="1:19" x14ac:dyDescent="0.45">
      <c r="A1608" t="str">
        <f t="shared" ref="A1608:A1615" si="106">"06801"</f>
        <v>06801</v>
      </c>
      <c r="B1608" t="s">
        <v>1870</v>
      </c>
      <c r="C1608" t="str">
        <f>"30002"</f>
        <v>30002</v>
      </c>
      <c r="D1608" t="s">
        <v>9045</v>
      </c>
      <c r="E1608" t="str">
        <f>"3405"</f>
        <v>3405</v>
      </c>
      <c r="F1608" t="s">
        <v>9046</v>
      </c>
      <c r="G1608" t="s">
        <v>70</v>
      </c>
      <c r="H1608">
        <v>8</v>
      </c>
      <c r="I1608" t="s">
        <v>9047</v>
      </c>
      <c r="K1608" t="s">
        <v>9048</v>
      </c>
      <c r="L1608" t="s">
        <v>25</v>
      </c>
      <c r="M1608" t="s">
        <v>9049</v>
      </c>
      <c r="N1608" t="s">
        <v>9050</v>
      </c>
      <c r="O1608" t="s">
        <v>9051</v>
      </c>
      <c r="P1608" t="s">
        <v>9052</v>
      </c>
      <c r="Q1608" t="s">
        <v>30</v>
      </c>
      <c r="R1608" t="s">
        <v>31</v>
      </c>
      <c r="S1608" t="s">
        <v>159</v>
      </c>
    </row>
    <row r="1609" spans="1:19" x14ac:dyDescent="0.45">
      <c r="A1609" t="str">
        <f t="shared" si="106"/>
        <v>06801</v>
      </c>
      <c r="B1609" t="s">
        <v>1870</v>
      </c>
      <c r="C1609" t="str">
        <f>"30029"</f>
        <v>30029</v>
      </c>
      <c r="D1609" t="s">
        <v>9053</v>
      </c>
      <c r="E1609" t="str">
        <f>"3459"</f>
        <v>3459</v>
      </c>
      <c r="F1609" t="s">
        <v>9054</v>
      </c>
      <c r="G1609" t="s">
        <v>70</v>
      </c>
      <c r="H1609">
        <v>8</v>
      </c>
      <c r="I1609" t="s">
        <v>9055</v>
      </c>
      <c r="K1609" t="s">
        <v>2137</v>
      </c>
      <c r="L1609" t="s">
        <v>25</v>
      </c>
      <c r="M1609" t="s">
        <v>9056</v>
      </c>
      <c r="N1609" t="s">
        <v>9057</v>
      </c>
      <c r="O1609" t="s">
        <v>9058</v>
      </c>
      <c r="P1609" t="s">
        <v>9059</v>
      </c>
      <c r="Q1609" t="s">
        <v>30</v>
      </c>
      <c r="R1609" t="s">
        <v>31</v>
      </c>
      <c r="S1609" t="s">
        <v>159</v>
      </c>
    </row>
    <row r="1610" spans="1:19" x14ac:dyDescent="0.45">
      <c r="A1610" t="str">
        <f t="shared" si="106"/>
        <v>06801</v>
      </c>
      <c r="B1610" t="s">
        <v>1870</v>
      </c>
      <c r="C1610" t="str">
        <f>"30031"</f>
        <v>30031</v>
      </c>
      <c r="D1610" t="s">
        <v>3084</v>
      </c>
      <c r="E1610" t="str">
        <f>"3406"</f>
        <v>3406</v>
      </c>
      <c r="F1610" t="s">
        <v>9060</v>
      </c>
      <c r="G1610" t="s">
        <v>70</v>
      </c>
      <c r="H1610">
        <v>8</v>
      </c>
      <c r="I1610" t="s">
        <v>9061</v>
      </c>
      <c r="K1610" t="s">
        <v>9062</v>
      </c>
      <c r="L1610" t="s">
        <v>25</v>
      </c>
      <c r="M1610" t="s">
        <v>9063</v>
      </c>
      <c r="N1610" t="s">
        <v>9064</v>
      </c>
      <c r="O1610" t="s">
        <v>9065</v>
      </c>
      <c r="P1610" t="s">
        <v>9066</v>
      </c>
      <c r="Q1610" t="s">
        <v>30</v>
      </c>
      <c r="R1610" t="s">
        <v>31</v>
      </c>
      <c r="S1610" t="s">
        <v>159</v>
      </c>
    </row>
    <row r="1611" spans="1:19" x14ac:dyDescent="0.45">
      <c r="A1611" t="str">
        <f t="shared" si="106"/>
        <v>06801</v>
      </c>
      <c r="B1611" t="s">
        <v>1870</v>
      </c>
      <c r="C1611" t="str">
        <f>"30303"</f>
        <v>30303</v>
      </c>
      <c r="D1611" t="s">
        <v>4588</v>
      </c>
      <c r="E1611" t="str">
        <f>"1765"</f>
        <v>1765</v>
      </c>
      <c r="F1611" t="s">
        <v>9067</v>
      </c>
      <c r="G1611" t="s">
        <v>22</v>
      </c>
      <c r="H1611" t="s">
        <v>22</v>
      </c>
      <c r="I1611" t="s">
        <v>4590</v>
      </c>
      <c r="K1611" t="s">
        <v>4591</v>
      </c>
      <c r="L1611" t="s">
        <v>25</v>
      </c>
      <c r="M1611" t="s">
        <v>9068</v>
      </c>
      <c r="N1611" t="s">
        <v>9069</v>
      </c>
      <c r="O1611" t="s">
        <v>9070</v>
      </c>
      <c r="P1611" t="s">
        <v>9071</v>
      </c>
      <c r="Q1611" t="s">
        <v>66</v>
      </c>
      <c r="R1611" t="s">
        <v>67</v>
      </c>
      <c r="S1611" t="s">
        <v>1248</v>
      </c>
    </row>
    <row r="1612" spans="1:19" x14ac:dyDescent="0.45">
      <c r="A1612" t="str">
        <f t="shared" si="106"/>
        <v>06801</v>
      </c>
      <c r="B1612" t="s">
        <v>1870</v>
      </c>
      <c r="C1612" t="str">
        <f>"30303"</f>
        <v>30303</v>
      </c>
      <c r="D1612" t="s">
        <v>4588</v>
      </c>
      <c r="E1612" t="str">
        <f>"2682"</f>
        <v>2682</v>
      </c>
      <c r="F1612" t="s">
        <v>512</v>
      </c>
      <c r="G1612" t="s">
        <v>70</v>
      </c>
      <c r="H1612">
        <v>2</v>
      </c>
      <c r="I1612" t="s">
        <v>9072</v>
      </c>
      <c r="K1612" t="s">
        <v>4591</v>
      </c>
      <c r="L1612" t="s">
        <v>25</v>
      </c>
      <c r="M1612" t="s">
        <v>9068</v>
      </c>
      <c r="N1612" t="s">
        <v>9069</v>
      </c>
      <c r="O1612" t="s">
        <v>9073</v>
      </c>
      <c r="P1612" t="s">
        <v>9071</v>
      </c>
      <c r="Q1612" t="s">
        <v>30</v>
      </c>
      <c r="R1612" t="s">
        <v>31</v>
      </c>
      <c r="S1612" t="s">
        <v>32</v>
      </c>
    </row>
    <row r="1613" spans="1:19" x14ac:dyDescent="0.45">
      <c r="A1613" t="str">
        <f t="shared" si="106"/>
        <v>06801</v>
      </c>
      <c r="B1613" t="s">
        <v>1870</v>
      </c>
      <c r="C1613" t="str">
        <f>"30303"</f>
        <v>30303</v>
      </c>
      <c r="D1613" t="s">
        <v>4588</v>
      </c>
      <c r="E1613" t="str">
        <f>"2882"</f>
        <v>2882</v>
      </c>
      <c r="F1613" t="s">
        <v>9074</v>
      </c>
      <c r="G1613">
        <v>3</v>
      </c>
      <c r="H1613">
        <v>6</v>
      </c>
      <c r="I1613" t="s">
        <v>9072</v>
      </c>
      <c r="K1613" t="s">
        <v>4591</v>
      </c>
      <c r="L1613" t="s">
        <v>25</v>
      </c>
      <c r="M1613" t="s">
        <v>9068</v>
      </c>
      <c r="N1613" t="s">
        <v>9075</v>
      </c>
      <c r="O1613" t="s">
        <v>9076</v>
      </c>
      <c r="P1613" t="s">
        <v>9077</v>
      </c>
      <c r="Q1613" t="s">
        <v>30</v>
      </c>
      <c r="R1613" t="s">
        <v>31</v>
      </c>
      <c r="S1613" t="s">
        <v>32</v>
      </c>
    </row>
    <row r="1614" spans="1:19" x14ac:dyDescent="0.45">
      <c r="A1614" t="str">
        <f t="shared" si="106"/>
        <v>06801</v>
      </c>
      <c r="B1614" t="s">
        <v>1870</v>
      </c>
      <c r="C1614" t="str">
        <f>"30303"</f>
        <v>30303</v>
      </c>
      <c r="D1614" t="s">
        <v>4588</v>
      </c>
      <c r="E1614" t="str">
        <f>"3119"</f>
        <v>3119</v>
      </c>
      <c r="F1614" t="s">
        <v>9078</v>
      </c>
      <c r="G1614">
        <v>9</v>
      </c>
      <c r="H1614">
        <v>12</v>
      </c>
      <c r="I1614" t="s">
        <v>9072</v>
      </c>
      <c r="K1614" t="s">
        <v>4591</v>
      </c>
      <c r="L1614" t="s">
        <v>25</v>
      </c>
      <c r="M1614" t="s">
        <v>9068</v>
      </c>
      <c r="N1614" t="s">
        <v>9079</v>
      </c>
      <c r="O1614" t="s">
        <v>9080</v>
      </c>
      <c r="P1614" t="s">
        <v>9081</v>
      </c>
      <c r="Q1614" t="s">
        <v>30</v>
      </c>
      <c r="R1614" t="s">
        <v>31</v>
      </c>
      <c r="S1614" t="s">
        <v>58</v>
      </c>
    </row>
    <row r="1615" spans="1:19" x14ac:dyDescent="0.45">
      <c r="A1615" t="str">
        <f t="shared" si="106"/>
        <v>06801</v>
      </c>
      <c r="B1615" t="s">
        <v>1870</v>
      </c>
      <c r="C1615" t="str">
        <f>"30303"</f>
        <v>30303</v>
      </c>
      <c r="D1615" t="s">
        <v>4588</v>
      </c>
      <c r="E1615" t="str">
        <f>"3800"</f>
        <v>3800</v>
      </c>
      <c r="F1615" t="s">
        <v>9082</v>
      </c>
      <c r="G1615">
        <v>7</v>
      </c>
      <c r="H1615">
        <v>8</v>
      </c>
      <c r="I1615" t="s">
        <v>9072</v>
      </c>
      <c r="K1615" t="s">
        <v>4591</v>
      </c>
      <c r="L1615" t="s">
        <v>25</v>
      </c>
      <c r="M1615" t="s">
        <v>9068</v>
      </c>
      <c r="N1615" t="s">
        <v>9079</v>
      </c>
      <c r="O1615" t="s">
        <v>9083</v>
      </c>
      <c r="P1615" t="s">
        <v>9081</v>
      </c>
      <c r="Q1615" t="s">
        <v>30</v>
      </c>
      <c r="R1615" t="s">
        <v>31</v>
      </c>
      <c r="S1615" t="s">
        <v>104</v>
      </c>
    </row>
    <row r="1616" spans="1:19" x14ac:dyDescent="0.45">
      <c r="A1616" t="str">
        <f>"29801"</f>
        <v>29801</v>
      </c>
      <c r="B1616" t="s">
        <v>2370</v>
      </c>
      <c r="C1616" t="str">
        <f>"31002"</f>
        <v>31002</v>
      </c>
      <c r="D1616" t="s">
        <v>2378</v>
      </c>
      <c r="E1616" t="str">
        <f>"1663"</f>
        <v>1663</v>
      </c>
      <c r="F1616" t="s">
        <v>9084</v>
      </c>
      <c r="G1616">
        <v>9</v>
      </c>
      <c r="H1616">
        <v>12</v>
      </c>
      <c r="I1616" t="s">
        <v>2380</v>
      </c>
      <c r="K1616" t="s">
        <v>2381</v>
      </c>
      <c r="L1616" t="s">
        <v>25</v>
      </c>
      <c r="M1616" t="s">
        <v>2382</v>
      </c>
      <c r="N1616" t="s">
        <v>2795</v>
      </c>
      <c r="O1616" t="s">
        <v>2796</v>
      </c>
      <c r="P1616" t="s">
        <v>2797</v>
      </c>
      <c r="Q1616" t="s">
        <v>157</v>
      </c>
      <c r="R1616" t="s">
        <v>158</v>
      </c>
      <c r="S1616" t="s">
        <v>58</v>
      </c>
    </row>
    <row r="1617" spans="1:19" x14ac:dyDescent="0.45">
      <c r="A1617" t="str">
        <f>"29801"</f>
        <v>29801</v>
      </c>
      <c r="B1617" t="s">
        <v>2370</v>
      </c>
      <c r="C1617" t="str">
        <f>"31002"</f>
        <v>31002</v>
      </c>
      <c r="D1617" t="s">
        <v>2378</v>
      </c>
      <c r="E1617" t="str">
        <f>"1810"</f>
        <v>1810</v>
      </c>
      <c r="F1617" t="s">
        <v>9085</v>
      </c>
      <c r="G1617">
        <v>7</v>
      </c>
      <c r="H1617">
        <v>12</v>
      </c>
      <c r="I1617" t="s">
        <v>9086</v>
      </c>
      <c r="K1617" t="s">
        <v>2381</v>
      </c>
      <c r="L1617" t="s">
        <v>25</v>
      </c>
      <c r="M1617" t="s">
        <v>9087</v>
      </c>
      <c r="N1617" t="s">
        <v>9088</v>
      </c>
      <c r="O1617" t="s">
        <v>9089</v>
      </c>
      <c r="P1617" t="s">
        <v>9090</v>
      </c>
      <c r="Q1617" t="s">
        <v>2034</v>
      </c>
      <c r="R1617" t="s">
        <v>963</v>
      </c>
      <c r="S1617" t="s">
        <v>159</v>
      </c>
    </row>
    <row r="1618" spans="1:19" x14ac:dyDescent="0.45">
      <c r="A1618" t="str">
        <f>"OSPI"</f>
        <v>OSPI</v>
      </c>
      <c r="B1618" t="s">
        <v>1763</v>
      </c>
      <c r="C1618" t="str">
        <f>"29801"</f>
        <v>29801</v>
      </c>
      <c r="D1618" t="s">
        <v>2370</v>
      </c>
      <c r="E1618" t="str">
        <f>"1811"</f>
        <v>1811</v>
      </c>
      <c r="F1618" t="s">
        <v>9091</v>
      </c>
      <c r="G1618">
        <v>6</v>
      </c>
      <c r="H1618">
        <v>12</v>
      </c>
      <c r="I1618" t="s">
        <v>9092</v>
      </c>
      <c r="K1618" t="s">
        <v>2381</v>
      </c>
      <c r="L1618" t="s">
        <v>25</v>
      </c>
      <c r="M1618" t="s">
        <v>9093</v>
      </c>
      <c r="N1618" t="s">
        <v>9013</v>
      </c>
      <c r="O1618" t="s">
        <v>9014</v>
      </c>
      <c r="P1618" t="s">
        <v>3188</v>
      </c>
      <c r="Q1618" t="s">
        <v>157</v>
      </c>
      <c r="R1618" t="s">
        <v>158</v>
      </c>
      <c r="S1618" t="s">
        <v>159</v>
      </c>
    </row>
    <row r="1619" spans="1:19" x14ac:dyDescent="0.45">
      <c r="A1619" t="str">
        <f>"29801"</f>
        <v>29801</v>
      </c>
      <c r="B1619" t="s">
        <v>2370</v>
      </c>
      <c r="C1619" t="str">
        <f>"31002"</f>
        <v>31002</v>
      </c>
      <c r="D1619" t="s">
        <v>2378</v>
      </c>
      <c r="E1619" t="str">
        <f>"2065"</f>
        <v>2065</v>
      </c>
      <c r="F1619" t="s">
        <v>9094</v>
      </c>
      <c r="G1619" t="s">
        <v>22</v>
      </c>
      <c r="H1619">
        <v>5</v>
      </c>
      <c r="I1619" t="s">
        <v>9095</v>
      </c>
      <c r="K1619" t="s">
        <v>2381</v>
      </c>
      <c r="L1619" t="s">
        <v>25</v>
      </c>
      <c r="M1619" t="s">
        <v>9096</v>
      </c>
      <c r="N1619" t="s">
        <v>9097</v>
      </c>
      <c r="O1619" t="s">
        <v>9098</v>
      </c>
      <c r="P1619" t="s">
        <v>9099</v>
      </c>
      <c r="Q1619" t="s">
        <v>30</v>
      </c>
      <c r="R1619" t="s">
        <v>31</v>
      </c>
      <c r="S1619" t="s">
        <v>32</v>
      </c>
    </row>
    <row r="1620" spans="1:19" x14ac:dyDescent="0.45">
      <c r="A1620" t="str">
        <f>"29801"</f>
        <v>29801</v>
      </c>
      <c r="B1620" t="s">
        <v>2370</v>
      </c>
      <c r="C1620" t="str">
        <f>"31002"</f>
        <v>31002</v>
      </c>
      <c r="D1620" t="s">
        <v>2378</v>
      </c>
      <c r="E1620" t="str">
        <f>"2126"</f>
        <v>2126</v>
      </c>
      <c r="F1620" t="s">
        <v>9100</v>
      </c>
      <c r="G1620">
        <v>9</v>
      </c>
      <c r="H1620">
        <v>12</v>
      </c>
      <c r="I1620" t="s">
        <v>9101</v>
      </c>
      <c r="K1620" t="s">
        <v>2381</v>
      </c>
      <c r="L1620" t="s">
        <v>25</v>
      </c>
      <c r="M1620" t="s">
        <v>9102</v>
      </c>
      <c r="N1620" t="s">
        <v>9103</v>
      </c>
      <c r="O1620" t="s">
        <v>9104</v>
      </c>
      <c r="P1620" t="s">
        <v>9105</v>
      </c>
      <c r="Q1620" t="s">
        <v>30</v>
      </c>
      <c r="R1620" t="s">
        <v>31</v>
      </c>
      <c r="S1620" t="s">
        <v>58</v>
      </c>
    </row>
    <row r="1621" spans="1:19" x14ac:dyDescent="0.45">
      <c r="A1621" t="str">
        <f>"29801"</f>
        <v>29801</v>
      </c>
      <c r="B1621" t="s">
        <v>2370</v>
      </c>
      <c r="C1621" t="str">
        <f>"31002"</f>
        <v>31002</v>
      </c>
      <c r="D1621" t="s">
        <v>2378</v>
      </c>
      <c r="E1621" t="str">
        <f>"2364"</f>
        <v>2364</v>
      </c>
      <c r="F1621" t="s">
        <v>9106</v>
      </c>
      <c r="G1621">
        <v>6</v>
      </c>
      <c r="H1621">
        <v>8</v>
      </c>
      <c r="I1621" t="s">
        <v>9107</v>
      </c>
      <c r="K1621" t="s">
        <v>2381</v>
      </c>
      <c r="L1621" t="s">
        <v>25</v>
      </c>
      <c r="M1621" t="s">
        <v>9108</v>
      </c>
      <c r="N1621" t="s">
        <v>9109</v>
      </c>
      <c r="O1621" t="s">
        <v>9110</v>
      </c>
      <c r="P1621" t="s">
        <v>9111</v>
      </c>
      <c r="Q1621" t="s">
        <v>30</v>
      </c>
      <c r="R1621" t="s">
        <v>31</v>
      </c>
      <c r="S1621" t="s">
        <v>104</v>
      </c>
    </row>
    <row r="1622" spans="1:19" x14ac:dyDescent="0.45">
      <c r="A1622" t="str">
        <f>"29801"</f>
        <v>29801</v>
      </c>
      <c r="B1622" t="s">
        <v>2370</v>
      </c>
      <c r="C1622" t="str">
        <f>"31002"</f>
        <v>31002</v>
      </c>
      <c r="D1622" t="s">
        <v>2378</v>
      </c>
      <c r="E1622" t="str">
        <f>"2545"</f>
        <v>2545</v>
      </c>
      <c r="F1622" t="s">
        <v>9112</v>
      </c>
      <c r="G1622" t="s">
        <v>22</v>
      </c>
      <c r="H1622">
        <v>5</v>
      </c>
      <c r="I1622" t="s">
        <v>9113</v>
      </c>
      <c r="K1622" t="s">
        <v>2381</v>
      </c>
      <c r="L1622" t="s">
        <v>25</v>
      </c>
      <c r="M1622" t="s">
        <v>9114</v>
      </c>
      <c r="N1622" t="s">
        <v>9115</v>
      </c>
      <c r="O1622" t="s">
        <v>9116</v>
      </c>
      <c r="P1622" t="s">
        <v>9117</v>
      </c>
      <c r="Q1622" t="s">
        <v>30</v>
      </c>
      <c r="R1622" t="s">
        <v>31</v>
      </c>
      <c r="S1622" t="s">
        <v>32</v>
      </c>
    </row>
    <row r="1623" spans="1:19" x14ac:dyDescent="0.45">
      <c r="A1623" t="str">
        <f>"OSPI"</f>
        <v>OSPI</v>
      </c>
      <c r="B1623" t="s">
        <v>1763</v>
      </c>
      <c r="C1623" t="str">
        <f>"29801"</f>
        <v>29801</v>
      </c>
      <c r="D1623" t="s">
        <v>2370</v>
      </c>
      <c r="E1623" t="str">
        <f>"2601"</f>
        <v>2601</v>
      </c>
      <c r="F1623" t="s">
        <v>9118</v>
      </c>
      <c r="G1623">
        <v>6</v>
      </c>
      <c r="H1623">
        <v>12</v>
      </c>
      <c r="I1623" t="s">
        <v>9119</v>
      </c>
      <c r="K1623" t="s">
        <v>2381</v>
      </c>
      <c r="L1623" t="s">
        <v>25</v>
      </c>
      <c r="M1623" t="s">
        <v>9120</v>
      </c>
      <c r="N1623" t="s">
        <v>9013</v>
      </c>
      <c r="O1623" t="s">
        <v>9014</v>
      </c>
      <c r="P1623" t="s">
        <v>3188</v>
      </c>
      <c r="Q1623" t="s">
        <v>1312</v>
      </c>
      <c r="R1623" t="s">
        <v>1313</v>
      </c>
      <c r="S1623" t="s">
        <v>159</v>
      </c>
    </row>
    <row r="1624" spans="1:19" x14ac:dyDescent="0.45">
      <c r="A1624" t="str">
        <f t="shared" ref="A1624:A1655" si="107">"29801"</f>
        <v>29801</v>
      </c>
      <c r="B1624" t="s">
        <v>2370</v>
      </c>
      <c r="C1624" t="str">
        <f t="shared" ref="C1624:C1645" si="108">"31002"</f>
        <v>31002</v>
      </c>
      <c r="D1624" t="s">
        <v>2378</v>
      </c>
      <c r="E1624" t="str">
        <f>"2669"</f>
        <v>2669</v>
      </c>
      <c r="F1624" t="s">
        <v>8999</v>
      </c>
      <c r="G1624" t="s">
        <v>22</v>
      </c>
      <c r="H1624">
        <v>5</v>
      </c>
      <c r="I1624" t="s">
        <v>9121</v>
      </c>
      <c r="K1624" t="s">
        <v>2381</v>
      </c>
      <c r="L1624" t="s">
        <v>25</v>
      </c>
      <c r="M1624" t="s">
        <v>9122</v>
      </c>
      <c r="N1624" t="s">
        <v>9123</v>
      </c>
      <c r="O1624" t="s">
        <v>9124</v>
      </c>
      <c r="P1624" t="s">
        <v>9125</v>
      </c>
      <c r="Q1624" t="s">
        <v>30</v>
      </c>
      <c r="R1624" t="s">
        <v>31</v>
      </c>
      <c r="S1624" t="s">
        <v>32</v>
      </c>
    </row>
    <row r="1625" spans="1:19" x14ac:dyDescent="0.45">
      <c r="A1625" t="str">
        <f t="shared" si="107"/>
        <v>29801</v>
      </c>
      <c r="B1625" t="s">
        <v>2370</v>
      </c>
      <c r="C1625" t="str">
        <f t="shared" si="108"/>
        <v>31002</v>
      </c>
      <c r="D1625" t="s">
        <v>2378</v>
      </c>
      <c r="E1625" t="str">
        <f>"2751"</f>
        <v>2751</v>
      </c>
      <c r="F1625" t="s">
        <v>9126</v>
      </c>
      <c r="G1625" t="s">
        <v>22</v>
      </c>
      <c r="H1625">
        <v>5</v>
      </c>
      <c r="I1625" t="s">
        <v>9127</v>
      </c>
      <c r="K1625" t="s">
        <v>2381</v>
      </c>
      <c r="L1625" t="s">
        <v>25</v>
      </c>
      <c r="M1625" t="s">
        <v>9128</v>
      </c>
      <c r="N1625" t="s">
        <v>9129</v>
      </c>
      <c r="O1625" t="s">
        <v>9130</v>
      </c>
      <c r="P1625" t="s">
        <v>9131</v>
      </c>
      <c r="Q1625" t="s">
        <v>30</v>
      </c>
      <c r="R1625" t="s">
        <v>31</v>
      </c>
      <c r="S1625" t="s">
        <v>32</v>
      </c>
    </row>
    <row r="1626" spans="1:19" x14ac:dyDescent="0.45">
      <c r="A1626" t="str">
        <f t="shared" si="107"/>
        <v>29801</v>
      </c>
      <c r="B1626" t="s">
        <v>2370</v>
      </c>
      <c r="C1626" t="str">
        <f t="shared" si="108"/>
        <v>31002</v>
      </c>
      <c r="D1626" t="s">
        <v>2378</v>
      </c>
      <c r="E1626" t="str">
        <f>"2752"</f>
        <v>2752</v>
      </c>
      <c r="F1626" t="s">
        <v>3942</v>
      </c>
      <c r="G1626" t="s">
        <v>22</v>
      </c>
      <c r="H1626">
        <v>5</v>
      </c>
      <c r="I1626" t="s">
        <v>9132</v>
      </c>
      <c r="K1626" t="s">
        <v>2381</v>
      </c>
      <c r="L1626" t="s">
        <v>25</v>
      </c>
      <c r="M1626" t="s">
        <v>9133</v>
      </c>
      <c r="N1626" t="s">
        <v>9134</v>
      </c>
      <c r="O1626" t="s">
        <v>9135</v>
      </c>
      <c r="P1626" t="s">
        <v>9136</v>
      </c>
      <c r="Q1626" t="s">
        <v>30</v>
      </c>
      <c r="R1626" t="s">
        <v>31</v>
      </c>
      <c r="S1626" t="s">
        <v>32</v>
      </c>
    </row>
    <row r="1627" spans="1:19" x14ac:dyDescent="0.45">
      <c r="A1627" t="str">
        <f t="shared" si="107"/>
        <v>29801</v>
      </c>
      <c r="B1627" t="s">
        <v>2370</v>
      </c>
      <c r="C1627" t="str">
        <f t="shared" si="108"/>
        <v>31002</v>
      </c>
      <c r="D1627" t="s">
        <v>2378</v>
      </c>
      <c r="E1627" t="str">
        <f>"2811"</f>
        <v>2811</v>
      </c>
      <c r="F1627" t="s">
        <v>9137</v>
      </c>
      <c r="G1627" t="s">
        <v>22</v>
      </c>
      <c r="H1627">
        <v>5</v>
      </c>
      <c r="I1627" t="s">
        <v>9138</v>
      </c>
      <c r="K1627" t="s">
        <v>2381</v>
      </c>
      <c r="L1627" t="s">
        <v>25</v>
      </c>
      <c r="M1627" t="s">
        <v>9139</v>
      </c>
      <c r="N1627" t="s">
        <v>9140</v>
      </c>
      <c r="O1627" t="s">
        <v>9141</v>
      </c>
      <c r="P1627" t="s">
        <v>9142</v>
      </c>
      <c r="Q1627" t="s">
        <v>30</v>
      </c>
      <c r="R1627" t="s">
        <v>31</v>
      </c>
      <c r="S1627" t="s">
        <v>32</v>
      </c>
    </row>
    <row r="1628" spans="1:19" x14ac:dyDescent="0.45">
      <c r="A1628" t="str">
        <f t="shared" si="107"/>
        <v>29801</v>
      </c>
      <c r="B1628" t="s">
        <v>2370</v>
      </c>
      <c r="C1628" t="str">
        <f t="shared" si="108"/>
        <v>31002</v>
      </c>
      <c r="D1628" t="s">
        <v>2378</v>
      </c>
      <c r="E1628" t="str">
        <f>"2883"</f>
        <v>2883</v>
      </c>
      <c r="F1628" t="s">
        <v>9143</v>
      </c>
      <c r="G1628" t="s">
        <v>22</v>
      </c>
      <c r="H1628">
        <v>5</v>
      </c>
      <c r="I1628" t="s">
        <v>9144</v>
      </c>
      <c r="K1628" t="s">
        <v>2381</v>
      </c>
      <c r="L1628" t="s">
        <v>25</v>
      </c>
      <c r="M1628" t="s">
        <v>9145</v>
      </c>
      <c r="N1628" t="s">
        <v>9146</v>
      </c>
      <c r="O1628" t="s">
        <v>9147</v>
      </c>
      <c r="P1628" t="s">
        <v>9148</v>
      </c>
      <c r="Q1628" t="s">
        <v>30</v>
      </c>
      <c r="R1628" t="s">
        <v>31</v>
      </c>
      <c r="S1628" t="s">
        <v>32</v>
      </c>
    </row>
    <row r="1629" spans="1:19" x14ac:dyDescent="0.45">
      <c r="A1629" t="str">
        <f t="shared" si="107"/>
        <v>29801</v>
      </c>
      <c r="B1629" t="s">
        <v>2370</v>
      </c>
      <c r="C1629" t="str">
        <f t="shared" si="108"/>
        <v>31002</v>
      </c>
      <c r="D1629" t="s">
        <v>2378</v>
      </c>
      <c r="E1629" t="str">
        <f>"3002"</f>
        <v>3002</v>
      </c>
      <c r="F1629" t="s">
        <v>9149</v>
      </c>
      <c r="G1629" t="s">
        <v>22</v>
      </c>
      <c r="H1629">
        <v>5</v>
      </c>
      <c r="I1629" t="s">
        <v>9150</v>
      </c>
      <c r="K1629" t="s">
        <v>2381</v>
      </c>
      <c r="L1629" t="s">
        <v>25</v>
      </c>
      <c r="M1629" t="s">
        <v>9151</v>
      </c>
      <c r="N1629" t="s">
        <v>9152</v>
      </c>
      <c r="O1629" t="s">
        <v>9153</v>
      </c>
      <c r="P1629" t="s">
        <v>9154</v>
      </c>
      <c r="Q1629" t="s">
        <v>30</v>
      </c>
      <c r="R1629" t="s">
        <v>31</v>
      </c>
      <c r="S1629" t="s">
        <v>32</v>
      </c>
    </row>
    <row r="1630" spans="1:19" x14ac:dyDescent="0.45">
      <c r="A1630" t="str">
        <f t="shared" si="107"/>
        <v>29801</v>
      </c>
      <c r="B1630" t="s">
        <v>2370</v>
      </c>
      <c r="C1630" t="str">
        <f t="shared" si="108"/>
        <v>31002</v>
      </c>
      <c r="D1630" t="s">
        <v>2378</v>
      </c>
      <c r="E1630" t="str">
        <f>"3184"</f>
        <v>3184</v>
      </c>
      <c r="F1630" t="s">
        <v>5139</v>
      </c>
      <c r="G1630" t="s">
        <v>22</v>
      </c>
      <c r="H1630">
        <v>5</v>
      </c>
      <c r="I1630" t="s">
        <v>9155</v>
      </c>
      <c r="K1630" t="s">
        <v>2381</v>
      </c>
      <c r="L1630" t="s">
        <v>25</v>
      </c>
      <c r="M1630" t="s">
        <v>9156</v>
      </c>
      <c r="N1630" t="s">
        <v>9157</v>
      </c>
      <c r="O1630" t="s">
        <v>9158</v>
      </c>
      <c r="P1630" t="s">
        <v>9159</v>
      </c>
      <c r="Q1630" t="s">
        <v>30</v>
      </c>
      <c r="R1630" t="s">
        <v>31</v>
      </c>
      <c r="S1630" t="s">
        <v>32</v>
      </c>
    </row>
    <row r="1631" spans="1:19" x14ac:dyDescent="0.45">
      <c r="A1631" t="str">
        <f t="shared" si="107"/>
        <v>29801</v>
      </c>
      <c r="B1631" t="s">
        <v>2370</v>
      </c>
      <c r="C1631" t="str">
        <f t="shared" si="108"/>
        <v>31002</v>
      </c>
      <c r="D1631" t="s">
        <v>2378</v>
      </c>
      <c r="E1631" t="str">
        <f>"3253"</f>
        <v>3253</v>
      </c>
      <c r="F1631" t="s">
        <v>5973</v>
      </c>
      <c r="G1631">
        <v>6</v>
      </c>
      <c r="H1631">
        <v>8</v>
      </c>
      <c r="I1631" t="s">
        <v>9160</v>
      </c>
      <c r="K1631" t="s">
        <v>2381</v>
      </c>
      <c r="L1631" t="s">
        <v>25</v>
      </c>
      <c r="M1631" t="s">
        <v>9161</v>
      </c>
      <c r="N1631" t="s">
        <v>9162</v>
      </c>
      <c r="O1631" t="s">
        <v>9163</v>
      </c>
      <c r="P1631" t="s">
        <v>9164</v>
      </c>
      <c r="Q1631" t="s">
        <v>30</v>
      </c>
      <c r="R1631" t="s">
        <v>31</v>
      </c>
      <c r="S1631" t="s">
        <v>104</v>
      </c>
    </row>
    <row r="1632" spans="1:19" x14ac:dyDescent="0.45">
      <c r="A1632" t="str">
        <f t="shared" si="107"/>
        <v>29801</v>
      </c>
      <c r="B1632" t="s">
        <v>2370</v>
      </c>
      <c r="C1632" t="str">
        <f t="shared" si="108"/>
        <v>31002</v>
      </c>
      <c r="D1632" t="s">
        <v>2378</v>
      </c>
      <c r="E1632" t="str">
        <f>"3407"</f>
        <v>3407</v>
      </c>
      <c r="F1632" t="s">
        <v>1639</v>
      </c>
      <c r="G1632">
        <v>9</v>
      </c>
      <c r="H1632">
        <v>12</v>
      </c>
      <c r="I1632" t="s">
        <v>9165</v>
      </c>
      <c r="K1632" t="s">
        <v>2381</v>
      </c>
      <c r="L1632" t="s">
        <v>25</v>
      </c>
      <c r="M1632" t="s">
        <v>9166</v>
      </c>
      <c r="N1632" t="s">
        <v>9167</v>
      </c>
      <c r="O1632" t="s">
        <v>9168</v>
      </c>
      <c r="P1632" t="s">
        <v>9169</v>
      </c>
      <c r="Q1632" t="s">
        <v>30</v>
      </c>
      <c r="R1632" t="s">
        <v>31</v>
      </c>
      <c r="S1632" t="s">
        <v>58</v>
      </c>
    </row>
    <row r="1633" spans="1:19" x14ac:dyDescent="0.45">
      <c r="A1633" t="str">
        <f t="shared" si="107"/>
        <v>29801</v>
      </c>
      <c r="B1633" t="s">
        <v>2370</v>
      </c>
      <c r="C1633" t="str">
        <f t="shared" si="108"/>
        <v>31002</v>
      </c>
      <c r="D1633" t="s">
        <v>2378</v>
      </c>
      <c r="E1633" t="str">
        <f>"3533"</f>
        <v>3533</v>
      </c>
      <c r="F1633" t="s">
        <v>1470</v>
      </c>
      <c r="G1633" t="s">
        <v>22</v>
      </c>
      <c r="H1633">
        <v>5</v>
      </c>
      <c r="I1633" t="s">
        <v>9170</v>
      </c>
      <c r="K1633" t="s">
        <v>2381</v>
      </c>
      <c r="L1633" t="s">
        <v>25</v>
      </c>
      <c r="M1633" t="s">
        <v>9171</v>
      </c>
      <c r="N1633" t="s">
        <v>9172</v>
      </c>
      <c r="O1633" t="s">
        <v>9173</v>
      </c>
      <c r="P1633" t="s">
        <v>9174</v>
      </c>
      <c r="Q1633" t="s">
        <v>30</v>
      </c>
      <c r="R1633" t="s">
        <v>31</v>
      </c>
      <c r="S1633" t="s">
        <v>32</v>
      </c>
    </row>
    <row r="1634" spans="1:19" x14ac:dyDescent="0.45">
      <c r="A1634" t="str">
        <f t="shared" si="107"/>
        <v>29801</v>
      </c>
      <c r="B1634" t="s">
        <v>2370</v>
      </c>
      <c r="C1634" t="str">
        <f t="shared" si="108"/>
        <v>31002</v>
      </c>
      <c r="D1634" t="s">
        <v>2378</v>
      </c>
      <c r="E1634" t="str">
        <f>"3686"</f>
        <v>3686</v>
      </c>
      <c r="F1634" t="s">
        <v>9175</v>
      </c>
      <c r="G1634" t="s">
        <v>22</v>
      </c>
      <c r="H1634">
        <v>5</v>
      </c>
      <c r="I1634" t="s">
        <v>9176</v>
      </c>
      <c r="K1634" t="s">
        <v>2381</v>
      </c>
      <c r="L1634" t="s">
        <v>25</v>
      </c>
      <c r="M1634" t="s">
        <v>9177</v>
      </c>
      <c r="N1634" t="s">
        <v>9178</v>
      </c>
      <c r="O1634" t="s">
        <v>9179</v>
      </c>
      <c r="P1634" t="s">
        <v>9180</v>
      </c>
      <c r="Q1634" t="s">
        <v>30</v>
      </c>
      <c r="R1634" t="s">
        <v>31</v>
      </c>
      <c r="S1634" t="s">
        <v>32</v>
      </c>
    </row>
    <row r="1635" spans="1:19" x14ac:dyDescent="0.45">
      <c r="A1635" t="str">
        <f t="shared" si="107"/>
        <v>29801</v>
      </c>
      <c r="B1635" t="s">
        <v>2370</v>
      </c>
      <c r="C1635" t="str">
        <f t="shared" si="108"/>
        <v>31002</v>
      </c>
      <c r="D1635" t="s">
        <v>2378</v>
      </c>
      <c r="E1635" t="str">
        <f>"3752"</f>
        <v>3752</v>
      </c>
      <c r="F1635" t="s">
        <v>9181</v>
      </c>
      <c r="G1635">
        <v>6</v>
      </c>
      <c r="H1635">
        <v>8</v>
      </c>
      <c r="I1635" t="s">
        <v>9182</v>
      </c>
      <c r="K1635" t="s">
        <v>2381</v>
      </c>
      <c r="L1635" t="s">
        <v>25</v>
      </c>
      <c r="M1635" t="s">
        <v>9183</v>
      </c>
      <c r="N1635" t="s">
        <v>9184</v>
      </c>
      <c r="O1635" t="s">
        <v>9185</v>
      </c>
      <c r="P1635" t="s">
        <v>9186</v>
      </c>
      <c r="Q1635" t="s">
        <v>30</v>
      </c>
      <c r="R1635" t="s">
        <v>31</v>
      </c>
      <c r="S1635" t="s">
        <v>104</v>
      </c>
    </row>
    <row r="1636" spans="1:19" x14ac:dyDescent="0.45">
      <c r="A1636" t="str">
        <f t="shared" si="107"/>
        <v>29801</v>
      </c>
      <c r="B1636" t="s">
        <v>2370</v>
      </c>
      <c r="C1636" t="str">
        <f t="shared" si="108"/>
        <v>31002</v>
      </c>
      <c r="D1636" t="s">
        <v>2378</v>
      </c>
      <c r="E1636" t="str">
        <f>"3903"</f>
        <v>3903</v>
      </c>
      <c r="F1636" t="s">
        <v>1214</v>
      </c>
      <c r="G1636" t="s">
        <v>22</v>
      </c>
      <c r="H1636">
        <v>12</v>
      </c>
      <c r="I1636" t="s">
        <v>2380</v>
      </c>
      <c r="K1636" t="s">
        <v>2381</v>
      </c>
      <c r="L1636" t="s">
        <v>25</v>
      </c>
      <c r="M1636" t="s">
        <v>2382</v>
      </c>
      <c r="N1636" t="s">
        <v>2795</v>
      </c>
      <c r="O1636" t="s">
        <v>2796</v>
      </c>
      <c r="P1636" t="s">
        <v>2797</v>
      </c>
      <c r="Q1636" t="s">
        <v>66</v>
      </c>
      <c r="R1636" t="s">
        <v>67</v>
      </c>
      <c r="S1636" t="s">
        <v>68</v>
      </c>
    </row>
    <row r="1637" spans="1:19" x14ac:dyDescent="0.45">
      <c r="A1637" t="str">
        <f t="shared" si="107"/>
        <v>29801</v>
      </c>
      <c r="B1637" t="s">
        <v>2370</v>
      </c>
      <c r="C1637" t="str">
        <f t="shared" si="108"/>
        <v>31002</v>
      </c>
      <c r="D1637" t="s">
        <v>2378</v>
      </c>
      <c r="E1637" t="str">
        <f>"4125"</f>
        <v>4125</v>
      </c>
      <c r="F1637" t="s">
        <v>9187</v>
      </c>
      <c r="G1637" t="s">
        <v>22</v>
      </c>
      <c r="H1637">
        <v>5</v>
      </c>
      <c r="I1637" t="s">
        <v>9188</v>
      </c>
      <c r="K1637" t="s">
        <v>2389</v>
      </c>
      <c r="L1637" t="s">
        <v>25</v>
      </c>
      <c r="M1637" t="s">
        <v>9189</v>
      </c>
      <c r="N1637" t="s">
        <v>9190</v>
      </c>
      <c r="O1637" t="s">
        <v>9191</v>
      </c>
      <c r="P1637" t="s">
        <v>9192</v>
      </c>
      <c r="Q1637" t="s">
        <v>30</v>
      </c>
      <c r="R1637" t="s">
        <v>31</v>
      </c>
      <c r="S1637" t="s">
        <v>32</v>
      </c>
    </row>
    <row r="1638" spans="1:19" x14ac:dyDescent="0.45">
      <c r="A1638" t="str">
        <f t="shared" si="107"/>
        <v>29801</v>
      </c>
      <c r="B1638" t="s">
        <v>2370</v>
      </c>
      <c r="C1638" t="str">
        <f t="shared" si="108"/>
        <v>31002</v>
      </c>
      <c r="D1638" t="s">
        <v>2378</v>
      </c>
      <c r="E1638" t="str">
        <f>"4137"</f>
        <v>4137</v>
      </c>
      <c r="F1638" t="s">
        <v>9193</v>
      </c>
      <c r="G1638">
        <v>9</v>
      </c>
      <c r="H1638">
        <v>12</v>
      </c>
      <c r="I1638" t="s">
        <v>9194</v>
      </c>
      <c r="K1638" t="s">
        <v>2381</v>
      </c>
      <c r="L1638" t="s">
        <v>25</v>
      </c>
      <c r="M1638" t="s">
        <v>9195</v>
      </c>
      <c r="N1638" t="s">
        <v>9088</v>
      </c>
      <c r="O1638" t="s">
        <v>9089</v>
      </c>
      <c r="P1638" t="s">
        <v>9090</v>
      </c>
      <c r="Q1638" t="s">
        <v>157</v>
      </c>
      <c r="R1638" t="s">
        <v>158</v>
      </c>
      <c r="S1638" t="s">
        <v>58</v>
      </c>
    </row>
    <row r="1639" spans="1:19" x14ac:dyDescent="0.45">
      <c r="A1639" t="str">
        <f t="shared" si="107"/>
        <v>29801</v>
      </c>
      <c r="B1639" t="s">
        <v>2370</v>
      </c>
      <c r="C1639" t="str">
        <f t="shared" si="108"/>
        <v>31002</v>
      </c>
      <c r="D1639" t="s">
        <v>2378</v>
      </c>
      <c r="E1639" t="str">
        <f>"4298"</f>
        <v>4298</v>
      </c>
      <c r="F1639" t="s">
        <v>9196</v>
      </c>
      <c r="G1639" t="s">
        <v>22</v>
      </c>
      <c r="H1639">
        <v>5</v>
      </c>
      <c r="I1639" t="s">
        <v>9197</v>
      </c>
      <c r="K1639" t="s">
        <v>2381</v>
      </c>
      <c r="L1639" t="s">
        <v>25</v>
      </c>
      <c r="M1639" t="s">
        <v>9198</v>
      </c>
      <c r="N1639" t="s">
        <v>9199</v>
      </c>
      <c r="O1639" t="s">
        <v>9200</v>
      </c>
      <c r="P1639" t="s">
        <v>9201</v>
      </c>
      <c r="Q1639" t="s">
        <v>30</v>
      </c>
      <c r="R1639" t="s">
        <v>31</v>
      </c>
      <c r="S1639" t="s">
        <v>32</v>
      </c>
    </row>
    <row r="1640" spans="1:19" x14ac:dyDescent="0.45">
      <c r="A1640" t="str">
        <f t="shared" si="107"/>
        <v>29801</v>
      </c>
      <c r="B1640" t="s">
        <v>2370</v>
      </c>
      <c r="C1640" t="str">
        <f t="shared" si="108"/>
        <v>31002</v>
      </c>
      <c r="D1640" t="s">
        <v>2378</v>
      </c>
      <c r="E1640" t="str">
        <f>"4316"</f>
        <v>4316</v>
      </c>
      <c r="F1640" t="s">
        <v>9202</v>
      </c>
      <c r="G1640" t="s">
        <v>22</v>
      </c>
      <c r="H1640">
        <v>5</v>
      </c>
      <c r="I1640" t="s">
        <v>9203</v>
      </c>
      <c r="K1640" t="s">
        <v>9204</v>
      </c>
      <c r="L1640" t="s">
        <v>25</v>
      </c>
      <c r="M1640" t="s">
        <v>9205</v>
      </c>
      <c r="N1640" t="s">
        <v>9206</v>
      </c>
      <c r="O1640" t="s">
        <v>9207</v>
      </c>
      <c r="P1640" t="s">
        <v>9208</v>
      </c>
      <c r="Q1640" t="s">
        <v>30</v>
      </c>
      <c r="R1640" t="s">
        <v>31</v>
      </c>
      <c r="S1640" t="s">
        <v>32</v>
      </c>
    </row>
    <row r="1641" spans="1:19" x14ac:dyDescent="0.45">
      <c r="A1641" t="str">
        <f t="shared" si="107"/>
        <v>29801</v>
      </c>
      <c r="B1641" t="s">
        <v>2370</v>
      </c>
      <c r="C1641" t="str">
        <f t="shared" si="108"/>
        <v>31002</v>
      </c>
      <c r="D1641" t="s">
        <v>2378</v>
      </c>
      <c r="E1641" t="str">
        <f>"4334"</f>
        <v>4334</v>
      </c>
      <c r="F1641" t="s">
        <v>9209</v>
      </c>
      <c r="G1641">
        <v>6</v>
      </c>
      <c r="H1641">
        <v>8</v>
      </c>
      <c r="I1641" t="s">
        <v>9210</v>
      </c>
      <c r="K1641" t="s">
        <v>9204</v>
      </c>
      <c r="L1641" t="s">
        <v>25</v>
      </c>
      <c r="M1641" t="s">
        <v>9211</v>
      </c>
      <c r="N1641" t="s">
        <v>9212</v>
      </c>
      <c r="O1641" t="s">
        <v>9213</v>
      </c>
      <c r="P1641" t="s">
        <v>9214</v>
      </c>
      <c r="Q1641" t="s">
        <v>30</v>
      </c>
      <c r="R1641" t="s">
        <v>31</v>
      </c>
      <c r="S1641" t="s">
        <v>104</v>
      </c>
    </row>
    <row r="1642" spans="1:19" x14ac:dyDescent="0.45">
      <c r="A1642" t="str">
        <f t="shared" si="107"/>
        <v>29801</v>
      </c>
      <c r="B1642" t="s">
        <v>2370</v>
      </c>
      <c r="C1642" t="str">
        <f t="shared" si="108"/>
        <v>31002</v>
      </c>
      <c r="D1642" t="s">
        <v>2378</v>
      </c>
      <c r="E1642" t="str">
        <f>"4382"</f>
        <v>4382</v>
      </c>
      <c r="F1642" t="s">
        <v>9215</v>
      </c>
      <c r="G1642" t="s">
        <v>22</v>
      </c>
      <c r="H1642">
        <v>5</v>
      </c>
      <c r="I1642" t="s">
        <v>9216</v>
      </c>
      <c r="K1642" t="s">
        <v>2389</v>
      </c>
      <c r="L1642" t="s">
        <v>25</v>
      </c>
      <c r="M1642" t="s">
        <v>9217</v>
      </c>
      <c r="N1642" t="s">
        <v>9218</v>
      </c>
      <c r="O1642" t="s">
        <v>9219</v>
      </c>
      <c r="P1642" t="s">
        <v>9220</v>
      </c>
      <c r="Q1642" t="s">
        <v>30</v>
      </c>
      <c r="R1642" t="s">
        <v>31</v>
      </c>
      <c r="S1642" t="s">
        <v>32</v>
      </c>
    </row>
    <row r="1643" spans="1:19" x14ac:dyDescent="0.45">
      <c r="A1643" t="str">
        <f t="shared" si="107"/>
        <v>29801</v>
      </c>
      <c r="B1643" t="s">
        <v>2370</v>
      </c>
      <c r="C1643" t="str">
        <f t="shared" si="108"/>
        <v>31002</v>
      </c>
      <c r="D1643" t="s">
        <v>2378</v>
      </c>
      <c r="E1643" t="str">
        <f>"4437"</f>
        <v>4437</v>
      </c>
      <c r="F1643" t="s">
        <v>9221</v>
      </c>
      <c r="G1643">
        <v>6</v>
      </c>
      <c r="H1643">
        <v>8</v>
      </c>
      <c r="I1643" t="s">
        <v>9222</v>
      </c>
      <c r="K1643" t="s">
        <v>2381</v>
      </c>
      <c r="L1643" t="s">
        <v>25</v>
      </c>
      <c r="M1643" t="s">
        <v>9223</v>
      </c>
      <c r="N1643" t="s">
        <v>9224</v>
      </c>
      <c r="O1643" t="s">
        <v>9225</v>
      </c>
      <c r="P1643" t="s">
        <v>9226</v>
      </c>
      <c r="Q1643" t="s">
        <v>30</v>
      </c>
      <c r="R1643" t="s">
        <v>31</v>
      </c>
      <c r="S1643" t="s">
        <v>104</v>
      </c>
    </row>
    <row r="1644" spans="1:19" x14ac:dyDescent="0.45">
      <c r="A1644" t="str">
        <f t="shared" si="107"/>
        <v>29801</v>
      </c>
      <c r="B1644" t="s">
        <v>2370</v>
      </c>
      <c r="C1644" t="str">
        <f t="shared" si="108"/>
        <v>31002</v>
      </c>
      <c r="D1644" t="s">
        <v>2378</v>
      </c>
      <c r="E1644" t="str">
        <f>"4438"</f>
        <v>4438</v>
      </c>
      <c r="F1644" t="s">
        <v>9227</v>
      </c>
      <c r="G1644">
        <v>9</v>
      </c>
      <c r="H1644">
        <v>12</v>
      </c>
      <c r="I1644" t="s">
        <v>9228</v>
      </c>
      <c r="K1644" t="s">
        <v>9204</v>
      </c>
      <c r="L1644" t="s">
        <v>25</v>
      </c>
      <c r="M1644" t="s">
        <v>9229</v>
      </c>
      <c r="N1644" t="s">
        <v>9230</v>
      </c>
      <c r="O1644" t="s">
        <v>9231</v>
      </c>
      <c r="P1644" t="s">
        <v>9232</v>
      </c>
      <c r="Q1644" t="s">
        <v>30</v>
      </c>
      <c r="R1644" t="s">
        <v>31</v>
      </c>
      <c r="S1644" t="s">
        <v>58</v>
      </c>
    </row>
    <row r="1645" spans="1:19" x14ac:dyDescent="0.45">
      <c r="A1645" t="str">
        <f t="shared" si="107"/>
        <v>29801</v>
      </c>
      <c r="B1645" t="s">
        <v>2370</v>
      </c>
      <c r="C1645" t="str">
        <f t="shared" si="108"/>
        <v>31002</v>
      </c>
      <c r="D1645" t="s">
        <v>2378</v>
      </c>
      <c r="E1645" t="str">
        <f>"4530"</f>
        <v>4530</v>
      </c>
      <c r="F1645" t="s">
        <v>9233</v>
      </c>
      <c r="G1645" t="s">
        <v>22</v>
      </c>
      <c r="H1645">
        <v>5</v>
      </c>
      <c r="I1645" t="s">
        <v>9234</v>
      </c>
      <c r="K1645" t="s">
        <v>2381</v>
      </c>
      <c r="L1645" t="s">
        <v>25</v>
      </c>
      <c r="M1645" t="s">
        <v>9235</v>
      </c>
      <c r="N1645" t="s">
        <v>9236</v>
      </c>
      <c r="O1645" t="s">
        <v>9237</v>
      </c>
      <c r="P1645" t="s">
        <v>9238</v>
      </c>
      <c r="Q1645" t="s">
        <v>30</v>
      </c>
      <c r="R1645" t="s">
        <v>31</v>
      </c>
      <c r="S1645" t="s">
        <v>32</v>
      </c>
    </row>
    <row r="1646" spans="1:19" x14ac:dyDescent="0.45">
      <c r="A1646" t="str">
        <f t="shared" si="107"/>
        <v>29801</v>
      </c>
      <c r="B1646" t="s">
        <v>2370</v>
      </c>
      <c r="C1646" t="str">
        <f t="shared" ref="C1646:C1656" si="109">"31004"</f>
        <v>31004</v>
      </c>
      <c r="D1646" t="s">
        <v>2892</v>
      </c>
      <c r="E1646" t="str">
        <f>"1753"</f>
        <v>1753</v>
      </c>
      <c r="F1646" t="s">
        <v>9239</v>
      </c>
      <c r="G1646" t="s">
        <v>70</v>
      </c>
      <c r="H1646">
        <v>12</v>
      </c>
      <c r="I1646" t="s">
        <v>2899</v>
      </c>
      <c r="K1646" t="s">
        <v>2894</v>
      </c>
      <c r="L1646" t="s">
        <v>25</v>
      </c>
      <c r="M1646">
        <v>98258</v>
      </c>
      <c r="N1646" t="s">
        <v>2900</v>
      </c>
      <c r="O1646" t="s">
        <v>2901</v>
      </c>
      <c r="P1646" t="s">
        <v>9240</v>
      </c>
      <c r="Q1646" t="s">
        <v>157</v>
      </c>
      <c r="R1646" t="s">
        <v>158</v>
      </c>
      <c r="S1646" t="s">
        <v>330</v>
      </c>
    </row>
    <row r="1647" spans="1:19" x14ac:dyDescent="0.45">
      <c r="A1647" t="str">
        <f t="shared" si="107"/>
        <v>29801</v>
      </c>
      <c r="B1647" t="s">
        <v>2370</v>
      </c>
      <c r="C1647" t="str">
        <f t="shared" si="109"/>
        <v>31004</v>
      </c>
      <c r="D1647" t="s">
        <v>2892</v>
      </c>
      <c r="E1647" t="str">
        <f>"2426"</f>
        <v>2426</v>
      </c>
      <c r="F1647" t="s">
        <v>9241</v>
      </c>
      <c r="G1647">
        <v>10</v>
      </c>
      <c r="H1647">
        <v>12</v>
      </c>
      <c r="I1647" t="s">
        <v>9242</v>
      </c>
      <c r="K1647" t="s">
        <v>2894</v>
      </c>
      <c r="L1647" t="s">
        <v>25</v>
      </c>
      <c r="M1647">
        <v>98258</v>
      </c>
      <c r="N1647" t="s">
        <v>9243</v>
      </c>
      <c r="O1647" t="s">
        <v>9244</v>
      </c>
      <c r="P1647" t="s">
        <v>9245</v>
      </c>
      <c r="Q1647" t="s">
        <v>30</v>
      </c>
      <c r="R1647" t="s">
        <v>31</v>
      </c>
      <c r="S1647" t="s">
        <v>58</v>
      </c>
    </row>
    <row r="1648" spans="1:19" x14ac:dyDescent="0.45">
      <c r="A1648" t="str">
        <f t="shared" si="107"/>
        <v>29801</v>
      </c>
      <c r="B1648" t="s">
        <v>2370</v>
      </c>
      <c r="C1648" t="str">
        <f t="shared" si="109"/>
        <v>31004</v>
      </c>
      <c r="D1648" t="s">
        <v>2892</v>
      </c>
      <c r="E1648" t="str">
        <f>"2884"</f>
        <v>2884</v>
      </c>
      <c r="F1648" t="s">
        <v>9246</v>
      </c>
      <c r="G1648" t="s">
        <v>70</v>
      </c>
      <c r="H1648">
        <v>5</v>
      </c>
      <c r="I1648" t="s">
        <v>9247</v>
      </c>
      <c r="K1648" t="s">
        <v>2894</v>
      </c>
      <c r="L1648" t="s">
        <v>25</v>
      </c>
      <c r="M1648">
        <v>98258</v>
      </c>
      <c r="N1648" t="s">
        <v>9248</v>
      </c>
      <c r="O1648" t="s">
        <v>9249</v>
      </c>
      <c r="P1648" t="s">
        <v>9250</v>
      </c>
      <c r="Q1648" t="s">
        <v>30</v>
      </c>
      <c r="R1648" t="s">
        <v>31</v>
      </c>
      <c r="S1648" t="s">
        <v>32</v>
      </c>
    </row>
    <row r="1649" spans="1:19" x14ac:dyDescent="0.45">
      <c r="A1649" t="str">
        <f t="shared" si="107"/>
        <v>29801</v>
      </c>
      <c r="B1649" t="s">
        <v>2370</v>
      </c>
      <c r="C1649" t="str">
        <f t="shared" si="109"/>
        <v>31004</v>
      </c>
      <c r="D1649" t="s">
        <v>2892</v>
      </c>
      <c r="E1649" t="str">
        <f>"2885"</f>
        <v>2885</v>
      </c>
      <c r="F1649" t="s">
        <v>9251</v>
      </c>
      <c r="G1649" t="s">
        <v>22</v>
      </c>
      <c r="H1649">
        <v>5</v>
      </c>
      <c r="I1649" t="s">
        <v>9252</v>
      </c>
      <c r="K1649" t="s">
        <v>2894</v>
      </c>
      <c r="L1649" t="s">
        <v>25</v>
      </c>
      <c r="M1649">
        <v>98258</v>
      </c>
      <c r="N1649" t="s">
        <v>9253</v>
      </c>
      <c r="O1649" t="s">
        <v>9254</v>
      </c>
      <c r="P1649" t="s">
        <v>9255</v>
      </c>
      <c r="Q1649" t="s">
        <v>30</v>
      </c>
      <c r="R1649" t="s">
        <v>31</v>
      </c>
      <c r="S1649" t="s">
        <v>32</v>
      </c>
    </row>
    <row r="1650" spans="1:19" x14ac:dyDescent="0.45">
      <c r="A1650" t="str">
        <f t="shared" si="107"/>
        <v>29801</v>
      </c>
      <c r="B1650" t="s">
        <v>2370</v>
      </c>
      <c r="C1650" t="str">
        <f t="shared" si="109"/>
        <v>31004</v>
      </c>
      <c r="D1650" t="s">
        <v>2892</v>
      </c>
      <c r="E1650" t="str">
        <f>"3408"</f>
        <v>3408</v>
      </c>
      <c r="F1650" t="s">
        <v>9256</v>
      </c>
      <c r="G1650">
        <v>6</v>
      </c>
      <c r="H1650">
        <v>7</v>
      </c>
      <c r="I1650" t="s">
        <v>9257</v>
      </c>
      <c r="K1650" t="s">
        <v>2894</v>
      </c>
      <c r="L1650" t="s">
        <v>25</v>
      </c>
      <c r="M1650">
        <v>98258</v>
      </c>
      <c r="N1650" t="s">
        <v>9258</v>
      </c>
      <c r="O1650" t="s">
        <v>9259</v>
      </c>
      <c r="P1650" t="s">
        <v>9260</v>
      </c>
      <c r="Q1650" t="s">
        <v>30</v>
      </c>
      <c r="R1650" t="s">
        <v>31</v>
      </c>
      <c r="S1650" t="s">
        <v>104</v>
      </c>
    </row>
    <row r="1651" spans="1:19" x14ac:dyDescent="0.45">
      <c r="A1651" t="str">
        <f t="shared" si="107"/>
        <v>29801</v>
      </c>
      <c r="B1651" t="s">
        <v>2370</v>
      </c>
      <c r="C1651" t="str">
        <f t="shared" si="109"/>
        <v>31004</v>
      </c>
      <c r="D1651" t="s">
        <v>2892</v>
      </c>
      <c r="E1651" t="str">
        <f>"3753"</f>
        <v>3753</v>
      </c>
      <c r="F1651" t="s">
        <v>5648</v>
      </c>
      <c r="G1651" t="s">
        <v>22</v>
      </c>
      <c r="H1651">
        <v>5</v>
      </c>
      <c r="I1651" t="s">
        <v>9261</v>
      </c>
      <c r="K1651" t="s">
        <v>2894</v>
      </c>
      <c r="L1651" t="s">
        <v>25</v>
      </c>
      <c r="M1651">
        <v>98258</v>
      </c>
      <c r="N1651" t="s">
        <v>9262</v>
      </c>
      <c r="O1651" t="s">
        <v>9263</v>
      </c>
      <c r="P1651" t="s">
        <v>9264</v>
      </c>
      <c r="Q1651" t="s">
        <v>30</v>
      </c>
      <c r="R1651" t="s">
        <v>31</v>
      </c>
      <c r="S1651" t="s">
        <v>32</v>
      </c>
    </row>
    <row r="1652" spans="1:19" x14ac:dyDescent="0.45">
      <c r="A1652" t="str">
        <f t="shared" si="107"/>
        <v>29801</v>
      </c>
      <c r="B1652" t="s">
        <v>2370</v>
      </c>
      <c r="C1652" t="str">
        <f t="shared" si="109"/>
        <v>31004</v>
      </c>
      <c r="D1652" t="s">
        <v>2892</v>
      </c>
      <c r="E1652" t="str">
        <f>"4139"</f>
        <v>4139</v>
      </c>
      <c r="F1652" t="s">
        <v>9265</v>
      </c>
      <c r="G1652">
        <v>6</v>
      </c>
      <c r="H1652">
        <v>7</v>
      </c>
      <c r="I1652" t="s">
        <v>2899</v>
      </c>
      <c r="K1652" t="s">
        <v>2894</v>
      </c>
      <c r="L1652" t="s">
        <v>25</v>
      </c>
      <c r="M1652">
        <v>98258</v>
      </c>
      <c r="N1652" t="s">
        <v>9266</v>
      </c>
      <c r="O1652" t="s">
        <v>9267</v>
      </c>
      <c r="P1652" t="s">
        <v>9268</v>
      </c>
      <c r="Q1652" t="s">
        <v>30</v>
      </c>
      <c r="R1652" t="s">
        <v>31</v>
      </c>
      <c r="S1652" t="s">
        <v>104</v>
      </c>
    </row>
    <row r="1653" spans="1:19" x14ac:dyDescent="0.45">
      <c r="A1653" t="str">
        <f t="shared" si="107"/>
        <v>29801</v>
      </c>
      <c r="B1653" t="s">
        <v>2370</v>
      </c>
      <c r="C1653" t="str">
        <f t="shared" si="109"/>
        <v>31004</v>
      </c>
      <c r="D1653" t="s">
        <v>2892</v>
      </c>
      <c r="E1653" t="str">
        <f>"4140"</f>
        <v>4140</v>
      </c>
      <c r="F1653" t="s">
        <v>9269</v>
      </c>
      <c r="G1653">
        <v>9</v>
      </c>
      <c r="H1653">
        <v>12</v>
      </c>
      <c r="I1653" t="s">
        <v>9270</v>
      </c>
      <c r="K1653" t="s">
        <v>2894</v>
      </c>
      <c r="L1653" t="s">
        <v>25</v>
      </c>
      <c r="M1653">
        <v>98258</v>
      </c>
      <c r="N1653" t="s">
        <v>9271</v>
      </c>
      <c r="O1653" t="s">
        <v>9272</v>
      </c>
      <c r="P1653" t="s">
        <v>9273</v>
      </c>
      <c r="Q1653" t="s">
        <v>157</v>
      </c>
      <c r="R1653" t="s">
        <v>158</v>
      </c>
      <c r="S1653" t="s">
        <v>58</v>
      </c>
    </row>
    <row r="1654" spans="1:19" x14ac:dyDescent="0.45">
      <c r="A1654" t="str">
        <f t="shared" si="107"/>
        <v>29801</v>
      </c>
      <c r="B1654" t="s">
        <v>2370</v>
      </c>
      <c r="C1654" t="str">
        <f t="shared" si="109"/>
        <v>31004</v>
      </c>
      <c r="D1654" t="s">
        <v>2892</v>
      </c>
      <c r="E1654" t="str">
        <f>"4391"</f>
        <v>4391</v>
      </c>
      <c r="F1654" t="s">
        <v>6915</v>
      </c>
      <c r="G1654" t="s">
        <v>70</v>
      </c>
      <c r="H1654">
        <v>5</v>
      </c>
      <c r="I1654" t="s">
        <v>9274</v>
      </c>
      <c r="K1654" t="s">
        <v>2894</v>
      </c>
      <c r="L1654" t="s">
        <v>25</v>
      </c>
      <c r="M1654">
        <v>98258</v>
      </c>
      <c r="N1654" t="s">
        <v>9275</v>
      </c>
      <c r="O1654" t="s">
        <v>9276</v>
      </c>
      <c r="P1654" t="s">
        <v>9277</v>
      </c>
      <c r="Q1654" t="s">
        <v>30</v>
      </c>
      <c r="R1654" t="s">
        <v>31</v>
      </c>
      <c r="S1654" t="s">
        <v>32</v>
      </c>
    </row>
    <row r="1655" spans="1:19" x14ac:dyDescent="0.45">
      <c r="A1655" t="str">
        <f t="shared" si="107"/>
        <v>29801</v>
      </c>
      <c r="B1655" t="s">
        <v>2370</v>
      </c>
      <c r="C1655" t="str">
        <f t="shared" si="109"/>
        <v>31004</v>
      </c>
      <c r="D1655" t="s">
        <v>2892</v>
      </c>
      <c r="E1655" t="str">
        <f>"4392"</f>
        <v>4392</v>
      </c>
      <c r="F1655" t="s">
        <v>9278</v>
      </c>
      <c r="G1655" t="s">
        <v>22</v>
      </c>
      <c r="H1655">
        <v>5</v>
      </c>
      <c r="I1655" t="s">
        <v>9279</v>
      </c>
      <c r="K1655" t="s">
        <v>2894</v>
      </c>
      <c r="L1655" t="s">
        <v>25</v>
      </c>
      <c r="M1655">
        <v>98258</v>
      </c>
      <c r="N1655" t="s">
        <v>9280</v>
      </c>
      <c r="O1655" t="s">
        <v>9281</v>
      </c>
      <c r="P1655" t="s">
        <v>9282</v>
      </c>
      <c r="Q1655" t="s">
        <v>30</v>
      </c>
      <c r="R1655" t="s">
        <v>31</v>
      </c>
      <c r="S1655" t="s">
        <v>32</v>
      </c>
    </row>
    <row r="1656" spans="1:19" x14ac:dyDescent="0.45">
      <c r="A1656" t="str">
        <f t="shared" ref="A1656:A1687" si="110">"29801"</f>
        <v>29801</v>
      </c>
      <c r="B1656" t="s">
        <v>2370</v>
      </c>
      <c r="C1656" t="str">
        <f t="shared" si="109"/>
        <v>31004</v>
      </c>
      <c r="D1656" t="s">
        <v>2892</v>
      </c>
      <c r="E1656" t="str">
        <f>"4534"</f>
        <v>4534</v>
      </c>
      <c r="F1656" t="s">
        <v>1208</v>
      </c>
      <c r="G1656" t="s">
        <v>22</v>
      </c>
      <c r="H1656">
        <v>5</v>
      </c>
      <c r="I1656" t="s">
        <v>9283</v>
      </c>
      <c r="K1656" t="s">
        <v>2894</v>
      </c>
      <c r="L1656" t="s">
        <v>25</v>
      </c>
      <c r="M1656">
        <v>98258</v>
      </c>
      <c r="N1656" t="s">
        <v>9284</v>
      </c>
      <c r="O1656" t="s">
        <v>9285</v>
      </c>
      <c r="P1656" t="s">
        <v>9286</v>
      </c>
      <c r="Q1656" t="s">
        <v>30</v>
      </c>
      <c r="R1656" t="s">
        <v>31</v>
      </c>
      <c r="S1656" t="s">
        <v>32</v>
      </c>
    </row>
    <row r="1657" spans="1:19" x14ac:dyDescent="0.45">
      <c r="A1657" t="str">
        <f t="shared" si="110"/>
        <v>29801</v>
      </c>
      <c r="B1657" t="s">
        <v>2370</v>
      </c>
      <c r="C1657" t="str">
        <f t="shared" ref="C1657:C1675" si="111">"31006"</f>
        <v>31006</v>
      </c>
      <c r="D1657" t="s">
        <v>2940</v>
      </c>
      <c r="E1657" t="str">
        <f>"1848"</f>
        <v>1848</v>
      </c>
      <c r="F1657" t="s">
        <v>1214</v>
      </c>
      <c r="G1657" t="s">
        <v>22</v>
      </c>
      <c r="H1657">
        <v>12</v>
      </c>
      <c r="I1657" t="s">
        <v>3176</v>
      </c>
      <c r="K1657" t="s">
        <v>2381</v>
      </c>
      <c r="L1657" t="s">
        <v>25</v>
      </c>
      <c r="M1657">
        <v>98204</v>
      </c>
      <c r="N1657" t="s">
        <v>9287</v>
      </c>
      <c r="O1657" t="s">
        <v>9288</v>
      </c>
      <c r="P1657" t="s">
        <v>9289</v>
      </c>
      <c r="Q1657" t="s">
        <v>66</v>
      </c>
      <c r="R1657" t="s">
        <v>67</v>
      </c>
      <c r="S1657" t="s">
        <v>68</v>
      </c>
    </row>
    <row r="1658" spans="1:19" x14ac:dyDescent="0.45">
      <c r="A1658" t="str">
        <f t="shared" si="110"/>
        <v>29801</v>
      </c>
      <c r="B1658" t="s">
        <v>2370</v>
      </c>
      <c r="C1658" t="str">
        <f t="shared" si="111"/>
        <v>31006</v>
      </c>
      <c r="D1658" t="s">
        <v>2940</v>
      </c>
      <c r="E1658" t="str">
        <f>"2886"</f>
        <v>2886</v>
      </c>
      <c r="F1658" t="s">
        <v>9290</v>
      </c>
      <c r="G1658" t="s">
        <v>70</v>
      </c>
      <c r="H1658">
        <v>5</v>
      </c>
      <c r="I1658" t="s">
        <v>9291</v>
      </c>
      <c r="K1658" t="s">
        <v>2381</v>
      </c>
      <c r="L1658" t="s">
        <v>25</v>
      </c>
      <c r="M1658">
        <v>98204</v>
      </c>
      <c r="N1658" t="s">
        <v>9292</v>
      </c>
      <c r="O1658" t="s">
        <v>9293</v>
      </c>
      <c r="P1658" t="s">
        <v>9294</v>
      </c>
      <c r="Q1658" t="s">
        <v>30</v>
      </c>
      <c r="R1658" t="s">
        <v>31</v>
      </c>
      <c r="S1658" t="s">
        <v>32</v>
      </c>
    </row>
    <row r="1659" spans="1:19" x14ac:dyDescent="0.45">
      <c r="A1659" t="str">
        <f t="shared" si="110"/>
        <v>29801</v>
      </c>
      <c r="B1659" t="s">
        <v>2370</v>
      </c>
      <c r="C1659" t="str">
        <f t="shared" si="111"/>
        <v>31006</v>
      </c>
      <c r="D1659" t="s">
        <v>2940</v>
      </c>
      <c r="E1659" t="str">
        <f>"3120"</f>
        <v>3120</v>
      </c>
      <c r="F1659" t="s">
        <v>9295</v>
      </c>
      <c r="G1659">
        <v>6</v>
      </c>
      <c r="H1659">
        <v>8</v>
      </c>
      <c r="I1659" t="s">
        <v>9296</v>
      </c>
      <c r="K1659" t="s">
        <v>9297</v>
      </c>
      <c r="L1659" t="s">
        <v>25</v>
      </c>
      <c r="M1659">
        <v>98275</v>
      </c>
      <c r="N1659" t="s">
        <v>9298</v>
      </c>
      <c r="O1659" t="s">
        <v>9299</v>
      </c>
      <c r="P1659" t="s">
        <v>9300</v>
      </c>
      <c r="Q1659" t="s">
        <v>30</v>
      </c>
      <c r="R1659" t="s">
        <v>31</v>
      </c>
      <c r="S1659" t="s">
        <v>104</v>
      </c>
    </row>
    <row r="1660" spans="1:19" x14ac:dyDescent="0.45">
      <c r="A1660" t="str">
        <f t="shared" si="110"/>
        <v>29801</v>
      </c>
      <c r="B1660" t="s">
        <v>2370</v>
      </c>
      <c r="C1660" t="str">
        <f t="shared" si="111"/>
        <v>31006</v>
      </c>
      <c r="D1660" t="s">
        <v>2940</v>
      </c>
      <c r="E1660" t="str">
        <f>"3121"</f>
        <v>3121</v>
      </c>
      <c r="F1660" t="s">
        <v>9301</v>
      </c>
      <c r="G1660" t="s">
        <v>70</v>
      </c>
      <c r="H1660">
        <v>5</v>
      </c>
      <c r="I1660" t="s">
        <v>9302</v>
      </c>
      <c r="K1660" t="s">
        <v>2381</v>
      </c>
      <c r="L1660" t="s">
        <v>25</v>
      </c>
      <c r="M1660">
        <v>98204</v>
      </c>
      <c r="N1660" t="s">
        <v>9303</v>
      </c>
      <c r="O1660" t="s">
        <v>9304</v>
      </c>
      <c r="P1660" t="s">
        <v>9305</v>
      </c>
      <c r="Q1660" t="s">
        <v>30</v>
      </c>
      <c r="R1660" t="s">
        <v>31</v>
      </c>
      <c r="S1660" t="s">
        <v>32</v>
      </c>
    </row>
    <row r="1661" spans="1:19" x14ac:dyDescent="0.45">
      <c r="A1661" t="str">
        <f t="shared" si="110"/>
        <v>29801</v>
      </c>
      <c r="B1661" t="s">
        <v>2370</v>
      </c>
      <c r="C1661" t="str">
        <f t="shared" si="111"/>
        <v>31006</v>
      </c>
      <c r="D1661" t="s">
        <v>2940</v>
      </c>
      <c r="E1661" t="str">
        <f>"3687"</f>
        <v>3687</v>
      </c>
      <c r="F1661" t="s">
        <v>9306</v>
      </c>
      <c r="G1661" t="s">
        <v>70</v>
      </c>
      <c r="H1661">
        <v>5</v>
      </c>
      <c r="I1661" t="s">
        <v>9307</v>
      </c>
      <c r="K1661" t="s">
        <v>9308</v>
      </c>
      <c r="L1661" t="s">
        <v>25</v>
      </c>
      <c r="M1661">
        <v>98026</v>
      </c>
      <c r="N1661" t="s">
        <v>9309</v>
      </c>
      <c r="O1661" t="s">
        <v>9310</v>
      </c>
      <c r="P1661" t="s">
        <v>9311</v>
      </c>
      <c r="Q1661" t="s">
        <v>30</v>
      </c>
      <c r="R1661" t="s">
        <v>31</v>
      </c>
      <c r="S1661" t="s">
        <v>32</v>
      </c>
    </row>
    <row r="1662" spans="1:19" x14ac:dyDescent="0.45">
      <c r="A1662" t="str">
        <f t="shared" si="110"/>
        <v>29801</v>
      </c>
      <c r="B1662" t="s">
        <v>2370</v>
      </c>
      <c r="C1662" t="str">
        <f t="shared" si="111"/>
        <v>31006</v>
      </c>
      <c r="D1662" t="s">
        <v>2940</v>
      </c>
      <c r="E1662" t="str">
        <f>"3688"</f>
        <v>3688</v>
      </c>
      <c r="F1662" t="s">
        <v>9312</v>
      </c>
      <c r="G1662">
        <v>9</v>
      </c>
      <c r="H1662">
        <v>12</v>
      </c>
      <c r="I1662" t="s">
        <v>9313</v>
      </c>
      <c r="K1662" t="s">
        <v>2381</v>
      </c>
      <c r="L1662" t="s">
        <v>25</v>
      </c>
      <c r="M1662">
        <v>98204</v>
      </c>
      <c r="N1662" t="s">
        <v>9314</v>
      </c>
      <c r="O1662" t="s">
        <v>9315</v>
      </c>
      <c r="P1662" t="s">
        <v>9316</v>
      </c>
      <c r="Q1662" t="s">
        <v>30</v>
      </c>
      <c r="R1662" t="s">
        <v>31</v>
      </c>
      <c r="S1662" t="s">
        <v>58</v>
      </c>
    </row>
    <row r="1663" spans="1:19" x14ac:dyDescent="0.45">
      <c r="A1663" t="str">
        <f t="shared" si="110"/>
        <v>29801</v>
      </c>
      <c r="B1663" t="s">
        <v>2370</v>
      </c>
      <c r="C1663" t="str">
        <f t="shared" si="111"/>
        <v>31006</v>
      </c>
      <c r="D1663" t="s">
        <v>2940</v>
      </c>
      <c r="E1663" t="str">
        <f>"4019"</f>
        <v>4019</v>
      </c>
      <c r="F1663" t="s">
        <v>9317</v>
      </c>
      <c r="G1663">
        <v>11</v>
      </c>
      <c r="H1663">
        <v>12</v>
      </c>
      <c r="I1663" t="s">
        <v>9318</v>
      </c>
      <c r="K1663" t="s">
        <v>2381</v>
      </c>
      <c r="L1663" t="s">
        <v>25</v>
      </c>
      <c r="M1663">
        <v>98204</v>
      </c>
      <c r="N1663" t="s">
        <v>9319</v>
      </c>
      <c r="O1663" t="s">
        <v>9320</v>
      </c>
      <c r="P1663" t="s">
        <v>9321</v>
      </c>
      <c r="Q1663" t="s">
        <v>172</v>
      </c>
      <c r="R1663" t="s">
        <v>173</v>
      </c>
      <c r="S1663" t="s">
        <v>58</v>
      </c>
    </row>
    <row r="1664" spans="1:19" x14ac:dyDescent="0.45">
      <c r="A1664" t="str">
        <f t="shared" si="110"/>
        <v>29801</v>
      </c>
      <c r="B1664" t="s">
        <v>2370</v>
      </c>
      <c r="C1664" t="str">
        <f t="shared" si="111"/>
        <v>31006</v>
      </c>
      <c r="D1664" t="s">
        <v>2940</v>
      </c>
      <c r="E1664" t="str">
        <f>"4164"</f>
        <v>4164</v>
      </c>
      <c r="F1664" t="s">
        <v>9322</v>
      </c>
      <c r="G1664" t="s">
        <v>70</v>
      </c>
      <c r="H1664">
        <v>5</v>
      </c>
      <c r="I1664" t="s">
        <v>9323</v>
      </c>
      <c r="K1664" t="s">
        <v>9297</v>
      </c>
      <c r="L1664" t="s">
        <v>25</v>
      </c>
      <c r="M1664">
        <v>98275</v>
      </c>
      <c r="N1664" t="s">
        <v>9324</v>
      </c>
      <c r="O1664" t="s">
        <v>9325</v>
      </c>
      <c r="P1664" t="s">
        <v>9326</v>
      </c>
      <c r="Q1664" t="s">
        <v>30</v>
      </c>
      <c r="R1664" t="s">
        <v>31</v>
      </c>
      <c r="S1664" t="s">
        <v>32</v>
      </c>
    </row>
    <row r="1665" spans="1:19" x14ac:dyDescent="0.45">
      <c r="A1665" t="str">
        <f t="shared" si="110"/>
        <v>29801</v>
      </c>
      <c r="B1665" t="s">
        <v>2370</v>
      </c>
      <c r="C1665" t="str">
        <f t="shared" si="111"/>
        <v>31006</v>
      </c>
      <c r="D1665" t="s">
        <v>2940</v>
      </c>
      <c r="E1665" t="str">
        <f>"4165"</f>
        <v>4165</v>
      </c>
      <c r="F1665" t="s">
        <v>9327</v>
      </c>
      <c r="G1665" t="s">
        <v>70</v>
      </c>
      <c r="H1665">
        <v>5</v>
      </c>
      <c r="I1665" t="s">
        <v>9328</v>
      </c>
      <c r="K1665" t="s">
        <v>9308</v>
      </c>
      <c r="L1665" t="s">
        <v>25</v>
      </c>
      <c r="M1665">
        <v>98026</v>
      </c>
      <c r="N1665" t="s">
        <v>9329</v>
      </c>
      <c r="O1665" t="s">
        <v>9330</v>
      </c>
      <c r="P1665" t="s">
        <v>9331</v>
      </c>
      <c r="Q1665" t="s">
        <v>30</v>
      </c>
      <c r="R1665" t="s">
        <v>31</v>
      </c>
      <c r="S1665" t="s">
        <v>32</v>
      </c>
    </row>
    <row r="1666" spans="1:19" x14ac:dyDescent="0.45">
      <c r="A1666" t="str">
        <f t="shared" si="110"/>
        <v>29801</v>
      </c>
      <c r="B1666" t="s">
        <v>2370</v>
      </c>
      <c r="C1666" t="str">
        <f t="shared" si="111"/>
        <v>31006</v>
      </c>
      <c r="D1666" t="s">
        <v>2940</v>
      </c>
      <c r="E1666" t="str">
        <f>"4231"</f>
        <v>4231</v>
      </c>
      <c r="F1666" t="s">
        <v>9332</v>
      </c>
      <c r="G1666">
        <v>6</v>
      </c>
      <c r="H1666">
        <v>8</v>
      </c>
      <c r="I1666" t="s">
        <v>9333</v>
      </c>
      <c r="K1666" t="s">
        <v>2381</v>
      </c>
      <c r="L1666" t="s">
        <v>25</v>
      </c>
      <c r="M1666">
        <v>98204</v>
      </c>
      <c r="N1666" t="s">
        <v>9334</v>
      </c>
      <c r="O1666" t="s">
        <v>9335</v>
      </c>
      <c r="P1666" t="s">
        <v>9336</v>
      </c>
      <c r="Q1666" t="s">
        <v>30</v>
      </c>
      <c r="R1666" t="s">
        <v>31</v>
      </c>
      <c r="S1666" t="s">
        <v>104</v>
      </c>
    </row>
    <row r="1667" spans="1:19" x14ac:dyDescent="0.45">
      <c r="A1667" t="str">
        <f t="shared" si="110"/>
        <v>29801</v>
      </c>
      <c r="B1667" t="s">
        <v>2370</v>
      </c>
      <c r="C1667" t="str">
        <f t="shared" si="111"/>
        <v>31006</v>
      </c>
      <c r="D1667" t="s">
        <v>2940</v>
      </c>
      <c r="E1667" t="str">
        <f>"4247"</f>
        <v>4247</v>
      </c>
      <c r="F1667" t="s">
        <v>9337</v>
      </c>
      <c r="G1667">
        <v>9</v>
      </c>
      <c r="H1667">
        <v>12</v>
      </c>
      <c r="I1667" t="s">
        <v>9338</v>
      </c>
      <c r="K1667" t="s">
        <v>2381</v>
      </c>
      <c r="L1667" t="s">
        <v>25</v>
      </c>
      <c r="M1667">
        <v>98204</v>
      </c>
      <c r="N1667" t="s">
        <v>9339</v>
      </c>
      <c r="O1667" t="s">
        <v>9340</v>
      </c>
      <c r="P1667" t="s">
        <v>9341</v>
      </c>
      <c r="Q1667" t="s">
        <v>157</v>
      </c>
      <c r="R1667" t="s">
        <v>158</v>
      </c>
      <c r="S1667" t="s">
        <v>58</v>
      </c>
    </row>
    <row r="1668" spans="1:19" x14ac:dyDescent="0.45">
      <c r="A1668" t="str">
        <f t="shared" si="110"/>
        <v>29801</v>
      </c>
      <c r="B1668" t="s">
        <v>2370</v>
      </c>
      <c r="C1668" t="str">
        <f t="shared" si="111"/>
        <v>31006</v>
      </c>
      <c r="D1668" t="s">
        <v>2940</v>
      </c>
      <c r="E1668" t="str">
        <f>"4303"</f>
        <v>4303</v>
      </c>
      <c r="F1668" t="s">
        <v>999</v>
      </c>
      <c r="G1668" t="s">
        <v>22</v>
      </c>
      <c r="H1668">
        <v>5</v>
      </c>
      <c r="I1668" t="s">
        <v>9342</v>
      </c>
      <c r="K1668" t="s">
        <v>2381</v>
      </c>
      <c r="L1668" t="s">
        <v>25</v>
      </c>
      <c r="M1668">
        <v>98204</v>
      </c>
      <c r="N1668" t="s">
        <v>9343</v>
      </c>
      <c r="O1668" t="s">
        <v>9344</v>
      </c>
      <c r="P1668" t="s">
        <v>9345</v>
      </c>
      <c r="Q1668" t="s">
        <v>30</v>
      </c>
      <c r="R1668" t="s">
        <v>31</v>
      </c>
      <c r="S1668" t="s">
        <v>32</v>
      </c>
    </row>
    <row r="1669" spans="1:19" x14ac:dyDescent="0.45">
      <c r="A1669" t="str">
        <f t="shared" si="110"/>
        <v>29801</v>
      </c>
      <c r="B1669" t="s">
        <v>2370</v>
      </c>
      <c r="C1669" t="str">
        <f t="shared" si="111"/>
        <v>31006</v>
      </c>
      <c r="D1669" t="s">
        <v>2940</v>
      </c>
      <c r="E1669" t="str">
        <f>"4304"</f>
        <v>4304</v>
      </c>
      <c r="F1669" t="s">
        <v>1011</v>
      </c>
      <c r="G1669" t="s">
        <v>70</v>
      </c>
      <c r="H1669">
        <v>5</v>
      </c>
      <c r="I1669" t="s">
        <v>9346</v>
      </c>
      <c r="K1669" t="s">
        <v>2381</v>
      </c>
      <c r="L1669" t="s">
        <v>25</v>
      </c>
      <c r="M1669">
        <v>98208</v>
      </c>
      <c r="N1669" t="s">
        <v>9347</v>
      </c>
      <c r="O1669" t="s">
        <v>9348</v>
      </c>
      <c r="P1669" t="s">
        <v>9349</v>
      </c>
      <c r="Q1669" t="s">
        <v>30</v>
      </c>
      <c r="R1669" t="s">
        <v>31</v>
      </c>
      <c r="S1669" t="s">
        <v>32</v>
      </c>
    </row>
    <row r="1670" spans="1:19" x14ac:dyDescent="0.45">
      <c r="A1670" t="str">
        <f t="shared" si="110"/>
        <v>29801</v>
      </c>
      <c r="B1670" t="s">
        <v>2370</v>
      </c>
      <c r="C1670" t="str">
        <f t="shared" si="111"/>
        <v>31006</v>
      </c>
      <c r="D1670" t="s">
        <v>2940</v>
      </c>
      <c r="E1670" t="str">
        <f>"4342"</f>
        <v>4342</v>
      </c>
      <c r="F1670" t="s">
        <v>9350</v>
      </c>
      <c r="G1670" t="s">
        <v>22</v>
      </c>
      <c r="H1670">
        <v>5</v>
      </c>
      <c r="I1670" t="s">
        <v>9351</v>
      </c>
      <c r="K1670" t="s">
        <v>9297</v>
      </c>
      <c r="L1670" t="s">
        <v>25</v>
      </c>
      <c r="M1670">
        <v>98275</v>
      </c>
      <c r="N1670" t="s">
        <v>9352</v>
      </c>
      <c r="O1670" t="s">
        <v>9353</v>
      </c>
      <c r="P1670" t="s">
        <v>9354</v>
      </c>
      <c r="Q1670" t="s">
        <v>30</v>
      </c>
      <c r="R1670" t="s">
        <v>31</v>
      </c>
      <c r="S1670" t="s">
        <v>32</v>
      </c>
    </row>
    <row r="1671" spans="1:19" x14ac:dyDescent="0.45">
      <c r="A1671" t="str">
        <f t="shared" si="110"/>
        <v>29801</v>
      </c>
      <c r="B1671" t="s">
        <v>2370</v>
      </c>
      <c r="C1671" t="str">
        <f t="shared" si="111"/>
        <v>31006</v>
      </c>
      <c r="D1671" t="s">
        <v>2940</v>
      </c>
      <c r="E1671" t="str">
        <f>"4344"</f>
        <v>4344</v>
      </c>
      <c r="F1671" t="s">
        <v>9355</v>
      </c>
      <c r="G1671" t="s">
        <v>70</v>
      </c>
      <c r="H1671">
        <v>5</v>
      </c>
      <c r="I1671" t="s">
        <v>9356</v>
      </c>
      <c r="K1671" t="s">
        <v>2381</v>
      </c>
      <c r="L1671" t="s">
        <v>25</v>
      </c>
      <c r="M1671">
        <v>98204</v>
      </c>
      <c r="N1671" t="s">
        <v>9357</v>
      </c>
      <c r="O1671" t="s">
        <v>9358</v>
      </c>
      <c r="P1671" t="s">
        <v>9359</v>
      </c>
      <c r="Q1671" t="s">
        <v>30</v>
      </c>
      <c r="R1671" t="s">
        <v>31</v>
      </c>
      <c r="S1671" t="s">
        <v>32</v>
      </c>
    </row>
    <row r="1672" spans="1:19" x14ac:dyDescent="0.45">
      <c r="A1672" t="str">
        <f t="shared" si="110"/>
        <v>29801</v>
      </c>
      <c r="B1672" t="s">
        <v>2370</v>
      </c>
      <c r="C1672" t="str">
        <f t="shared" si="111"/>
        <v>31006</v>
      </c>
      <c r="D1672" t="s">
        <v>2940</v>
      </c>
      <c r="E1672" t="str">
        <f>"4425"</f>
        <v>4425</v>
      </c>
      <c r="F1672" t="s">
        <v>9360</v>
      </c>
      <c r="G1672">
        <v>6</v>
      </c>
      <c r="H1672">
        <v>8</v>
      </c>
      <c r="I1672" t="s">
        <v>9361</v>
      </c>
      <c r="K1672" t="s">
        <v>2381</v>
      </c>
      <c r="L1672" t="s">
        <v>25</v>
      </c>
      <c r="M1672">
        <v>98204</v>
      </c>
      <c r="N1672" t="s">
        <v>9362</v>
      </c>
      <c r="O1672" t="s">
        <v>9363</v>
      </c>
      <c r="P1672" t="s">
        <v>9364</v>
      </c>
      <c r="Q1672" t="s">
        <v>30</v>
      </c>
      <c r="R1672" t="s">
        <v>31</v>
      </c>
      <c r="S1672" t="s">
        <v>104</v>
      </c>
    </row>
    <row r="1673" spans="1:19" x14ac:dyDescent="0.45">
      <c r="A1673" t="str">
        <f t="shared" si="110"/>
        <v>29801</v>
      </c>
      <c r="B1673" t="s">
        <v>2370</v>
      </c>
      <c r="C1673" t="str">
        <f t="shared" si="111"/>
        <v>31006</v>
      </c>
      <c r="D1673" t="s">
        <v>2940</v>
      </c>
      <c r="E1673" t="str">
        <f>"4430"</f>
        <v>4430</v>
      </c>
      <c r="F1673" t="s">
        <v>9365</v>
      </c>
      <c r="G1673">
        <v>6</v>
      </c>
      <c r="H1673">
        <v>8</v>
      </c>
      <c r="I1673" t="s">
        <v>9366</v>
      </c>
      <c r="K1673" t="s">
        <v>9297</v>
      </c>
      <c r="L1673" t="s">
        <v>25</v>
      </c>
      <c r="M1673">
        <v>98275</v>
      </c>
      <c r="N1673" t="s">
        <v>9367</v>
      </c>
      <c r="O1673" t="s">
        <v>9368</v>
      </c>
      <c r="P1673" t="s">
        <v>9369</v>
      </c>
      <c r="Q1673" t="s">
        <v>30</v>
      </c>
      <c r="R1673" t="s">
        <v>31</v>
      </c>
      <c r="S1673" t="s">
        <v>104</v>
      </c>
    </row>
    <row r="1674" spans="1:19" x14ac:dyDescent="0.45">
      <c r="A1674" t="str">
        <f t="shared" si="110"/>
        <v>29801</v>
      </c>
      <c r="B1674" t="s">
        <v>2370</v>
      </c>
      <c r="C1674" t="str">
        <f t="shared" si="111"/>
        <v>31006</v>
      </c>
      <c r="D1674" t="s">
        <v>2940</v>
      </c>
      <c r="E1674" t="str">
        <f>"4433"</f>
        <v>4433</v>
      </c>
      <c r="F1674" t="s">
        <v>9370</v>
      </c>
      <c r="G1674">
        <v>9</v>
      </c>
      <c r="H1674">
        <v>12</v>
      </c>
      <c r="I1674" t="s">
        <v>9371</v>
      </c>
      <c r="K1674" t="s">
        <v>9297</v>
      </c>
      <c r="L1674" t="s">
        <v>25</v>
      </c>
      <c r="M1674">
        <v>98275</v>
      </c>
      <c r="N1674" t="s">
        <v>9372</v>
      </c>
      <c r="O1674" t="s">
        <v>9373</v>
      </c>
      <c r="P1674" t="s">
        <v>9374</v>
      </c>
      <c r="Q1674" t="s">
        <v>30</v>
      </c>
      <c r="R1674" t="s">
        <v>31</v>
      </c>
      <c r="S1674" t="s">
        <v>58</v>
      </c>
    </row>
    <row r="1675" spans="1:19" x14ac:dyDescent="0.45">
      <c r="A1675" t="str">
        <f t="shared" si="110"/>
        <v>29801</v>
      </c>
      <c r="B1675" t="s">
        <v>2370</v>
      </c>
      <c r="C1675" t="str">
        <f t="shared" si="111"/>
        <v>31006</v>
      </c>
      <c r="D1675" t="s">
        <v>2940</v>
      </c>
      <c r="E1675" t="str">
        <f>"4469"</f>
        <v>4469</v>
      </c>
      <c r="F1675" t="s">
        <v>9375</v>
      </c>
      <c r="G1675" t="s">
        <v>70</v>
      </c>
      <c r="H1675">
        <v>5</v>
      </c>
      <c r="I1675" t="s">
        <v>9376</v>
      </c>
      <c r="K1675" t="s">
        <v>9297</v>
      </c>
      <c r="L1675" t="s">
        <v>25</v>
      </c>
      <c r="M1675">
        <v>98275</v>
      </c>
      <c r="N1675" t="s">
        <v>9377</v>
      </c>
      <c r="O1675" t="s">
        <v>9378</v>
      </c>
      <c r="P1675" t="s">
        <v>9379</v>
      </c>
      <c r="Q1675" t="s">
        <v>30</v>
      </c>
      <c r="R1675" t="s">
        <v>31</v>
      </c>
      <c r="S1675" t="s">
        <v>32</v>
      </c>
    </row>
    <row r="1676" spans="1:19" x14ac:dyDescent="0.45">
      <c r="A1676" t="str">
        <f t="shared" si="110"/>
        <v>29801</v>
      </c>
      <c r="B1676" t="s">
        <v>2370</v>
      </c>
      <c r="C1676" t="str">
        <f t="shared" ref="C1676:C1711" si="112">"31015"</f>
        <v>31015</v>
      </c>
      <c r="D1676" t="s">
        <v>2529</v>
      </c>
      <c r="E1676" t="str">
        <f>"1519"</f>
        <v>1519</v>
      </c>
      <c r="F1676" t="s">
        <v>9380</v>
      </c>
      <c r="G1676">
        <v>9</v>
      </c>
      <c r="H1676">
        <v>12</v>
      </c>
      <c r="I1676" t="s">
        <v>9381</v>
      </c>
      <c r="K1676" t="s">
        <v>9382</v>
      </c>
      <c r="L1676" t="s">
        <v>25</v>
      </c>
      <c r="M1676" t="s">
        <v>9383</v>
      </c>
      <c r="N1676" t="s">
        <v>9384</v>
      </c>
      <c r="O1676" t="s">
        <v>9385</v>
      </c>
      <c r="P1676" t="s">
        <v>9386</v>
      </c>
      <c r="Q1676" t="s">
        <v>157</v>
      </c>
      <c r="R1676" t="s">
        <v>158</v>
      </c>
      <c r="S1676" t="s">
        <v>58</v>
      </c>
    </row>
    <row r="1677" spans="1:19" x14ac:dyDescent="0.45">
      <c r="A1677" t="str">
        <f t="shared" si="110"/>
        <v>29801</v>
      </c>
      <c r="B1677" t="s">
        <v>2370</v>
      </c>
      <c r="C1677" t="str">
        <f t="shared" si="112"/>
        <v>31015</v>
      </c>
      <c r="D1677" t="s">
        <v>2529</v>
      </c>
      <c r="E1677" t="str">
        <f>"1520"</f>
        <v>1520</v>
      </c>
      <c r="F1677" t="s">
        <v>9387</v>
      </c>
      <c r="G1677" t="s">
        <v>70</v>
      </c>
      <c r="H1677">
        <v>6</v>
      </c>
      <c r="I1677" t="s">
        <v>9388</v>
      </c>
      <c r="K1677" t="s">
        <v>9389</v>
      </c>
      <c r="L1677" t="s">
        <v>25</v>
      </c>
      <c r="M1677" t="s">
        <v>9390</v>
      </c>
      <c r="N1677" t="s">
        <v>9391</v>
      </c>
      <c r="O1677" t="s">
        <v>9392</v>
      </c>
      <c r="P1677" t="s">
        <v>9393</v>
      </c>
      <c r="Q1677" t="s">
        <v>157</v>
      </c>
      <c r="R1677" t="s">
        <v>158</v>
      </c>
      <c r="S1677" t="s">
        <v>32</v>
      </c>
    </row>
    <row r="1678" spans="1:19" x14ac:dyDescent="0.45">
      <c r="A1678" t="str">
        <f t="shared" si="110"/>
        <v>29801</v>
      </c>
      <c r="B1678" t="s">
        <v>2370</v>
      </c>
      <c r="C1678" t="str">
        <f t="shared" si="112"/>
        <v>31015</v>
      </c>
      <c r="D1678" t="s">
        <v>2529</v>
      </c>
      <c r="E1678" t="str">
        <f>"1558"</f>
        <v>1558</v>
      </c>
      <c r="F1678" t="s">
        <v>9394</v>
      </c>
      <c r="G1678" t="s">
        <v>22</v>
      </c>
      <c r="H1678">
        <v>9</v>
      </c>
      <c r="I1678" t="s">
        <v>9395</v>
      </c>
      <c r="K1678" t="s">
        <v>9382</v>
      </c>
      <c r="L1678" t="s">
        <v>25</v>
      </c>
      <c r="M1678" t="s">
        <v>9396</v>
      </c>
      <c r="N1678" t="s">
        <v>79</v>
      </c>
      <c r="Q1678" t="s">
        <v>66</v>
      </c>
      <c r="R1678" t="s">
        <v>67</v>
      </c>
      <c r="S1678" t="s">
        <v>159</v>
      </c>
    </row>
    <row r="1679" spans="1:19" x14ac:dyDescent="0.45">
      <c r="A1679" t="str">
        <f t="shared" si="110"/>
        <v>29801</v>
      </c>
      <c r="B1679" t="s">
        <v>2370</v>
      </c>
      <c r="C1679" t="str">
        <f t="shared" si="112"/>
        <v>31015</v>
      </c>
      <c r="D1679" t="s">
        <v>2529</v>
      </c>
      <c r="E1679" t="str">
        <f>"1685"</f>
        <v>1685</v>
      </c>
      <c r="F1679" t="s">
        <v>9397</v>
      </c>
      <c r="G1679" t="s">
        <v>70</v>
      </c>
      <c r="H1679">
        <v>8</v>
      </c>
      <c r="I1679" t="s">
        <v>9398</v>
      </c>
      <c r="K1679" t="s">
        <v>9399</v>
      </c>
      <c r="L1679" t="s">
        <v>25</v>
      </c>
      <c r="M1679" t="s">
        <v>9400</v>
      </c>
      <c r="N1679" t="s">
        <v>9401</v>
      </c>
      <c r="O1679" t="s">
        <v>9402</v>
      </c>
      <c r="P1679" t="s">
        <v>9403</v>
      </c>
      <c r="Q1679" t="s">
        <v>157</v>
      </c>
      <c r="R1679" t="s">
        <v>158</v>
      </c>
      <c r="S1679" t="s">
        <v>159</v>
      </c>
    </row>
    <row r="1680" spans="1:19" x14ac:dyDescent="0.45">
      <c r="A1680" t="str">
        <f t="shared" si="110"/>
        <v>29801</v>
      </c>
      <c r="B1680" t="s">
        <v>2370</v>
      </c>
      <c r="C1680" t="str">
        <f t="shared" si="112"/>
        <v>31015</v>
      </c>
      <c r="D1680" t="s">
        <v>2529</v>
      </c>
      <c r="E1680" t="str">
        <f>"1830"</f>
        <v>1830</v>
      </c>
      <c r="F1680" t="s">
        <v>9404</v>
      </c>
      <c r="G1680" t="s">
        <v>22</v>
      </c>
      <c r="H1680">
        <v>12</v>
      </c>
      <c r="I1680" t="s">
        <v>9395</v>
      </c>
      <c r="K1680" t="s">
        <v>9382</v>
      </c>
      <c r="L1680" t="s">
        <v>25</v>
      </c>
      <c r="M1680" t="s">
        <v>9383</v>
      </c>
      <c r="N1680" t="s">
        <v>79</v>
      </c>
      <c r="Q1680" t="s">
        <v>66</v>
      </c>
      <c r="R1680" t="s">
        <v>67</v>
      </c>
      <c r="S1680" t="s">
        <v>68</v>
      </c>
    </row>
    <row r="1681" spans="1:19" x14ac:dyDescent="0.45">
      <c r="A1681" t="str">
        <f t="shared" si="110"/>
        <v>29801</v>
      </c>
      <c r="B1681" t="s">
        <v>2370</v>
      </c>
      <c r="C1681" t="str">
        <f t="shared" si="112"/>
        <v>31015</v>
      </c>
      <c r="D1681" t="s">
        <v>2529</v>
      </c>
      <c r="E1681" t="str">
        <f>"2887"</f>
        <v>2887</v>
      </c>
      <c r="F1681" t="s">
        <v>9405</v>
      </c>
      <c r="G1681" t="s">
        <v>70</v>
      </c>
      <c r="H1681">
        <v>6</v>
      </c>
      <c r="I1681" t="s">
        <v>9406</v>
      </c>
      <c r="K1681" t="s">
        <v>9382</v>
      </c>
      <c r="L1681" t="s">
        <v>25</v>
      </c>
      <c r="M1681" t="s">
        <v>9407</v>
      </c>
      <c r="N1681" t="s">
        <v>9408</v>
      </c>
      <c r="O1681" t="s">
        <v>9409</v>
      </c>
      <c r="P1681" t="s">
        <v>9410</v>
      </c>
      <c r="Q1681" t="s">
        <v>30</v>
      </c>
      <c r="R1681" t="s">
        <v>31</v>
      </c>
      <c r="S1681" t="s">
        <v>32</v>
      </c>
    </row>
    <row r="1682" spans="1:19" x14ac:dyDescent="0.45">
      <c r="A1682" t="str">
        <f t="shared" si="110"/>
        <v>29801</v>
      </c>
      <c r="B1682" t="s">
        <v>2370</v>
      </c>
      <c r="C1682" t="str">
        <f t="shared" si="112"/>
        <v>31015</v>
      </c>
      <c r="D1682" t="s">
        <v>2529</v>
      </c>
      <c r="E1682" t="str">
        <f>"2888"</f>
        <v>2888</v>
      </c>
      <c r="F1682" t="s">
        <v>9411</v>
      </c>
      <c r="G1682" t="s">
        <v>70</v>
      </c>
      <c r="H1682">
        <v>6</v>
      </c>
      <c r="I1682" t="s">
        <v>9388</v>
      </c>
      <c r="K1682" t="s">
        <v>9389</v>
      </c>
      <c r="L1682" t="s">
        <v>25</v>
      </c>
      <c r="M1682" t="s">
        <v>9390</v>
      </c>
      <c r="N1682" t="s">
        <v>9391</v>
      </c>
      <c r="O1682" t="s">
        <v>9412</v>
      </c>
      <c r="P1682" t="s">
        <v>9393</v>
      </c>
      <c r="Q1682" t="s">
        <v>30</v>
      </c>
      <c r="R1682" t="s">
        <v>31</v>
      </c>
      <c r="S1682" t="s">
        <v>32</v>
      </c>
    </row>
    <row r="1683" spans="1:19" x14ac:dyDescent="0.45">
      <c r="A1683" t="str">
        <f t="shared" si="110"/>
        <v>29801</v>
      </c>
      <c r="B1683" t="s">
        <v>2370</v>
      </c>
      <c r="C1683" t="str">
        <f t="shared" si="112"/>
        <v>31015</v>
      </c>
      <c r="D1683" t="s">
        <v>2529</v>
      </c>
      <c r="E1683" t="str">
        <f>"3122"</f>
        <v>3122</v>
      </c>
      <c r="F1683" t="s">
        <v>9413</v>
      </c>
      <c r="G1683" t="s">
        <v>70</v>
      </c>
      <c r="H1683">
        <v>6</v>
      </c>
      <c r="I1683" t="s">
        <v>9414</v>
      </c>
      <c r="K1683" t="s">
        <v>2532</v>
      </c>
      <c r="L1683" t="s">
        <v>25</v>
      </c>
      <c r="M1683">
        <v>98036</v>
      </c>
      <c r="N1683" t="s">
        <v>9415</v>
      </c>
      <c r="O1683" t="s">
        <v>9416</v>
      </c>
      <c r="P1683" t="s">
        <v>9417</v>
      </c>
      <c r="Q1683" t="s">
        <v>30</v>
      </c>
      <c r="R1683" t="s">
        <v>31</v>
      </c>
      <c r="S1683" t="s">
        <v>32</v>
      </c>
    </row>
    <row r="1684" spans="1:19" x14ac:dyDescent="0.45">
      <c r="A1684" t="str">
        <f t="shared" si="110"/>
        <v>29801</v>
      </c>
      <c r="B1684" t="s">
        <v>2370</v>
      </c>
      <c r="C1684" t="str">
        <f t="shared" si="112"/>
        <v>31015</v>
      </c>
      <c r="D1684" t="s">
        <v>2529</v>
      </c>
      <c r="E1684" t="str">
        <f>"3123"</f>
        <v>3123</v>
      </c>
      <c r="F1684" t="s">
        <v>9418</v>
      </c>
      <c r="G1684">
        <v>9</v>
      </c>
      <c r="H1684">
        <v>12</v>
      </c>
      <c r="I1684" t="s">
        <v>9419</v>
      </c>
      <c r="K1684" t="s">
        <v>9399</v>
      </c>
      <c r="L1684" t="s">
        <v>25</v>
      </c>
      <c r="M1684" t="s">
        <v>9420</v>
      </c>
      <c r="N1684" t="s">
        <v>9421</v>
      </c>
      <c r="O1684" t="s">
        <v>9422</v>
      </c>
      <c r="P1684" t="s">
        <v>9423</v>
      </c>
      <c r="Q1684" t="s">
        <v>30</v>
      </c>
      <c r="R1684" t="s">
        <v>31</v>
      </c>
      <c r="S1684" t="s">
        <v>58</v>
      </c>
    </row>
    <row r="1685" spans="1:19" x14ac:dyDescent="0.45">
      <c r="A1685" t="str">
        <f t="shared" si="110"/>
        <v>29801</v>
      </c>
      <c r="B1685" t="s">
        <v>2370</v>
      </c>
      <c r="C1685" t="str">
        <f t="shared" si="112"/>
        <v>31015</v>
      </c>
      <c r="D1685" t="s">
        <v>2529</v>
      </c>
      <c r="E1685" t="str">
        <f>"3185"</f>
        <v>3185</v>
      </c>
      <c r="F1685" t="s">
        <v>2171</v>
      </c>
      <c r="G1685" t="s">
        <v>22</v>
      </c>
      <c r="H1685" t="s">
        <v>70</v>
      </c>
      <c r="I1685" t="s">
        <v>9424</v>
      </c>
      <c r="K1685" t="s">
        <v>9382</v>
      </c>
      <c r="L1685" t="s">
        <v>25</v>
      </c>
      <c r="M1685" t="s">
        <v>9425</v>
      </c>
      <c r="N1685" t="s">
        <v>9426</v>
      </c>
      <c r="O1685" t="s">
        <v>9427</v>
      </c>
      <c r="P1685" t="s">
        <v>9428</v>
      </c>
      <c r="Q1685" t="s">
        <v>66</v>
      </c>
      <c r="R1685" t="s">
        <v>67</v>
      </c>
      <c r="S1685" t="s">
        <v>32</v>
      </c>
    </row>
    <row r="1686" spans="1:19" x14ac:dyDescent="0.45">
      <c r="A1686" t="str">
        <f t="shared" si="110"/>
        <v>29801</v>
      </c>
      <c r="B1686" t="s">
        <v>2370</v>
      </c>
      <c r="C1686" t="str">
        <f t="shared" si="112"/>
        <v>31015</v>
      </c>
      <c r="D1686" t="s">
        <v>2529</v>
      </c>
      <c r="E1686" t="str">
        <f>"3186"</f>
        <v>3186</v>
      </c>
      <c r="F1686" t="s">
        <v>9429</v>
      </c>
      <c r="G1686" t="s">
        <v>70</v>
      </c>
      <c r="H1686">
        <v>6</v>
      </c>
      <c r="I1686" t="s">
        <v>9430</v>
      </c>
      <c r="K1686" t="s">
        <v>9399</v>
      </c>
      <c r="L1686" t="s">
        <v>25</v>
      </c>
      <c r="M1686" t="s">
        <v>9431</v>
      </c>
      <c r="N1686" t="s">
        <v>9432</v>
      </c>
      <c r="O1686" t="s">
        <v>9433</v>
      </c>
      <c r="P1686" t="s">
        <v>9434</v>
      </c>
      <c r="Q1686" t="s">
        <v>30</v>
      </c>
      <c r="R1686" t="s">
        <v>31</v>
      </c>
      <c r="S1686" t="s">
        <v>32</v>
      </c>
    </row>
    <row r="1687" spans="1:19" x14ac:dyDescent="0.45">
      <c r="A1687" t="str">
        <f t="shared" si="110"/>
        <v>29801</v>
      </c>
      <c r="B1687" t="s">
        <v>2370</v>
      </c>
      <c r="C1687" t="str">
        <f t="shared" si="112"/>
        <v>31015</v>
      </c>
      <c r="D1687" t="s">
        <v>2529</v>
      </c>
      <c r="E1687" t="str">
        <f>"3254"</f>
        <v>3254</v>
      </c>
      <c r="F1687" t="s">
        <v>9435</v>
      </c>
      <c r="G1687" t="s">
        <v>70</v>
      </c>
      <c r="H1687">
        <v>6</v>
      </c>
      <c r="I1687" t="s">
        <v>9436</v>
      </c>
      <c r="K1687" t="s">
        <v>9437</v>
      </c>
      <c r="L1687" t="s">
        <v>25</v>
      </c>
      <c r="M1687">
        <v>98043</v>
      </c>
      <c r="N1687" t="s">
        <v>9438</v>
      </c>
      <c r="O1687" t="s">
        <v>9439</v>
      </c>
      <c r="P1687" t="s">
        <v>9440</v>
      </c>
      <c r="Q1687" t="s">
        <v>30</v>
      </c>
      <c r="R1687" t="s">
        <v>31</v>
      </c>
      <c r="S1687" t="s">
        <v>32</v>
      </c>
    </row>
    <row r="1688" spans="1:19" x14ac:dyDescent="0.45">
      <c r="A1688" t="str">
        <f t="shared" ref="A1688:A1719" si="113">"29801"</f>
        <v>29801</v>
      </c>
      <c r="B1688" t="s">
        <v>2370</v>
      </c>
      <c r="C1688" t="str">
        <f t="shared" si="112"/>
        <v>31015</v>
      </c>
      <c r="D1688" t="s">
        <v>2529</v>
      </c>
      <c r="E1688" t="str">
        <f>"3302"</f>
        <v>3302</v>
      </c>
      <c r="F1688" t="s">
        <v>9441</v>
      </c>
      <c r="G1688" t="s">
        <v>70</v>
      </c>
      <c r="H1688">
        <v>6</v>
      </c>
      <c r="I1688" t="s">
        <v>9442</v>
      </c>
      <c r="K1688" t="s">
        <v>2532</v>
      </c>
      <c r="L1688" t="s">
        <v>25</v>
      </c>
      <c r="M1688" t="s">
        <v>9443</v>
      </c>
      <c r="N1688" t="s">
        <v>9444</v>
      </c>
      <c r="O1688" t="s">
        <v>9445</v>
      </c>
      <c r="P1688" t="s">
        <v>9446</v>
      </c>
      <c r="Q1688" t="s">
        <v>30</v>
      </c>
      <c r="R1688" t="s">
        <v>31</v>
      </c>
      <c r="S1688" t="s">
        <v>32</v>
      </c>
    </row>
    <row r="1689" spans="1:19" x14ac:dyDescent="0.45">
      <c r="A1689" t="str">
        <f t="shared" si="113"/>
        <v>29801</v>
      </c>
      <c r="B1689" t="s">
        <v>2370</v>
      </c>
      <c r="C1689" t="str">
        <f t="shared" si="112"/>
        <v>31015</v>
      </c>
      <c r="D1689" t="s">
        <v>2529</v>
      </c>
      <c r="E1689" t="str">
        <f>"3303"</f>
        <v>3303</v>
      </c>
      <c r="F1689" t="s">
        <v>9447</v>
      </c>
      <c r="G1689">
        <v>9</v>
      </c>
      <c r="H1689">
        <v>12</v>
      </c>
      <c r="I1689" t="s">
        <v>9448</v>
      </c>
      <c r="K1689" t="s">
        <v>9389</v>
      </c>
      <c r="L1689" t="s">
        <v>25</v>
      </c>
      <c r="M1689" t="s">
        <v>9449</v>
      </c>
      <c r="N1689" t="s">
        <v>9450</v>
      </c>
      <c r="O1689" t="s">
        <v>9451</v>
      </c>
      <c r="P1689" t="s">
        <v>9452</v>
      </c>
      <c r="Q1689" t="s">
        <v>30</v>
      </c>
      <c r="R1689" t="s">
        <v>31</v>
      </c>
      <c r="S1689" t="s">
        <v>58</v>
      </c>
    </row>
    <row r="1690" spans="1:19" x14ac:dyDescent="0.45">
      <c r="A1690" t="str">
        <f t="shared" si="113"/>
        <v>29801</v>
      </c>
      <c r="B1690" t="s">
        <v>2370</v>
      </c>
      <c r="C1690" t="str">
        <f t="shared" si="112"/>
        <v>31015</v>
      </c>
      <c r="D1690" t="s">
        <v>2529</v>
      </c>
      <c r="E1690" t="str">
        <f>"3304"</f>
        <v>3304</v>
      </c>
      <c r="F1690" t="s">
        <v>9453</v>
      </c>
      <c r="G1690" t="s">
        <v>70</v>
      </c>
      <c r="H1690">
        <v>6</v>
      </c>
      <c r="I1690" t="s">
        <v>9454</v>
      </c>
      <c r="K1690" t="s">
        <v>9389</v>
      </c>
      <c r="L1690" t="s">
        <v>25</v>
      </c>
      <c r="M1690" t="s">
        <v>9455</v>
      </c>
      <c r="N1690" t="s">
        <v>9456</v>
      </c>
      <c r="O1690" t="s">
        <v>9457</v>
      </c>
      <c r="P1690" t="s">
        <v>9458</v>
      </c>
      <c r="Q1690" t="s">
        <v>30</v>
      </c>
      <c r="R1690" t="s">
        <v>31</v>
      </c>
      <c r="S1690" t="s">
        <v>32</v>
      </c>
    </row>
    <row r="1691" spans="1:19" x14ac:dyDescent="0.45">
      <c r="A1691" t="str">
        <f t="shared" si="113"/>
        <v>29801</v>
      </c>
      <c r="B1691" t="s">
        <v>2370</v>
      </c>
      <c r="C1691" t="str">
        <f t="shared" si="112"/>
        <v>31015</v>
      </c>
      <c r="D1691" t="s">
        <v>2529</v>
      </c>
      <c r="E1691" t="str">
        <f>"3353"</f>
        <v>3353</v>
      </c>
      <c r="F1691" t="s">
        <v>9459</v>
      </c>
      <c r="G1691">
        <v>7</v>
      </c>
      <c r="H1691">
        <v>8</v>
      </c>
      <c r="I1691" t="s">
        <v>9460</v>
      </c>
      <c r="K1691" t="s">
        <v>9382</v>
      </c>
      <c r="L1691" t="s">
        <v>25</v>
      </c>
      <c r="M1691" t="s">
        <v>9461</v>
      </c>
      <c r="N1691" t="s">
        <v>9462</v>
      </c>
      <c r="O1691" t="s">
        <v>9463</v>
      </c>
      <c r="P1691" t="s">
        <v>9464</v>
      </c>
      <c r="Q1691" t="s">
        <v>30</v>
      </c>
      <c r="R1691" t="s">
        <v>31</v>
      </c>
      <c r="S1691" t="s">
        <v>104</v>
      </c>
    </row>
    <row r="1692" spans="1:19" x14ac:dyDescent="0.45">
      <c r="A1692" t="str">
        <f t="shared" si="113"/>
        <v>29801</v>
      </c>
      <c r="B1692" t="s">
        <v>2370</v>
      </c>
      <c r="C1692" t="str">
        <f t="shared" si="112"/>
        <v>31015</v>
      </c>
      <c r="D1692" t="s">
        <v>2529</v>
      </c>
      <c r="E1692" t="str">
        <f>"3409"</f>
        <v>3409</v>
      </c>
      <c r="F1692" t="s">
        <v>9465</v>
      </c>
      <c r="G1692" t="s">
        <v>70</v>
      </c>
      <c r="H1692">
        <v>6</v>
      </c>
      <c r="I1692" t="s">
        <v>9466</v>
      </c>
      <c r="K1692" t="s">
        <v>9382</v>
      </c>
      <c r="L1692" t="s">
        <v>25</v>
      </c>
      <c r="M1692" t="s">
        <v>9467</v>
      </c>
      <c r="N1692" t="s">
        <v>9468</v>
      </c>
      <c r="O1692" t="s">
        <v>9469</v>
      </c>
      <c r="P1692" t="s">
        <v>9470</v>
      </c>
      <c r="Q1692" t="s">
        <v>30</v>
      </c>
      <c r="R1692" t="s">
        <v>31</v>
      </c>
      <c r="S1692" t="s">
        <v>32</v>
      </c>
    </row>
    <row r="1693" spans="1:19" x14ac:dyDescent="0.45">
      <c r="A1693" t="str">
        <f t="shared" si="113"/>
        <v>29801</v>
      </c>
      <c r="B1693" t="s">
        <v>2370</v>
      </c>
      <c r="C1693" t="str">
        <f t="shared" si="112"/>
        <v>31015</v>
      </c>
      <c r="D1693" t="s">
        <v>2529</v>
      </c>
      <c r="E1693" t="str">
        <f>"3410"</f>
        <v>3410</v>
      </c>
      <c r="F1693" t="s">
        <v>9471</v>
      </c>
      <c r="G1693" t="s">
        <v>70</v>
      </c>
      <c r="H1693">
        <v>6</v>
      </c>
      <c r="I1693" t="s">
        <v>9472</v>
      </c>
      <c r="K1693" t="s">
        <v>9382</v>
      </c>
      <c r="L1693" t="s">
        <v>25</v>
      </c>
      <c r="M1693" t="s">
        <v>9473</v>
      </c>
      <c r="N1693" t="s">
        <v>9474</v>
      </c>
      <c r="O1693" t="s">
        <v>9475</v>
      </c>
      <c r="P1693" t="s">
        <v>9476</v>
      </c>
      <c r="Q1693" t="s">
        <v>30</v>
      </c>
      <c r="R1693" t="s">
        <v>31</v>
      </c>
      <c r="S1693" t="s">
        <v>32</v>
      </c>
    </row>
    <row r="1694" spans="1:19" x14ac:dyDescent="0.45">
      <c r="A1694" t="str">
        <f t="shared" si="113"/>
        <v>29801</v>
      </c>
      <c r="B1694" t="s">
        <v>2370</v>
      </c>
      <c r="C1694" t="str">
        <f t="shared" si="112"/>
        <v>31015</v>
      </c>
      <c r="D1694" t="s">
        <v>2529</v>
      </c>
      <c r="E1694" t="str">
        <f>"3461"</f>
        <v>3461</v>
      </c>
      <c r="F1694" t="s">
        <v>9477</v>
      </c>
      <c r="G1694" t="s">
        <v>70</v>
      </c>
      <c r="H1694">
        <v>6</v>
      </c>
      <c r="I1694" t="s">
        <v>9478</v>
      </c>
      <c r="K1694" t="s">
        <v>9399</v>
      </c>
      <c r="L1694" t="s">
        <v>25</v>
      </c>
      <c r="M1694" t="s">
        <v>9479</v>
      </c>
      <c r="N1694" t="s">
        <v>9480</v>
      </c>
      <c r="O1694" t="s">
        <v>9481</v>
      </c>
      <c r="P1694" t="s">
        <v>9482</v>
      </c>
      <c r="Q1694" t="s">
        <v>30</v>
      </c>
      <c r="R1694" t="s">
        <v>31</v>
      </c>
      <c r="S1694" t="s">
        <v>32</v>
      </c>
    </row>
    <row r="1695" spans="1:19" x14ac:dyDescent="0.45">
      <c r="A1695" t="str">
        <f t="shared" si="113"/>
        <v>29801</v>
      </c>
      <c r="B1695" t="s">
        <v>2370</v>
      </c>
      <c r="C1695" t="str">
        <f t="shared" si="112"/>
        <v>31015</v>
      </c>
      <c r="D1695" t="s">
        <v>2529</v>
      </c>
      <c r="E1695" t="str">
        <f>"3463"</f>
        <v>3463</v>
      </c>
      <c r="F1695" t="s">
        <v>9483</v>
      </c>
      <c r="G1695" t="s">
        <v>22</v>
      </c>
      <c r="H1695">
        <v>8</v>
      </c>
      <c r="I1695" t="s">
        <v>9484</v>
      </c>
      <c r="K1695" t="s">
        <v>9308</v>
      </c>
      <c r="L1695" t="s">
        <v>25</v>
      </c>
      <c r="M1695">
        <v>98026</v>
      </c>
      <c r="N1695" t="s">
        <v>9485</v>
      </c>
      <c r="O1695" t="s">
        <v>9486</v>
      </c>
      <c r="P1695" t="s">
        <v>9487</v>
      </c>
      <c r="Q1695" t="s">
        <v>157</v>
      </c>
      <c r="R1695" t="s">
        <v>158</v>
      </c>
      <c r="S1695" t="s">
        <v>159</v>
      </c>
    </row>
    <row r="1696" spans="1:19" x14ac:dyDescent="0.45">
      <c r="A1696" t="str">
        <f t="shared" si="113"/>
        <v>29801</v>
      </c>
      <c r="B1696" t="s">
        <v>2370</v>
      </c>
      <c r="C1696" t="str">
        <f t="shared" si="112"/>
        <v>31015</v>
      </c>
      <c r="D1696" t="s">
        <v>2529</v>
      </c>
      <c r="E1696" t="str">
        <f>"3464"</f>
        <v>3464</v>
      </c>
      <c r="F1696" t="s">
        <v>9488</v>
      </c>
      <c r="G1696">
        <v>9</v>
      </c>
      <c r="H1696">
        <v>12</v>
      </c>
      <c r="I1696" t="s">
        <v>9489</v>
      </c>
      <c r="K1696" t="s">
        <v>9382</v>
      </c>
      <c r="L1696" t="s">
        <v>25</v>
      </c>
      <c r="M1696" t="s">
        <v>9490</v>
      </c>
      <c r="N1696" t="s">
        <v>6513</v>
      </c>
      <c r="O1696" t="s">
        <v>9491</v>
      </c>
      <c r="P1696" t="s">
        <v>9492</v>
      </c>
      <c r="Q1696" t="s">
        <v>30</v>
      </c>
      <c r="R1696" t="s">
        <v>31</v>
      </c>
      <c r="S1696" t="s">
        <v>58</v>
      </c>
    </row>
    <row r="1697" spans="1:19" x14ac:dyDescent="0.45">
      <c r="A1697" t="str">
        <f t="shared" si="113"/>
        <v>29801</v>
      </c>
      <c r="B1697" t="s">
        <v>2370</v>
      </c>
      <c r="C1697" t="str">
        <f t="shared" si="112"/>
        <v>31015</v>
      </c>
      <c r="D1697" t="s">
        <v>2529</v>
      </c>
      <c r="E1697" t="str">
        <f>"3503"</f>
        <v>3503</v>
      </c>
      <c r="F1697" t="s">
        <v>9493</v>
      </c>
      <c r="G1697" t="s">
        <v>70</v>
      </c>
      <c r="H1697">
        <v>6</v>
      </c>
      <c r="I1697" t="s">
        <v>9494</v>
      </c>
      <c r="K1697" t="s">
        <v>9382</v>
      </c>
      <c r="L1697" t="s">
        <v>25</v>
      </c>
      <c r="M1697">
        <v>98037</v>
      </c>
      <c r="N1697" t="s">
        <v>9456</v>
      </c>
      <c r="O1697" t="s">
        <v>9457</v>
      </c>
      <c r="P1697" t="s">
        <v>9495</v>
      </c>
      <c r="Q1697" t="s">
        <v>30</v>
      </c>
      <c r="R1697" t="s">
        <v>31</v>
      </c>
      <c r="S1697" t="s">
        <v>32</v>
      </c>
    </row>
    <row r="1698" spans="1:19" x14ac:dyDescent="0.45">
      <c r="A1698" t="str">
        <f t="shared" si="113"/>
        <v>29801</v>
      </c>
      <c r="B1698" t="s">
        <v>2370</v>
      </c>
      <c r="C1698" t="str">
        <f t="shared" si="112"/>
        <v>31015</v>
      </c>
      <c r="D1698" t="s">
        <v>2529</v>
      </c>
      <c r="E1698" t="str">
        <f>"3504"</f>
        <v>3504</v>
      </c>
      <c r="F1698" t="s">
        <v>9496</v>
      </c>
      <c r="G1698" t="s">
        <v>70</v>
      </c>
      <c r="H1698">
        <v>6</v>
      </c>
      <c r="I1698" t="s">
        <v>9497</v>
      </c>
      <c r="K1698" t="s">
        <v>9382</v>
      </c>
      <c r="L1698" t="s">
        <v>25</v>
      </c>
      <c r="M1698" t="s">
        <v>9498</v>
      </c>
      <c r="N1698" t="s">
        <v>9499</v>
      </c>
      <c r="O1698" t="s">
        <v>9500</v>
      </c>
      <c r="P1698" t="s">
        <v>9501</v>
      </c>
      <c r="Q1698" t="s">
        <v>30</v>
      </c>
      <c r="R1698" t="s">
        <v>31</v>
      </c>
      <c r="S1698" t="s">
        <v>32</v>
      </c>
    </row>
    <row r="1699" spans="1:19" x14ac:dyDescent="0.45">
      <c r="A1699" t="str">
        <f t="shared" si="113"/>
        <v>29801</v>
      </c>
      <c r="B1699" t="s">
        <v>2370</v>
      </c>
      <c r="C1699" t="str">
        <f t="shared" si="112"/>
        <v>31015</v>
      </c>
      <c r="D1699" t="s">
        <v>2529</v>
      </c>
      <c r="E1699" t="str">
        <f>"3534"</f>
        <v>3534</v>
      </c>
      <c r="F1699" t="s">
        <v>9502</v>
      </c>
      <c r="G1699" t="s">
        <v>70</v>
      </c>
      <c r="H1699">
        <v>6</v>
      </c>
      <c r="I1699" t="s">
        <v>9503</v>
      </c>
      <c r="K1699" t="s">
        <v>9399</v>
      </c>
      <c r="L1699" t="s">
        <v>25</v>
      </c>
      <c r="M1699" t="s">
        <v>9504</v>
      </c>
      <c r="N1699" t="s">
        <v>9505</v>
      </c>
      <c r="O1699" t="s">
        <v>9506</v>
      </c>
      <c r="P1699" t="s">
        <v>9507</v>
      </c>
      <c r="Q1699" t="s">
        <v>30</v>
      </c>
      <c r="R1699" t="s">
        <v>31</v>
      </c>
      <c r="S1699" t="s">
        <v>32</v>
      </c>
    </row>
    <row r="1700" spans="1:19" x14ac:dyDescent="0.45">
      <c r="A1700" t="str">
        <f t="shared" si="113"/>
        <v>29801</v>
      </c>
      <c r="B1700" t="s">
        <v>2370</v>
      </c>
      <c r="C1700" t="str">
        <f t="shared" si="112"/>
        <v>31015</v>
      </c>
      <c r="D1700" t="s">
        <v>2529</v>
      </c>
      <c r="E1700" t="str">
        <f>"3536"</f>
        <v>3536</v>
      </c>
      <c r="F1700" t="s">
        <v>9508</v>
      </c>
      <c r="G1700" t="s">
        <v>70</v>
      </c>
      <c r="H1700">
        <v>6</v>
      </c>
      <c r="I1700" t="s">
        <v>9509</v>
      </c>
      <c r="K1700" t="s">
        <v>9510</v>
      </c>
      <c r="L1700" t="s">
        <v>25</v>
      </c>
      <c r="M1700" t="s">
        <v>9511</v>
      </c>
      <c r="N1700" t="s">
        <v>9512</v>
      </c>
      <c r="O1700" t="s">
        <v>9513</v>
      </c>
      <c r="P1700" t="s">
        <v>9514</v>
      </c>
      <c r="Q1700" t="s">
        <v>30</v>
      </c>
      <c r="R1700" t="s">
        <v>31</v>
      </c>
      <c r="S1700" t="s">
        <v>32</v>
      </c>
    </row>
    <row r="1701" spans="1:19" x14ac:dyDescent="0.45">
      <c r="A1701" t="str">
        <f t="shared" si="113"/>
        <v>29801</v>
      </c>
      <c r="B1701" t="s">
        <v>2370</v>
      </c>
      <c r="C1701" t="str">
        <f t="shared" si="112"/>
        <v>31015</v>
      </c>
      <c r="D1701" t="s">
        <v>2529</v>
      </c>
      <c r="E1701" t="str">
        <f>"3560"</f>
        <v>3560</v>
      </c>
      <c r="F1701" t="s">
        <v>9515</v>
      </c>
      <c r="G1701">
        <v>7</v>
      </c>
      <c r="H1701">
        <v>8</v>
      </c>
      <c r="I1701" t="s">
        <v>9516</v>
      </c>
      <c r="K1701" t="s">
        <v>9382</v>
      </c>
      <c r="L1701" t="s">
        <v>25</v>
      </c>
      <c r="M1701">
        <v>98037</v>
      </c>
      <c r="N1701" t="s">
        <v>9517</v>
      </c>
      <c r="O1701" t="s">
        <v>9518</v>
      </c>
      <c r="P1701" t="s">
        <v>9519</v>
      </c>
      <c r="Q1701" t="s">
        <v>30</v>
      </c>
      <c r="R1701" t="s">
        <v>31</v>
      </c>
      <c r="S1701" t="s">
        <v>104</v>
      </c>
    </row>
    <row r="1702" spans="1:19" x14ac:dyDescent="0.45">
      <c r="A1702" t="str">
        <f t="shared" si="113"/>
        <v>29801</v>
      </c>
      <c r="B1702" t="s">
        <v>2370</v>
      </c>
      <c r="C1702" t="str">
        <f t="shared" si="112"/>
        <v>31015</v>
      </c>
      <c r="D1702" t="s">
        <v>2529</v>
      </c>
      <c r="E1702" t="str">
        <f>"3605"</f>
        <v>3605</v>
      </c>
      <c r="F1702" t="s">
        <v>9520</v>
      </c>
      <c r="G1702" t="s">
        <v>70</v>
      </c>
      <c r="H1702">
        <v>6</v>
      </c>
      <c r="I1702" t="s">
        <v>9521</v>
      </c>
      <c r="K1702" t="s">
        <v>9399</v>
      </c>
      <c r="L1702" t="s">
        <v>25</v>
      </c>
      <c r="M1702" t="s">
        <v>9522</v>
      </c>
      <c r="N1702" t="s">
        <v>9523</v>
      </c>
      <c r="O1702" t="s">
        <v>9524</v>
      </c>
      <c r="P1702" t="s">
        <v>9525</v>
      </c>
      <c r="Q1702" t="s">
        <v>30</v>
      </c>
      <c r="R1702" t="s">
        <v>31</v>
      </c>
      <c r="S1702" t="s">
        <v>32</v>
      </c>
    </row>
    <row r="1703" spans="1:19" x14ac:dyDescent="0.45">
      <c r="A1703" t="str">
        <f t="shared" si="113"/>
        <v>29801</v>
      </c>
      <c r="B1703" t="s">
        <v>2370</v>
      </c>
      <c r="C1703" t="str">
        <f t="shared" si="112"/>
        <v>31015</v>
      </c>
      <c r="D1703" t="s">
        <v>2529</v>
      </c>
      <c r="E1703" t="str">
        <f>"3606"</f>
        <v>3606</v>
      </c>
      <c r="F1703" t="s">
        <v>9526</v>
      </c>
      <c r="G1703" t="s">
        <v>70</v>
      </c>
      <c r="H1703">
        <v>6</v>
      </c>
      <c r="I1703" t="s">
        <v>9527</v>
      </c>
      <c r="K1703" t="s">
        <v>9399</v>
      </c>
      <c r="L1703" t="s">
        <v>25</v>
      </c>
      <c r="M1703" t="s">
        <v>9528</v>
      </c>
      <c r="N1703" t="s">
        <v>9529</v>
      </c>
      <c r="O1703" t="s">
        <v>9530</v>
      </c>
      <c r="P1703" t="s">
        <v>9531</v>
      </c>
      <c r="Q1703" t="s">
        <v>30</v>
      </c>
      <c r="R1703" t="s">
        <v>31</v>
      </c>
      <c r="S1703" t="s">
        <v>32</v>
      </c>
    </row>
    <row r="1704" spans="1:19" x14ac:dyDescent="0.45">
      <c r="A1704" t="str">
        <f t="shared" si="113"/>
        <v>29801</v>
      </c>
      <c r="B1704" t="s">
        <v>2370</v>
      </c>
      <c r="C1704" t="str">
        <f t="shared" si="112"/>
        <v>31015</v>
      </c>
      <c r="D1704" t="s">
        <v>2529</v>
      </c>
      <c r="E1704" t="str">
        <f>"3607"</f>
        <v>3607</v>
      </c>
      <c r="F1704" t="s">
        <v>9532</v>
      </c>
      <c r="G1704" t="s">
        <v>70</v>
      </c>
      <c r="H1704">
        <v>6</v>
      </c>
      <c r="I1704" t="s">
        <v>9533</v>
      </c>
      <c r="K1704" t="s">
        <v>9382</v>
      </c>
      <c r="L1704" t="s">
        <v>25</v>
      </c>
      <c r="M1704" t="s">
        <v>9534</v>
      </c>
      <c r="N1704" t="s">
        <v>9535</v>
      </c>
      <c r="O1704" t="s">
        <v>9536</v>
      </c>
      <c r="P1704" t="s">
        <v>9537</v>
      </c>
      <c r="Q1704" t="s">
        <v>30</v>
      </c>
      <c r="R1704" t="s">
        <v>31</v>
      </c>
      <c r="S1704" t="s">
        <v>32</v>
      </c>
    </row>
    <row r="1705" spans="1:19" x14ac:dyDescent="0.45">
      <c r="A1705" t="str">
        <f t="shared" si="113"/>
        <v>29801</v>
      </c>
      <c r="B1705" t="s">
        <v>2370</v>
      </c>
      <c r="C1705" t="str">
        <f t="shared" si="112"/>
        <v>31015</v>
      </c>
      <c r="D1705" t="s">
        <v>2529</v>
      </c>
      <c r="E1705" t="str">
        <f>"3608"</f>
        <v>3608</v>
      </c>
      <c r="F1705" t="s">
        <v>9538</v>
      </c>
      <c r="G1705" t="s">
        <v>70</v>
      </c>
      <c r="H1705">
        <v>6</v>
      </c>
      <c r="I1705" t="s">
        <v>9539</v>
      </c>
      <c r="K1705" t="s">
        <v>9382</v>
      </c>
      <c r="L1705" t="s">
        <v>25</v>
      </c>
      <c r="M1705" t="s">
        <v>9540</v>
      </c>
      <c r="N1705" t="s">
        <v>9541</v>
      </c>
      <c r="O1705" t="s">
        <v>9542</v>
      </c>
      <c r="P1705" t="s">
        <v>9543</v>
      </c>
      <c r="Q1705" t="s">
        <v>30</v>
      </c>
      <c r="R1705" t="s">
        <v>31</v>
      </c>
      <c r="S1705" t="s">
        <v>32</v>
      </c>
    </row>
    <row r="1706" spans="1:19" x14ac:dyDescent="0.45">
      <c r="A1706" t="str">
        <f t="shared" si="113"/>
        <v>29801</v>
      </c>
      <c r="B1706" t="s">
        <v>2370</v>
      </c>
      <c r="C1706" t="str">
        <f t="shared" si="112"/>
        <v>31015</v>
      </c>
      <c r="D1706" t="s">
        <v>2529</v>
      </c>
      <c r="E1706" t="str">
        <f>"3650"</f>
        <v>3650</v>
      </c>
      <c r="F1706" t="s">
        <v>9544</v>
      </c>
      <c r="G1706">
        <v>7</v>
      </c>
      <c r="H1706">
        <v>8</v>
      </c>
      <c r="I1706" t="s">
        <v>9545</v>
      </c>
      <c r="K1706" t="s">
        <v>9510</v>
      </c>
      <c r="L1706" t="s">
        <v>25</v>
      </c>
      <c r="M1706" t="s">
        <v>9546</v>
      </c>
      <c r="N1706" t="s">
        <v>9547</v>
      </c>
      <c r="O1706" t="s">
        <v>9548</v>
      </c>
      <c r="P1706" t="s">
        <v>9549</v>
      </c>
      <c r="Q1706" t="s">
        <v>30</v>
      </c>
      <c r="R1706" t="s">
        <v>31</v>
      </c>
      <c r="S1706" t="s">
        <v>104</v>
      </c>
    </row>
    <row r="1707" spans="1:19" x14ac:dyDescent="0.45">
      <c r="A1707" t="str">
        <f t="shared" si="113"/>
        <v>29801</v>
      </c>
      <c r="B1707" t="s">
        <v>2370</v>
      </c>
      <c r="C1707" t="str">
        <f t="shared" si="112"/>
        <v>31015</v>
      </c>
      <c r="D1707" t="s">
        <v>2529</v>
      </c>
      <c r="E1707" t="str">
        <f>"3689"</f>
        <v>3689</v>
      </c>
      <c r="F1707" t="s">
        <v>280</v>
      </c>
      <c r="G1707" t="s">
        <v>70</v>
      </c>
      <c r="H1707">
        <v>6</v>
      </c>
      <c r="I1707" t="s">
        <v>9550</v>
      </c>
      <c r="K1707" t="s">
        <v>9382</v>
      </c>
      <c r="L1707" t="s">
        <v>25</v>
      </c>
      <c r="M1707" t="s">
        <v>9551</v>
      </c>
      <c r="N1707" t="s">
        <v>9552</v>
      </c>
      <c r="O1707" t="s">
        <v>9553</v>
      </c>
      <c r="P1707" t="s">
        <v>9554</v>
      </c>
      <c r="Q1707" t="s">
        <v>30</v>
      </c>
      <c r="R1707" t="s">
        <v>31</v>
      </c>
      <c r="S1707" t="s">
        <v>32</v>
      </c>
    </row>
    <row r="1708" spans="1:19" x14ac:dyDescent="0.45">
      <c r="A1708" t="str">
        <f t="shared" si="113"/>
        <v>29801</v>
      </c>
      <c r="B1708" t="s">
        <v>2370</v>
      </c>
      <c r="C1708" t="str">
        <f t="shared" si="112"/>
        <v>31015</v>
      </c>
      <c r="D1708" t="s">
        <v>2529</v>
      </c>
      <c r="E1708" t="str">
        <f>"3691"</f>
        <v>3691</v>
      </c>
      <c r="F1708" t="s">
        <v>9555</v>
      </c>
      <c r="G1708" t="s">
        <v>70</v>
      </c>
      <c r="H1708">
        <v>6</v>
      </c>
      <c r="I1708" t="s">
        <v>9556</v>
      </c>
      <c r="K1708" t="s">
        <v>9382</v>
      </c>
      <c r="L1708" t="s">
        <v>25</v>
      </c>
      <c r="M1708" t="s">
        <v>9557</v>
      </c>
      <c r="N1708" t="s">
        <v>9558</v>
      </c>
      <c r="O1708" t="s">
        <v>9559</v>
      </c>
      <c r="P1708" t="s">
        <v>9507</v>
      </c>
      <c r="Q1708" t="s">
        <v>30</v>
      </c>
      <c r="R1708" t="s">
        <v>31</v>
      </c>
      <c r="S1708" t="s">
        <v>32</v>
      </c>
    </row>
    <row r="1709" spans="1:19" x14ac:dyDescent="0.45">
      <c r="A1709" t="str">
        <f t="shared" si="113"/>
        <v>29801</v>
      </c>
      <c r="B1709" t="s">
        <v>2370</v>
      </c>
      <c r="C1709" t="str">
        <f t="shared" si="112"/>
        <v>31015</v>
      </c>
      <c r="D1709" t="s">
        <v>2529</v>
      </c>
      <c r="E1709" t="str">
        <f>"3754"</f>
        <v>3754</v>
      </c>
      <c r="F1709" t="s">
        <v>9560</v>
      </c>
      <c r="G1709">
        <v>7</v>
      </c>
      <c r="H1709">
        <v>8</v>
      </c>
      <c r="I1709" t="s">
        <v>9561</v>
      </c>
      <c r="K1709" t="s">
        <v>9382</v>
      </c>
      <c r="L1709" t="s">
        <v>25</v>
      </c>
      <c r="M1709" t="s">
        <v>9562</v>
      </c>
      <c r="N1709" t="s">
        <v>9547</v>
      </c>
      <c r="O1709" t="s">
        <v>9563</v>
      </c>
      <c r="P1709" t="s">
        <v>9564</v>
      </c>
      <c r="Q1709" t="s">
        <v>30</v>
      </c>
      <c r="R1709" t="s">
        <v>31</v>
      </c>
      <c r="S1709" t="s">
        <v>104</v>
      </c>
    </row>
    <row r="1710" spans="1:19" x14ac:dyDescent="0.45">
      <c r="A1710" t="str">
        <f t="shared" si="113"/>
        <v>29801</v>
      </c>
      <c r="B1710" t="s">
        <v>2370</v>
      </c>
      <c r="C1710" t="str">
        <f t="shared" si="112"/>
        <v>31015</v>
      </c>
      <c r="D1710" t="s">
        <v>2529</v>
      </c>
      <c r="E1710" t="str">
        <f>"3755"</f>
        <v>3755</v>
      </c>
      <c r="F1710" t="s">
        <v>9565</v>
      </c>
      <c r="G1710">
        <v>9</v>
      </c>
      <c r="H1710">
        <v>12</v>
      </c>
      <c r="I1710" t="s">
        <v>9566</v>
      </c>
      <c r="K1710" t="s">
        <v>9567</v>
      </c>
      <c r="L1710" t="s">
        <v>25</v>
      </c>
      <c r="M1710">
        <v>98012</v>
      </c>
      <c r="N1710" t="s">
        <v>9568</v>
      </c>
      <c r="O1710" t="s">
        <v>9569</v>
      </c>
      <c r="P1710" t="s">
        <v>9570</v>
      </c>
      <c r="Q1710" t="s">
        <v>30</v>
      </c>
      <c r="R1710" t="s">
        <v>31</v>
      </c>
      <c r="S1710" t="s">
        <v>58</v>
      </c>
    </row>
    <row r="1711" spans="1:19" x14ac:dyDescent="0.45">
      <c r="A1711" t="str">
        <f t="shared" si="113"/>
        <v>29801</v>
      </c>
      <c r="B1711" t="s">
        <v>2370</v>
      </c>
      <c r="C1711" t="str">
        <f t="shared" si="112"/>
        <v>31015</v>
      </c>
      <c r="D1711" t="s">
        <v>2529</v>
      </c>
      <c r="E1711" t="str">
        <f>"3854"</f>
        <v>3854</v>
      </c>
      <c r="F1711" t="s">
        <v>9571</v>
      </c>
      <c r="G1711">
        <v>9</v>
      </c>
      <c r="H1711">
        <v>12</v>
      </c>
      <c r="I1711" t="s">
        <v>9572</v>
      </c>
      <c r="K1711" t="s">
        <v>9308</v>
      </c>
      <c r="L1711" t="s">
        <v>25</v>
      </c>
      <c r="M1711">
        <v>98020</v>
      </c>
      <c r="N1711" t="s">
        <v>9573</v>
      </c>
      <c r="O1711" t="s">
        <v>9574</v>
      </c>
      <c r="P1711" t="s">
        <v>9575</v>
      </c>
      <c r="Q1711" t="s">
        <v>157</v>
      </c>
      <c r="R1711" t="s">
        <v>158</v>
      </c>
      <c r="S1711" t="s">
        <v>58</v>
      </c>
    </row>
    <row r="1712" spans="1:19" x14ac:dyDescent="0.45">
      <c r="A1712" t="str">
        <f t="shared" si="113"/>
        <v>29801</v>
      </c>
      <c r="B1712" t="s">
        <v>2370</v>
      </c>
      <c r="C1712" t="str">
        <f t="shared" ref="C1712:C1720" si="114">"31016"</f>
        <v>31016</v>
      </c>
      <c r="D1712" t="s">
        <v>3154</v>
      </c>
      <c r="E1712" t="str">
        <f>"1714"</f>
        <v>1714</v>
      </c>
      <c r="F1712" t="s">
        <v>9576</v>
      </c>
      <c r="G1712" t="s">
        <v>70</v>
      </c>
      <c r="H1712">
        <v>8</v>
      </c>
      <c r="I1712" t="s">
        <v>9577</v>
      </c>
      <c r="K1712" t="s">
        <v>3157</v>
      </c>
      <c r="L1712" t="s">
        <v>25</v>
      </c>
      <c r="M1712" t="s">
        <v>9578</v>
      </c>
      <c r="N1712" t="s">
        <v>9579</v>
      </c>
      <c r="O1712" t="s">
        <v>3159</v>
      </c>
      <c r="P1712" t="s">
        <v>9580</v>
      </c>
      <c r="Q1712" t="s">
        <v>157</v>
      </c>
      <c r="R1712" t="s">
        <v>158</v>
      </c>
      <c r="S1712" t="s">
        <v>330</v>
      </c>
    </row>
    <row r="1713" spans="1:19" x14ac:dyDescent="0.45">
      <c r="A1713" t="str">
        <f t="shared" si="113"/>
        <v>29801</v>
      </c>
      <c r="B1713" t="s">
        <v>2370</v>
      </c>
      <c r="C1713" t="str">
        <f t="shared" si="114"/>
        <v>31016</v>
      </c>
      <c r="D1713" t="s">
        <v>3154</v>
      </c>
      <c r="E1713" t="str">
        <f>"2277"</f>
        <v>2277</v>
      </c>
      <c r="F1713" t="s">
        <v>9581</v>
      </c>
      <c r="G1713" t="s">
        <v>22</v>
      </c>
      <c r="H1713">
        <v>12</v>
      </c>
      <c r="I1713" t="s">
        <v>9582</v>
      </c>
      <c r="K1713" t="s">
        <v>3157</v>
      </c>
      <c r="L1713" t="s">
        <v>25</v>
      </c>
      <c r="M1713">
        <v>98223</v>
      </c>
      <c r="N1713" t="s">
        <v>9583</v>
      </c>
      <c r="O1713" t="s">
        <v>9584</v>
      </c>
      <c r="P1713" t="s">
        <v>9585</v>
      </c>
      <c r="Q1713" t="s">
        <v>1410</v>
      </c>
      <c r="R1713" t="s">
        <v>31</v>
      </c>
      <c r="S1713" t="s">
        <v>68</v>
      </c>
    </row>
    <row r="1714" spans="1:19" x14ac:dyDescent="0.45">
      <c r="A1714" t="str">
        <f t="shared" si="113"/>
        <v>29801</v>
      </c>
      <c r="B1714" t="s">
        <v>2370</v>
      </c>
      <c r="C1714" t="str">
        <f t="shared" si="114"/>
        <v>31016</v>
      </c>
      <c r="D1714" t="s">
        <v>3154</v>
      </c>
      <c r="E1714" t="str">
        <f>"2523"</f>
        <v>2523</v>
      </c>
      <c r="F1714" t="s">
        <v>9586</v>
      </c>
      <c r="G1714">
        <v>9</v>
      </c>
      <c r="H1714">
        <v>12</v>
      </c>
      <c r="I1714" t="s">
        <v>9587</v>
      </c>
      <c r="K1714" t="s">
        <v>3157</v>
      </c>
      <c r="L1714" t="s">
        <v>25</v>
      </c>
      <c r="M1714" t="s">
        <v>9588</v>
      </c>
      <c r="N1714" t="s">
        <v>6520</v>
      </c>
      <c r="O1714" t="s">
        <v>9589</v>
      </c>
      <c r="P1714" t="s">
        <v>9590</v>
      </c>
      <c r="Q1714" t="s">
        <v>30</v>
      </c>
      <c r="R1714" t="s">
        <v>31</v>
      </c>
      <c r="S1714" t="s">
        <v>58</v>
      </c>
    </row>
    <row r="1715" spans="1:19" x14ac:dyDescent="0.45">
      <c r="A1715" t="str">
        <f t="shared" si="113"/>
        <v>29801</v>
      </c>
      <c r="B1715" t="s">
        <v>2370</v>
      </c>
      <c r="C1715" t="str">
        <f t="shared" si="114"/>
        <v>31016</v>
      </c>
      <c r="D1715" t="s">
        <v>3154</v>
      </c>
      <c r="E1715" t="str">
        <f>"3124"</f>
        <v>3124</v>
      </c>
      <c r="F1715" t="s">
        <v>9591</v>
      </c>
      <c r="G1715">
        <v>6</v>
      </c>
      <c r="H1715">
        <v>8</v>
      </c>
      <c r="I1715" t="s">
        <v>9592</v>
      </c>
      <c r="K1715" t="s">
        <v>3157</v>
      </c>
      <c r="L1715" t="s">
        <v>25</v>
      </c>
      <c r="M1715" t="s">
        <v>9593</v>
      </c>
      <c r="N1715" t="s">
        <v>9594</v>
      </c>
      <c r="O1715" t="s">
        <v>9595</v>
      </c>
      <c r="P1715" t="s">
        <v>9596</v>
      </c>
      <c r="Q1715" t="s">
        <v>30</v>
      </c>
      <c r="R1715" t="s">
        <v>31</v>
      </c>
      <c r="S1715" t="s">
        <v>104</v>
      </c>
    </row>
    <row r="1716" spans="1:19" x14ac:dyDescent="0.45">
      <c r="A1716" t="str">
        <f t="shared" si="113"/>
        <v>29801</v>
      </c>
      <c r="B1716" t="s">
        <v>2370</v>
      </c>
      <c r="C1716" t="str">
        <f t="shared" si="114"/>
        <v>31016</v>
      </c>
      <c r="D1716" t="s">
        <v>3154</v>
      </c>
      <c r="E1716" t="str">
        <f>"4154"</f>
        <v>4154</v>
      </c>
      <c r="F1716" t="s">
        <v>9597</v>
      </c>
      <c r="G1716" t="s">
        <v>22</v>
      </c>
      <c r="H1716">
        <v>5</v>
      </c>
      <c r="I1716" t="s">
        <v>9598</v>
      </c>
      <c r="K1716" t="s">
        <v>3157</v>
      </c>
      <c r="L1716" t="s">
        <v>25</v>
      </c>
      <c r="M1716" t="s">
        <v>9599</v>
      </c>
      <c r="N1716" t="s">
        <v>9600</v>
      </c>
      <c r="O1716" t="s">
        <v>9601</v>
      </c>
      <c r="P1716" t="s">
        <v>9602</v>
      </c>
      <c r="Q1716" t="s">
        <v>30</v>
      </c>
      <c r="R1716" t="s">
        <v>31</v>
      </c>
      <c r="S1716" t="s">
        <v>32</v>
      </c>
    </row>
    <row r="1717" spans="1:19" x14ac:dyDescent="0.45">
      <c r="A1717" t="str">
        <f t="shared" si="113"/>
        <v>29801</v>
      </c>
      <c r="B1717" t="s">
        <v>2370</v>
      </c>
      <c r="C1717" t="str">
        <f t="shared" si="114"/>
        <v>31016</v>
      </c>
      <c r="D1717" t="s">
        <v>3154</v>
      </c>
      <c r="E1717" t="str">
        <f>"4287"</f>
        <v>4287</v>
      </c>
      <c r="F1717" t="s">
        <v>9603</v>
      </c>
      <c r="G1717">
        <v>9</v>
      </c>
      <c r="H1717">
        <v>12</v>
      </c>
      <c r="I1717" t="s">
        <v>9604</v>
      </c>
      <c r="K1717" t="s">
        <v>3157</v>
      </c>
      <c r="L1717" t="s">
        <v>25</v>
      </c>
      <c r="M1717">
        <v>98223</v>
      </c>
      <c r="N1717" t="s">
        <v>3158</v>
      </c>
      <c r="O1717" t="s">
        <v>3159</v>
      </c>
      <c r="P1717" t="s">
        <v>3160</v>
      </c>
      <c r="Q1717" t="s">
        <v>157</v>
      </c>
      <c r="R1717" t="s">
        <v>158</v>
      </c>
      <c r="S1717" t="s">
        <v>58</v>
      </c>
    </row>
    <row r="1718" spans="1:19" x14ac:dyDescent="0.45">
      <c r="A1718" t="str">
        <f t="shared" si="113"/>
        <v>29801</v>
      </c>
      <c r="B1718" t="s">
        <v>2370</v>
      </c>
      <c r="C1718" t="str">
        <f t="shared" si="114"/>
        <v>31016</v>
      </c>
      <c r="D1718" t="s">
        <v>3154</v>
      </c>
      <c r="E1718" t="str">
        <f>"4327"</f>
        <v>4327</v>
      </c>
      <c r="F1718" t="s">
        <v>9605</v>
      </c>
      <c r="G1718" t="s">
        <v>70</v>
      </c>
      <c r="H1718">
        <v>5</v>
      </c>
      <c r="I1718" t="s">
        <v>9606</v>
      </c>
      <c r="K1718" t="s">
        <v>3157</v>
      </c>
      <c r="L1718" t="s">
        <v>25</v>
      </c>
      <c r="M1718" t="s">
        <v>9593</v>
      </c>
      <c r="N1718" t="s">
        <v>9607</v>
      </c>
      <c r="O1718" t="s">
        <v>9608</v>
      </c>
      <c r="P1718" t="s">
        <v>9609</v>
      </c>
      <c r="Q1718" t="s">
        <v>30</v>
      </c>
      <c r="R1718" t="s">
        <v>31</v>
      </c>
      <c r="S1718" t="s">
        <v>32</v>
      </c>
    </row>
    <row r="1719" spans="1:19" x14ac:dyDescent="0.45">
      <c r="A1719" t="str">
        <f t="shared" si="113"/>
        <v>29801</v>
      </c>
      <c r="B1719" t="s">
        <v>2370</v>
      </c>
      <c r="C1719" t="str">
        <f t="shared" si="114"/>
        <v>31016</v>
      </c>
      <c r="D1719" t="s">
        <v>3154</v>
      </c>
      <c r="E1719" t="str">
        <f>"4436"</f>
        <v>4436</v>
      </c>
      <c r="F1719" t="s">
        <v>9610</v>
      </c>
      <c r="G1719" t="s">
        <v>70</v>
      </c>
      <c r="H1719">
        <v>5</v>
      </c>
      <c r="I1719" t="s">
        <v>9611</v>
      </c>
      <c r="K1719" t="s">
        <v>3157</v>
      </c>
      <c r="L1719" t="s">
        <v>25</v>
      </c>
      <c r="M1719" t="s">
        <v>9612</v>
      </c>
      <c r="N1719" t="s">
        <v>9613</v>
      </c>
      <c r="O1719" t="s">
        <v>9614</v>
      </c>
      <c r="P1719" t="s">
        <v>9615</v>
      </c>
      <c r="Q1719" t="s">
        <v>30</v>
      </c>
      <c r="R1719" t="s">
        <v>31</v>
      </c>
      <c r="S1719" t="s">
        <v>32</v>
      </c>
    </row>
    <row r="1720" spans="1:19" x14ac:dyDescent="0.45">
      <c r="A1720" t="str">
        <f t="shared" ref="A1720:A1751" si="115">"29801"</f>
        <v>29801</v>
      </c>
      <c r="B1720" t="s">
        <v>2370</v>
      </c>
      <c r="C1720" t="str">
        <f t="shared" si="114"/>
        <v>31016</v>
      </c>
      <c r="D1720" t="s">
        <v>3154</v>
      </c>
      <c r="E1720" t="str">
        <f>"4573"</f>
        <v>4573</v>
      </c>
      <c r="F1720" t="s">
        <v>4044</v>
      </c>
      <c r="G1720" t="s">
        <v>70</v>
      </c>
      <c r="H1720">
        <v>5</v>
      </c>
      <c r="I1720" t="s">
        <v>9616</v>
      </c>
      <c r="K1720" t="s">
        <v>3157</v>
      </c>
      <c r="L1720" t="s">
        <v>25</v>
      </c>
      <c r="M1720" t="s">
        <v>9617</v>
      </c>
      <c r="N1720" t="s">
        <v>9618</v>
      </c>
      <c r="O1720" t="s">
        <v>9619</v>
      </c>
      <c r="P1720" t="s">
        <v>9620</v>
      </c>
      <c r="Q1720" t="s">
        <v>30</v>
      </c>
      <c r="R1720" t="s">
        <v>31</v>
      </c>
      <c r="S1720" t="s">
        <v>32</v>
      </c>
    </row>
    <row r="1721" spans="1:19" x14ac:dyDescent="0.45">
      <c r="A1721" t="str">
        <f t="shared" si="115"/>
        <v>29801</v>
      </c>
      <c r="B1721" t="s">
        <v>2370</v>
      </c>
      <c r="C1721" t="str">
        <f t="shared" ref="C1721:C1736" si="116">"31025"</f>
        <v>31025</v>
      </c>
      <c r="D1721" t="s">
        <v>2483</v>
      </c>
      <c r="E1721" t="str">
        <f>"1656"</f>
        <v>1656</v>
      </c>
      <c r="F1721" t="s">
        <v>9621</v>
      </c>
      <c r="G1721">
        <v>6</v>
      </c>
      <c r="H1721">
        <v>8</v>
      </c>
      <c r="I1721" t="s">
        <v>9622</v>
      </c>
      <c r="K1721" t="s">
        <v>2744</v>
      </c>
      <c r="L1721" t="s">
        <v>25</v>
      </c>
      <c r="M1721">
        <v>98271</v>
      </c>
      <c r="N1721" t="s">
        <v>9623</v>
      </c>
      <c r="O1721" t="s">
        <v>9624</v>
      </c>
      <c r="P1721" t="s">
        <v>9625</v>
      </c>
      <c r="Q1721" t="s">
        <v>30</v>
      </c>
      <c r="R1721" t="s">
        <v>31</v>
      </c>
      <c r="S1721" t="s">
        <v>104</v>
      </c>
    </row>
    <row r="1722" spans="1:19" x14ac:dyDescent="0.45">
      <c r="A1722" t="str">
        <f t="shared" si="115"/>
        <v>29801</v>
      </c>
      <c r="B1722" t="s">
        <v>2370</v>
      </c>
      <c r="C1722" t="str">
        <f t="shared" si="116"/>
        <v>31025</v>
      </c>
      <c r="D1722" t="s">
        <v>2483</v>
      </c>
      <c r="E1722" t="str">
        <f>"1657"</f>
        <v>1657</v>
      </c>
      <c r="F1722" t="s">
        <v>9626</v>
      </c>
      <c r="G1722">
        <v>9</v>
      </c>
      <c r="H1722">
        <v>12</v>
      </c>
      <c r="I1722" t="s">
        <v>9622</v>
      </c>
      <c r="K1722" t="s">
        <v>2744</v>
      </c>
      <c r="L1722" t="s">
        <v>25</v>
      </c>
      <c r="M1722">
        <v>98271</v>
      </c>
      <c r="N1722" t="s">
        <v>9627</v>
      </c>
      <c r="O1722" t="s">
        <v>9628</v>
      </c>
      <c r="P1722" t="s">
        <v>9629</v>
      </c>
      <c r="Q1722" t="s">
        <v>30</v>
      </c>
      <c r="R1722" t="s">
        <v>31</v>
      </c>
      <c r="S1722" t="s">
        <v>58</v>
      </c>
    </row>
    <row r="1723" spans="1:19" x14ac:dyDescent="0.45">
      <c r="A1723" t="str">
        <f t="shared" si="115"/>
        <v>29801</v>
      </c>
      <c r="B1723" t="s">
        <v>2370</v>
      </c>
      <c r="C1723" t="str">
        <f t="shared" si="116"/>
        <v>31025</v>
      </c>
      <c r="D1723" t="s">
        <v>2483</v>
      </c>
      <c r="E1723" t="str">
        <f>"1744"</f>
        <v>1744</v>
      </c>
      <c r="F1723" t="s">
        <v>9630</v>
      </c>
      <c r="G1723" t="s">
        <v>70</v>
      </c>
      <c r="H1723">
        <v>8</v>
      </c>
      <c r="I1723" t="s">
        <v>9631</v>
      </c>
      <c r="K1723" t="s">
        <v>2744</v>
      </c>
      <c r="L1723" t="s">
        <v>25</v>
      </c>
      <c r="M1723">
        <v>98271</v>
      </c>
      <c r="N1723" t="s">
        <v>9623</v>
      </c>
      <c r="O1723" t="s">
        <v>9632</v>
      </c>
      <c r="P1723" t="s">
        <v>9633</v>
      </c>
      <c r="Q1723" t="s">
        <v>157</v>
      </c>
      <c r="R1723" t="s">
        <v>158</v>
      </c>
      <c r="S1723" t="s">
        <v>159</v>
      </c>
    </row>
    <row r="1724" spans="1:19" x14ac:dyDescent="0.45">
      <c r="A1724" t="str">
        <f t="shared" si="115"/>
        <v>29801</v>
      </c>
      <c r="B1724" t="s">
        <v>2370</v>
      </c>
      <c r="C1724" t="str">
        <f t="shared" si="116"/>
        <v>31025</v>
      </c>
      <c r="D1724" t="s">
        <v>2483</v>
      </c>
      <c r="E1724" t="str">
        <f>"1862"</f>
        <v>1862</v>
      </c>
      <c r="F1724" t="s">
        <v>9634</v>
      </c>
      <c r="G1724" t="s">
        <v>70</v>
      </c>
      <c r="H1724">
        <v>5</v>
      </c>
      <c r="I1724" t="s">
        <v>9635</v>
      </c>
      <c r="K1724" t="s">
        <v>2744</v>
      </c>
      <c r="L1724" t="s">
        <v>25</v>
      </c>
      <c r="M1724">
        <v>98270</v>
      </c>
      <c r="N1724" t="s">
        <v>9636</v>
      </c>
      <c r="O1724" t="s">
        <v>9637</v>
      </c>
      <c r="P1724" t="s">
        <v>9638</v>
      </c>
      <c r="Q1724" t="s">
        <v>30</v>
      </c>
      <c r="R1724" t="s">
        <v>31</v>
      </c>
      <c r="S1724" t="s">
        <v>32</v>
      </c>
    </row>
    <row r="1725" spans="1:19" x14ac:dyDescent="0.45">
      <c r="A1725" t="str">
        <f t="shared" si="115"/>
        <v>29801</v>
      </c>
      <c r="B1725" t="s">
        <v>2370</v>
      </c>
      <c r="C1725" t="str">
        <f t="shared" si="116"/>
        <v>31025</v>
      </c>
      <c r="D1725" t="s">
        <v>2483</v>
      </c>
      <c r="E1725" t="str">
        <f>"1895"</f>
        <v>1895</v>
      </c>
      <c r="F1725" t="s">
        <v>4528</v>
      </c>
      <c r="G1725" t="s">
        <v>22</v>
      </c>
      <c r="H1725" t="s">
        <v>22</v>
      </c>
      <c r="I1725" t="s">
        <v>9639</v>
      </c>
      <c r="K1725" t="s">
        <v>9640</v>
      </c>
      <c r="L1725" t="s">
        <v>25</v>
      </c>
      <c r="M1725">
        <v>98271</v>
      </c>
      <c r="N1725" t="s">
        <v>9641</v>
      </c>
      <c r="O1725" t="s">
        <v>9642</v>
      </c>
      <c r="P1725" t="s">
        <v>9643</v>
      </c>
      <c r="Q1725" t="s">
        <v>1410</v>
      </c>
      <c r="R1725" t="s">
        <v>31</v>
      </c>
      <c r="S1725" t="s">
        <v>1248</v>
      </c>
    </row>
    <row r="1726" spans="1:19" x14ac:dyDescent="0.45">
      <c r="A1726" t="str">
        <f t="shared" si="115"/>
        <v>29801</v>
      </c>
      <c r="B1726" t="s">
        <v>2370</v>
      </c>
      <c r="C1726" t="str">
        <f t="shared" si="116"/>
        <v>31025</v>
      </c>
      <c r="D1726" t="s">
        <v>2483</v>
      </c>
      <c r="E1726" t="str">
        <f>"2813"</f>
        <v>2813</v>
      </c>
      <c r="F1726" t="s">
        <v>5625</v>
      </c>
      <c r="G1726">
        <v>6</v>
      </c>
      <c r="H1726">
        <v>8</v>
      </c>
      <c r="I1726" t="s">
        <v>9644</v>
      </c>
      <c r="K1726" t="s">
        <v>2744</v>
      </c>
      <c r="L1726" t="s">
        <v>25</v>
      </c>
      <c r="M1726" t="s">
        <v>9645</v>
      </c>
      <c r="N1726" t="s">
        <v>9646</v>
      </c>
      <c r="O1726" t="s">
        <v>9647</v>
      </c>
      <c r="P1726" t="s">
        <v>9648</v>
      </c>
      <c r="Q1726" t="s">
        <v>30</v>
      </c>
      <c r="R1726" t="s">
        <v>31</v>
      </c>
      <c r="S1726" t="s">
        <v>104</v>
      </c>
    </row>
    <row r="1727" spans="1:19" x14ac:dyDescent="0.45">
      <c r="A1727" t="str">
        <f t="shared" si="115"/>
        <v>29801</v>
      </c>
      <c r="B1727" t="s">
        <v>2370</v>
      </c>
      <c r="C1727" t="str">
        <f t="shared" si="116"/>
        <v>31025</v>
      </c>
      <c r="D1727" t="s">
        <v>2483</v>
      </c>
      <c r="E1727" t="str">
        <f>"3059"</f>
        <v>3059</v>
      </c>
      <c r="F1727" t="s">
        <v>3797</v>
      </c>
      <c r="G1727" t="s">
        <v>70</v>
      </c>
      <c r="H1727">
        <v>5</v>
      </c>
      <c r="I1727" t="s">
        <v>9649</v>
      </c>
      <c r="K1727" t="s">
        <v>2744</v>
      </c>
      <c r="L1727" t="s">
        <v>25</v>
      </c>
      <c r="M1727" t="s">
        <v>9650</v>
      </c>
      <c r="N1727" t="s">
        <v>9651</v>
      </c>
      <c r="O1727" t="s">
        <v>9652</v>
      </c>
      <c r="P1727" t="s">
        <v>9653</v>
      </c>
      <c r="Q1727" t="s">
        <v>30</v>
      </c>
      <c r="R1727" t="s">
        <v>31</v>
      </c>
      <c r="S1727" t="s">
        <v>32</v>
      </c>
    </row>
    <row r="1728" spans="1:19" x14ac:dyDescent="0.45">
      <c r="A1728" t="str">
        <f t="shared" si="115"/>
        <v>29801</v>
      </c>
      <c r="B1728" t="s">
        <v>2370</v>
      </c>
      <c r="C1728" t="str">
        <f t="shared" si="116"/>
        <v>31025</v>
      </c>
      <c r="D1728" t="s">
        <v>2483</v>
      </c>
      <c r="E1728" t="str">
        <f>"3187"</f>
        <v>3187</v>
      </c>
      <c r="F1728" t="s">
        <v>9654</v>
      </c>
      <c r="G1728" t="s">
        <v>70</v>
      </c>
      <c r="H1728">
        <v>5</v>
      </c>
      <c r="I1728" t="s">
        <v>9655</v>
      </c>
      <c r="K1728" t="s">
        <v>2744</v>
      </c>
      <c r="L1728" t="s">
        <v>25</v>
      </c>
      <c r="M1728" t="s">
        <v>9656</v>
      </c>
      <c r="N1728" t="s">
        <v>9657</v>
      </c>
      <c r="O1728" t="s">
        <v>9658</v>
      </c>
      <c r="P1728" t="s">
        <v>9659</v>
      </c>
      <c r="Q1728" t="s">
        <v>30</v>
      </c>
      <c r="R1728" t="s">
        <v>31</v>
      </c>
      <c r="S1728" t="s">
        <v>32</v>
      </c>
    </row>
    <row r="1729" spans="1:19" x14ac:dyDescent="0.45">
      <c r="A1729" t="str">
        <f t="shared" si="115"/>
        <v>29801</v>
      </c>
      <c r="B1729" t="s">
        <v>2370</v>
      </c>
      <c r="C1729" t="str">
        <f t="shared" si="116"/>
        <v>31025</v>
      </c>
      <c r="D1729" t="s">
        <v>2483</v>
      </c>
      <c r="E1729" t="str">
        <f>"3355"</f>
        <v>3355</v>
      </c>
      <c r="F1729" t="s">
        <v>9660</v>
      </c>
      <c r="G1729">
        <v>6</v>
      </c>
      <c r="H1729">
        <v>8</v>
      </c>
      <c r="I1729" t="s">
        <v>9661</v>
      </c>
      <c r="K1729" t="s">
        <v>2744</v>
      </c>
      <c r="L1729" t="s">
        <v>25</v>
      </c>
      <c r="M1729" t="s">
        <v>9662</v>
      </c>
      <c r="N1729" t="s">
        <v>9663</v>
      </c>
      <c r="O1729" t="s">
        <v>9664</v>
      </c>
      <c r="P1729" t="s">
        <v>9665</v>
      </c>
      <c r="Q1729" t="s">
        <v>30</v>
      </c>
      <c r="R1729" t="s">
        <v>31</v>
      </c>
      <c r="S1729" t="s">
        <v>104</v>
      </c>
    </row>
    <row r="1730" spans="1:19" x14ac:dyDescent="0.45">
      <c r="A1730" t="str">
        <f t="shared" si="115"/>
        <v>29801</v>
      </c>
      <c r="B1730" t="s">
        <v>2370</v>
      </c>
      <c r="C1730" t="str">
        <f t="shared" si="116"/>
        <v>31025</v>
      </c>
      <c r="D1730" t="s">
        <v>2483</v>
      </c>
      <c r="E1730" t="str">
        <f>"3537"</f>
        <v>3537</v>
      </c>
      <c r="F1730" t="s">
        <v>9666</v>
      </c>
      <c r="G1730" t="s">
        <v>70</v>
      </c>
      <c r="H1730">
        <v>5</v>
      </c>
      <c r="I1730" t="s">
        <v>9667</v>
      </c>
      <c r="K1730" t="s">
        <v>2744</v>
      </c>
      <c r="L1730" t="s">
        <v>25</v>
      </c>
      <c r="M1730" t="s">
        <v>9668</v>
      </c>
      <c r="N1730" t="s">
        <v>9669</v>
      </c>
      <c r="O1730" t="s">
        <v>9670</v>
      </c>
      <c r="P1730" t="s">
        <v>9671</v>
      </c>
      <c r="Q1730" t="s">
        <v>30</v>
      </c>
      <c r="R1730" t="s">
        <v>31</v>
      </c>
      <c r="S1730" t="s">
        <v>32</v>
      </c>
    </row>
    <row r="1731" spans="1:19" x14ac:dyDescent="0.45">
      <c r="A1731" t="str">
        <f t="shared" si="115"/>
        <v>29801</v>
      </c>
      <c r="B1731" t="s">
        <v>2370</v>
      </c>
      <c r="C1731" t="str">
        <f t="shared" si="116"/>
        <v>31025</v>
      </c>
      <c r="D1731" t="s">
        <v>2483</v>
      </c>
      <c r="E1731" t="str">
        <f>"3651"</f>
        <v>3651</v>
      </c>
      <c r="F1731" t="s">
        <v>9672</v>
      </c>
      <c r="G1731" t="s">
        <v>70</v>
      </c>
      <c r="H1731">
        <v>5</v>
      </c>
      <c r="I1731" t="s">
        <v>9673</v>
      </c>
      <c r="K1731" t="s">
        <v>2744</v>
      </c>
      <c r="L1731" t="s">
        <v>25</v>
      </c>
      <c r="M1731" t="s">
        <v>9674</v>
      </c>
      <c r="N1731" t="s">
        <v>9675</v>
      </c>
      <c r="O1731" t="s">
        <v>9676</v>
      </c>
      <c r="P1731" t="s">
        <v>9677</v>
      </c>
      <c r="Q1731" t="s">
        <v>30</v>
      </c>
      <c r="R1731" t="s">
        <v>31</v>
      </c>
      <c r="S1731" t="s">
        <v>32</v>
      </c>
    </row>
    <row r="1732" spans="1:19" x14ac:dyDescent="0.45">
      <c r="A1732" t="str">
        <f t="shared" si="115"/>
        <v>29801</v>
      </c>
      <c r="B1732" t="s">
        <v>2370</v>
      </c>
      <c r="C1732" t="str">
        <f t="shared" si="116"/>
        <v>31025</v>
      </c>
      <c r="D1732" t="s">
        <v>2483</v>
      </c>
      <c r="E1732" t="str">
        <f>"3964"</f>
        <v>3964</v>
      </c>
      <c r="F1732" t="s">
        <v>9678</v>
      </c>
      <c r="G1732" t="s">
        <v>22</v>
      </c>
      <c r="H1732">
        <v>5</v>
      </c>
      <c r="I1732" t="s">
        <v>9679</v>
      </c>
      <c r="K1732" t="s">
        <v>2744</v>
      </c>
      <c r="L1732" t="s">
        <v>25</v>
      </c>
      <c r="M1732" t="s">
        <v>9680</v>
      </c>
      <c r="N1732" t="s">
        <v>9681</v>
      </c>
      <c r="O1732" t="s">
        <v>9682</v>
      </c>
      <c r="P1732" t="s">
        <v>9683</v>
      </c>
      <c r="Q1732" t="s">
        <v>30</v>
      </c>
      <c r="R1732" t="s">
        <v>31</v>
      </c>
      <c r="S1732" t="s">
        <v>32</v>
      </c>
    </row>
    <row r="1733" spans="1:19" x14ac:dyDescent="0.45">
      <c r="A1733" t="str">
        <f t="shared" si="115"/>
        <v>29801</v>
      </c>
      <c r="B1733" t="s">
        <v>2370</v>
      </c>
      <c r="C1733" t="str">
        <f t="shared" si="116"/>
        <v>31025</v>
      </c>
      <c r="D1733" t="s">
        <v>2483</v>
      </c>
      <c r="E1733" t="str">
        <f>"4150"</f>
        <v>4150</v>
      </c>
      <c r="F1733" t="s">
        <v>9684</v>
      </c>
      <c r="G1733" t="s">
        <v>22</v>
      </c>
      <c r="H1733">
        <v>5</v>
      </c>
      <c r="I1733" t="s">
        <v>9635</v>
      </c>
      <c r="K1733" t="s">
        <v>2744</v>
      </c>
      <c r="L1733" t="s">
        <v>25</v>
      </c>
      <c r="M1733" t="s">
        <v>9685</v>
      </c>
      <c r="N1733" t="s">
        <v>9636</v>
      </c>
      <c r="O1733" t="s">
        <v>9637</v>
      </c>
      <c r="P1733" t="s">
        <v>9638</v>
      </c>
      <c r="Q1733" t="s">
        <v>30</v>
      </c>
      <c r="R1733" t="s">
        <v>31</v>
      </c>
      <c r="S1733" t="s">
        <v>32</v>
      </c>
    </row>
    <row r="1734" spans="1:19" x14ac:dyDescent="0.45">
      <c r="A1734" t="str">
        <f t="shared" si="115"/>
        <v>29801</v>
      </c>
      <c r="B1734" t="s">
        <v>2370</v>
      </c>
      <c r="C1734" t="str">
        <f t="shared" si="116"/>
        <v>31025</v>
      </c>
      <c r="D1734" t="s">
        <v>2483</v>
      </c>
      <c r="E1734" t="str">
        <f>"4323"</f>
        <v>4323</v>
      </c>
      <c r="F1734" t="s">
        <v>9686</v>
      </c>
      <c r="G1734" t="s">
        <v>22</v>
      </c>
      <c r="H1734">
        <v>5</v>
      </c>
      <c r="I1734" t="s">
        <v>9687</v>
      </c>
      <c r="K1734" t="s">
        <v>2744</v>
      </c>
      <c r="L1734" t="s">
        <v>25</v>
      </c>
      <c r="M1734">
        <v>98270</v>
      </c>
      <c r="N1734" t="s">
        <v>9688</v>
      </c>
      <c r="O1734" t="s">
        <v>9689</v>
      </c>
      <c r="P1734" t="s">
        <v>9690</v>
      </c>
      <c r="Q1734" t="s">
        <v>30</v>
      </c>
      <c r="R1734" t="s">
        <v>31</v>
      </c>
      <c r="S1734" t="s">
        <v>32</v>
      </c>
    </row>
    <row r="1735" spans="1:19" x14ac:dyDescent="0.45">
      <c r="A1735" t="str">
        <f t="shared" si="115"/>
        <v>29801</v>
      </c>
      <c r="B1735" t="s">
        <v>2370</v>
      </c>
      <c r="C1735" t="str">
        <f t="shared" si="116"/>
        <v>31025</v>
      </c>
      <c r="D1735" t="s">
        <v>2483</v>
      </c>
      <c r="E1735" t="str">
        <f>"4357"</f>
        <v>4357</v>
      </c>
      <c r="F1735" t="s">
        <v>9691</v>
      </c>
      <c r="G1735">
        <v>6</v>
      </c>
      <c r="H1735">
        <v>8</v>
      </c>
      <c r="I1735" t="s">
        <v>9692</v>
      </c>
      <c r="K1735" t="s">
        <v>2744</v>
      </c>
      <c r="L1735" t="s">
        <v>25</v>
      </c>
      <c r="M1735" t="s">
        <v>9650</v>
      </c>
      <c r="N1735" t="s">
        <v>9693</v>
      </c>
      <c r="O1735" t="s">
        <v>9694</v>
      </c>
      <c r="P1735" t="s">
        <v>9695</v>
      </c>
      <c r="Q1735" t="s">
        <v>30</v>
      </c>
      <c r="R1735" t="s">
        <v>31</v>
      </c>
      <c r="S1735" t="s">
        <v>104</v>
      </c>
    </row>
    <row r="1736" spans="1:19" x14ac:dyDescent="0.45">
      <c r="A1736" t="str">
        <f t="shared" si="115"/>
        <v>29801</v>
      </c>
      <c r="B1736" t="s">
        <v>2370</v>
      </c>
      <c r="C1736" t="str">
        <f t="shared" si="116"/>
        <v>31025</v>
      </c>
      <c r="D1736" t="s">
        <v>2483</v>
      </c>
      <c r="E1736" t="str">
        <f>"4454"</f>
        <v>4454</v>
      </c>
      <c r="F1736" t="s">
        <v>9696</v>
      </c>
      <c r="G1736" t="s">
        <v>22</v>
      </c>
      <c r="H1736">
        <v>5</v>
      </c>
      <c r="I1736" t="s">
        <v>9697</v>
      </c>
      <c r="K1736" t="s">
        <v>2744</v>
      </c>
      <c r="L1736" t="s">
        <v>25</v>
      </c>
      <c r="M1736">
        <v>98270</v>
      </c>
      <c r="N1736" t="s">
        <v>9698</v>
      </c>
      <c r="O1736" t="s">
        <v>9699</v>
      </c>
      <c r="P1736" t="s">
        <v>9700</v>
      </c>
      <c r="Q1736" t="s">
        <v>30</v>
      </c>
      <c r="R1736" t="s">
        <v>31</v>
      </c>
      <c r="S1736" t="s">
        <v>32</v>
      </c>
    </row>
    <row r="1737" spans="1:19" x14ac:dyDescent="0.45">
      <c r="A1737" t="str">
        <f t="shared" si="115"/>
        <v>29801</v>
      </c>
      <c r="B1737" t="s">
        <v>2370</v>
      </c>
      <c r="C1737" t="str">
        <f>"31063"</f>
        <v>31063</v>
      </c>
      <c r="D1737" t="s">
        <v>9701</v>
      </c>
      <c r="E1737" t="str">
        <f>"2948"</f>
        <v>2948</v>
      </c>
      <c r="F1737" t="s">
        <v>9702</v>
      </c>
      <c r="G1737" t="s">
        <v>22</v>
      </c>
      <c r="H1737">
        <v>8</v>
      </c>
      <c r="I1737" t="s">
        <v>9703</v>
      </c>
      <c r="K1737" t="s">
        <v>9704</v>
      </c>
      <c r="L1737" t="s">
        <v>25</v>
      </c>
      <c r="M1737" t="s">
        <v>9705</v>
      </c>
      <c r="N1737" t="s">
        <v>9706</v>
      </c>
      <c r="O1737" t="s">
        <v>9707</v>
      </c>
      <c r="P1737" t="s">
        <v>9708</v>
      </c>
      <c r="Q1737" t="s">
        <v>30</v>
      </c>
      <c r="R1737" t="s">
        <v>31</v>
      </c>
      <c r="S1737" t="s">
        <v>159</v>
      </c>
    </row>
    <row r="1738" spans="1:19" x14ac:dyDescent="0.45">
      <c r="A1738" t="str">
        <f t="shared" si="115"/>
        <v>29801</v>
      </c>
      <c r="B1738" t="s">
        <v>2370</v>
      </c>
      <c r="C1738" t="str">
        <f t="shared" ref="C1738:C1748" si="117">"31103"</f>
        <v>31103</v>
      </c>
      <c r="D1738" t="s">
        <v>9709</v>
      </c>
      <c r="E1738" t="str">
        <f>"1570"</f>
        <v>1570</v>
      </c>
      <c r="F1738" t="s">
        <v>9710</v>
      </c>
      <c r="G1738" t="s">
        <v>22</v>
      </c>
      <c r="H1738" t="s">
        <v>22</v>
      </c>
      <c r="I1738" t="s">
        <v>9711</v>
      </c>
      <c r="K1738" t="s">
        <v>9712</v>
      </c>
      <c r="L1738" t="s">
        <v>25</v>
      </c>
      <c r="M1738" t="s">
        <v>9713</v>
      </c>
      <c r="N1738" t="s">
        <v>9714</v>
      </c>
      <c r="O1738" t="s">
        <v>9715</v>
      </c>
      <c r="P1738" t="s">
        <v>9716</v>
      </c>
      <c r="Q1738" t="s">
        <v>66</v>
      </c>
      <c r="R1738" t="s">
        <v>67</v>
      </c>
      <c r="S1738" t="s">
        <v>1248</v>
      </c>
    </row>
    <row r="1739" spans="1:19" x14ac:dyDescent="0.45">
      <c r="A1739" t="str">
        <f t="shared" si="115"/>
        <v>29801</v>
      </c>
      <c r="B1739" t="s">
        <v>2370</v>
      </c>
      <c r="C1739" t="str">
        <f t="shared" si="117"/>
        <v>31103</v>
      </c>
      <c r="D1739" t="s">
        <v>9709</v>
      </c>
      <c r="E1739" t="str">
        <f>"1643"</f>
        <v>1643</v>
      </c>
      <c r="F1739" t="s">
        <v>9717</v>
      </c>
      <c r="G1739" t="s">
        <v>22</v>
      </c>
      <c r="H1739">
        <v>11</v>
      </c>
      <c r="I1739" t="s">
        <v>9718</v>
      </c>
      <c r="K1739" t="s">
        <v>9719</v>
      </c>
      <c r="L1739" t="s">
        <v>25</v>
      </c>
      <c r="M1739" t="s">
        <v>9713</v>
      </c>
      <c r="N1739" t="s">
        <v>9714</v>
      </c>
      <c r="O1739" t="s">
        <v>9720</v>
      </c>
      <c r="P1739" t="s">
        <v>9716</v>
      </c>
      <c r="Q1739" t="s">
        <v>66</v>
      </c>
      <c r="R1739" t="s">
        <v>67</v>
      </c>
      <c r="S1739" t="s">
        <v>159</v>
      </c>
    </row>
    <row r="1740" spans="1:19" x14ac:dyDescent="0.45">
      <c r="A1740" t="str">
        <f t="shared" si="115"/>
        <v>29801</v>
      </c>
      <c r="B1740" t="s">
        <v>2370</v>
      </c>
      <c r="C1740" t="str">
        <f t="shared" si="117"/>
        <v>31103</v>
      </c>
      <c r="D1740" t="s">
        <v>9709</v>
      </c>
      <c r="E1740" t="str">
        <f>"1777"</f>
        <v>1777</v>
      </c>
      <c r="F1740" t="s">
        <v>9721</v>
      </c>
      <c r="G1740" t="s">
        <v>70</v>
      </c>
      <c r="H1740">
        <v>12</v>
      </c>
      <c r="I1740" t="s">
        <v>9722</v>
      </c>
      <c r="K1740" t="s">
        <v>9719</v>
      </c>
      <c r="L1740" t="s">
        <v>25</v>
      </c>
      <c r="M1740" t="s">
        <v>9723</v>
      </c>
      <c r="N1740" t="s">
        <v>9724</v>
      </c>
      <c r="O1740" t="s">
        <v>9725</v>
      </c>
      <c r="P1740" t="s">
        <v>9726</v>
      </c>
      <c r="Q1740" t="s">
        <v>157</v>
      </c>
      <c r="R1740" t="s">
        <v>158</v>
      </c>
      <c r="S1740" t="s">
        <v>159</v>
      </c>
    </row>
    <row r="1741" spans="1:19" x14ac:dyDescent="0.45">
      <c r="A1741" t="str">
        <f t="shared" si="115"/>
        <v>29801</v>
      </c>
      <c r="B1741" t="s">
        <v>2370</v>
      </c>
      <c r="C1741" t="str">
        <f t="shared" si="117"/>
        <v>31103</v>
      </c>
      <c r="D1741" t="s">
        <v>9709</v>
      </c>
      <c r="E1741" t="str">
        <f>"1806"</f>
        <v>1806</v>
      </c>
      <c r="F1741" t="s">
        <v>9727</v>
      </c>
      <c r="G1741">
        <v>9</v>
      </c>
      <c r="H1741">
        <v>12</v>
      </c>
      <c r="I1741" t="s">
        <v>9728</v>
      </c>
      <c r="K1741" t="s">
        <v>9719</v>
      </c>
      <c r="L1741" t="s">
        <v>25</v>
      </c>
      <c r="M1741" t="s">
        <v>9729</v>
      </c>
      <c r="N1741" t="s">
        <v>9730</v>
      </c>
      <c r="O1741" t="s">
        <v>9731</v>
      </c>
      <c r="P1741" t="s">
        <v>9732</v>
      </c>
      <c r="Q1741" t="s">
        <v>157</v>
      </c>
      <c r="R1741" t="s">
        <v>158</v>
      </c>
      <c r="S1741" t="s">
        <v>58</v>
      </c>
    </row>
    <row r="1742" spans="1:19" x14ac:dyDescent="0.45">
      <c r="A1742" t="str">
        <f t="shared" si="115"/>
        <v>29801</v>
      </c>
      <c r="B1742" t="s">
        <v>2370</v>
      </c>
      <c r="C1742" t="str">
        <f t="shared" si="117"/>
        <v>31103</v>
      </c>
      <c r="D1742" t="s">
        <v>9709</v>
      </c>
      <c r="E1742" t="str">
        <f>"1883"</f>
        <v>1883</v>
      </c>
      <c r="F1742" t="s">
        <v>9733</v>
      </c>
      <c r="G1742">
        <v>9</v>
      </c>
      <c r="H1742">
        <v>12</v>
      </c>
      <c r="I1742" t="s">
        <v>9718</v>
      </c>
      <c r="K1742" t="s">
        <v>9719</v>
      </c>
      <c r="M1742">
        <v>98272</v>
      </c>
      <c r="N1742" t="s">
        <v>9734</v>
      </c>
      <c r="O1742" t="s">
        <v>9735</v>
      </c>
      <c r="P1742" t="s">
        <v>9736</v>
      </c>
      <c r="Q1742" t="s">
        <v>157</v>
      </c>
      <c r="R1742" t="s">
        <v>158</v>
      </c>
      <c r="S1742" t="s">
        <v>58</v>
      </c>
    </row>
    <row r="1743" spans="1:19" x14ac:dyDescent="0.45">
      <c r="A1743" t="str">
        <f t="shared" si="115"/>
        <v>29801</v>
      </c>
      <c r="B1743" t="s">
        <v>2370</v>
      </c>
      <c r="C1743" t="str">
        <f t="shared" si="117"/>
        <v>31103</v>
      </c>
      <c r="D1743" t="s">
        <v>9709</v>
      </c>
      <c r="E1743" t="str">
        <f>"2546"</f>
        <v>2546</v>
      </c>
      <c r="F1743" t="s">
        <v>9737</v>
      </c>
      <c r="G1743" t="s">
        <v>70</v>
      </c>
      <c r="H1743">
        <v>5</v>
      </c>
      <c r="I1743" t="s">
        <v>9738</v>
      </c>
      <c r="K1743" t="s">
        <v>9739</v>
      </c>
      <c r="L1743" t="s">
        <v>25</v>
      </c>
      <c r="M1743" t="s">
        <v>9740</v>
      </c>
      <c r="N1743" t="s">
        <v>9741</v>
      </c>
      <c r="O1743" t="s">
        <v>9742</v>
      </c>
      <c r="P1743" t="s">
        <v>9743</v>
      </c>
      <c r="Q1743" t="s">
        <v>30</v>
      </c>
      <c r="R1743" t="s">
        <v>31</v>
      </c>
      <c r="S1743" t="s">
        <v>32</v>
      </c>
    </row>
    <row r="1744" spans="1:19" x14ac:dyDescent="0.45">
      <c r="A1744" t="str">
        <f t="shared" si="115"/>
        <v>29801</v>
      </c>
      <c r="B1744" t="s">
        <v>2370</v>
      </c>
      <c r="C1744" t="str">
        <f t="shared" si="117"/>
        <v>31103</v>
      </c>
      <c r="D1744" t="s">
        <v>9709</v>
      </c>
      <c r="E1744" t="str">
        <f>"3060"</f>
        <v>3060</v>
      </c>
      <c r="F1744" t="s">
        <v>9744</v>
      </c>
      <c r="G1744" t="s">
        <v>22</v>
      </c>
      <c r="H1744">
        <v>5</v>
      </c>
      <c r="I1744" t="s">
        <v>9745</v>
      </c>
      <c r="K1744" t="s">
        <v>9719</v>
      </c>
      <c r="L1744" t="s">
        <v>25</v>
      </c>
      <c r="M1744" t="s">
        <v>9746</v>
      </c>
      <c r="N1744" t="s">
        <v>9747</v>
      </c>
      <c r="O1744" t="s">
        <v>9748</v>
      </c>
      <c r="P1744" t="s">
        <v>9749</v>
      </c>
      <c r="Q1744" t="s">
        <v>30</v>
      </c>
      <c r="R1744" t="s">
        <v>31</v>
      </c>
      <c r="S1744" t="s">
        <v>32</v>
      </c>
    </row>
    <row r="1745" spans="1:19" x14ac:dyDescent="0.45">
      <c r="A1745" t="str">
        <f t="shared" si="115"/>
        <v>29801</v>
      </c>
      <c r="B1745" t="s">
        <v>2370</v>
      </c>
      <c r="C1745" t="str">
        <f t="shared" si="117"/>
        <v>31103</v>
      </c>
      <c r="D1745" t="s">
        <v>9709</v>
      </c>
      <c r="E1745" t="str">
        <f>"4159"</f>
        <v>4159</v>
      </c>
      <c r="F1745" t="s">
        <v>9750</v>
      </c>
      <c r="G1745" t="s">
        <v>22</v>
      </c>
      <c r="H1745">
        <v>5</v>
      </c>
      <c r="I1745" t="s">
        <v>9751</v>
      </c>
      <c r="K1745" t="s">
        <v>9719</v>
      </c>
      <c r="L1745" t="s">
        <v>25</v>
      </c>
      <c r="M1745" t="s">
        <v>9752</v>
      </c>
      <c r="N1745" t="s">
        <v>6401</v>
      </c>
      <c r="O1745" t="s">
        <v>9753</v>
      </c>
      <c r="P1745" t="s">
        <v>9754</v>
      </c>
      <c r="Q1745" t="s">
        <v>30</v>
      </c>
      <c r="R1745" t="s">
        <v>31</v>
      </c>
      <c r="S1745" t="s">
        <v>32</v>
      </c>
    </row>
    <row r="1746" spans="1:19" x14ac:dyDescent="0.45">
      <c r="A1746" t="str">
        <f t="shared" si="115"/>
        <v>29801</v>
      </c>
      <c r="B1746" t="s">
        <v>2370</v>
      </c>
      <c r="C1746" t="str">
        <f t="shared" si="117"/>
        <v>31103</v>
      </c>
      <c r="D1746" t="s">
        <v>9709</v>
      </c>
      <c r="E1746" t="str">
        <f>"4362"</f>
        <v>4362</v>
      </c>
      <c r="F1746" t="s">
        <v>9755</v>
      </c>
      <c r="G1746" t="s">
        <v>22</v>
      </c>
      <c r="H1746">
        <v>5</v>
      </c>
      <c r="I1746" t="s">
        <v>9756</v>
      </c>
      <c r="K1746" t="s">
        <v>9739</v>
      </c>
      <c r="L1746" t="s">
        <v>25</v>
      </c>
      <c r="M1746" t="s">
        <v>9757</v>
      </c>
      <c r="N1746" t="s">
        <v>9758</v>
      </c>
      <c r="O1746" t="s">
        <v>9759</v>
      </c>
      <c r="P1746" t="s">
        <v>9760</v>
      </c>
      <c r="Q1746" t="s">
        <v>30</v>
      </c>
      <c r="R1746" t="s">
        <v>31</v>
      </c>
      <c r="S1746" t="s">
        <v>32</v>
      </c>
    </row>
    <row r="1747" spans="1:19" x14ac:dyDescent="0.45">
      <c r="A1747" t="str">
        <f t="shared" si="115"/>
        <v>29801</v>
      </c>
      <c r="B1747" t="s">
        <v>2370</v>
      </c>
      <c r="C1747" t="str">
        <f t="shared" si="117"/>
        <v>31103</v>
      </c>
      <c r="D1747" t="s">
        <v>9709</v>
      </c>
      <c r="E1747" t="str">
        <f>"4528"</f>
        <v>4528</v>
      </c>
      <c r="F1747" t="s">
        <v>9761</v>
      </c>
      <c r="G1747">
        <v>9</v>
      </c>
      <c r="H1747">
        <v>12</v>
      </c>
      <c r="I1747" t="s">
        <v>9762</v>
      </c>
      <c r="K1747" t="s">
        <v>9719</v>
      </c>
      <c r="L1747" t="s">
        <v>25</v>
      </c>
      <c r="M1747" t="s">
        <v>9763</v>
      </c>
      <c r="N1747" t="s">
        <v>9764</v>
      </c>
      <c r="O1747" t="s">
        <v>9765</v>
      </c>
      <c r="P1747" t="s">
        <v>9766</v>
      </c>
      <c r="Q1747" t="s">
        <v>30</v>
      </c>
      <c r="R1747" t="s">
        <v>31</v>
      </c>
      <c r="S1747" t="s">
        <v>58</v>
      </c>
    </row>
    <row r="1748" spans="1:19" x14ac:dyDescent="0.45">
      <c r="A1748" t="str">
        <f t="shared" si="115"/>
        <v>29801</v>
      </c>
      <c r="B1748" t="s">
        <v>2370</v>
      </c>
      <c r="C1748" t="str">
        <f t="shared" si="117"/>
        <v>31103</v>
      </c>
      <c r="D1748" t="s">
        <v>9709</v>
      </c>
      <c r="E1748" t="str">
        <f>"4544"</f>
        <v>4544</v>
      </c>
      <c r="F1748" t="s">
        <v>9767</v>
      </c>
      <c r="G1748">
        <v>6</v>
      </c>
      <c r="H1748">
        <v>8</v>
      </c>
      <c r="I1748" t="s">
        <v>9768</v>
      </c>
      <c r="K1748" t="s">
        <v>9739</v>
      </c>
      <c r="L1748" t="s">
        <v>25</v>
      </c>
      <c r="M1748" t="s">
        <v>9769</v>
      </c>
      <c r="N1748" t="s">
        <v>9770</v>
      </c>
      <c r="O1748" t="s">
        <v>9771</v>
      </c>
      <c r="P1748" t="s">
        <v>9772</v>
      </c>
      <c r="Q1748" t="s">
        <v>30</v>
      </c>
      <c r="R1748" t="s">
        <v>31</v>
      </c>
      <c r="S1748" t="s">
        <v>104</v>
      </c>
    </row>
    <row r="1749" spans="1:19" x14ac:dyDescent="0.45">
      <c r="A1749" t="str">
        <f t="shared" si="115"/>
        <v>29801</v>
      </c>
      <c r="B1749" t="s">
        <v>2370</v>
      </c>
      <c r="C1749" t="str">
        <f t="shared" ref="C1749:C1763" si="118">"31201"</f>
        <v>31201</v>
      </c>
      <c r="D1749" t="s">
        <v>9773</v>
      </c>
      <c r="E1749" t="str">
        <f>"1730"</f>
        <v>1730</v>
      </c>
      <c r="F1749" t="s">
        <v>9774</v>
      </c>
      <c r="G1749" t="s">
        <v>70</v>
      </c>
      <c r="H1749">
        <v>12</v>
      </c>
      <c r="I1749" t="s">
        <v>9775</v>
      </c>
      <c r="K1749" t="s">
        <v>9739</v>
      </c>
      <c r="L1749" t="s">
        <v>25</v>
      </c>
      <c r="M1749" t="s">
        <v>9776</v>
      </c>
      <c r="N1749" t="s">
        <v>9777</v>
      </c>
      <c r="O1749" t="s">
        <v>9778</v>
      </c>
      <c r="P1749" t="s">
        <v>9779</v>
      </c>
      <c r="Q1749" t="s">
        <v>66</v>
      </c>
      <c r="R1749" t="s">
        <v>67</v>
      </c>
      <c r="S1749" t="s">
        <v>330</v>
      </c>
    </row>
    <row r="1750" spans="1:19" x14ac:dyDescent="0.45">
      <c r="A1750" t="str">
        <f t="shared" si="115"/>
        <v>29801</v>
      </c>
      <c r="B1750" t="s">
        <v>2370</v>
      </c>
      <c r="C1750" t="str">
        <f t="shared" si="118"/>
        <v>31201</v>
      </c>
      <c r="D1750" t="s">
        <v>9773</v>
      </c>
      <c r="E1750" t="str">
        <f>"2073"</f>
        <v>2073</v>
      </c>
      <c r="F1750" t="s">
        <v>9780</v>
      </c>
      <c r="G1750" t="s">
        <v>70</v>
      </c>
      <c r="H1750">
        <v>6</v>
      </c>
      <c r="I1750" t="s">
        <v>9781</v>
      </c>
      <c r="K1750" t="s">
        <v>9739</v>
      </c>
      <c r="L1750" t="s">
        <v>25</v>
      </c>
      <c r="M1750" t="s">
        <v>9776</v>
      </c>
      <c r="N1750" t="s">
        <v>9782</v>
      </c>
      <c r="O1750" t="s">
        <v>9783</v>
      </c>
      <c r="P1750" t="s">
        <v>9784</v>
      </c>
      <c r="Q1750" t="s">
        <v>30</v>
      </c>
      <c r="R1750" t="s">
        <v>31</v>
      </c>
      <c r="S1750" t="s">
        <v>32</v>
      </c>
    </row>
    <row r="1751" spans="1:19" x14ac:dyDescent="0.45">
      <c r="A1751" t="str">
        <f t="shared" si="115"/>
        <v>29801</v>
      </c>
      <c r="B1751" t="s">
        <v>2370</v>
      </c>
      <c r="C1751" t="str">
        <f t="shared" si="118"/>
        <v>31201</v>
      </c>
      <c r="D1751" t="s">
        <v>9773</v>
      </c>
      <c r="E1751" t="str">
        <f>"2428"</f>
        <v>2428</v>
      </c>
      <c r="F1751" t="s">
        <v>9785</v>
      </c>
      <c r="G1751">
        <v>9</v>
      </c>
      <c r="H1751">
        <v>12</v>
      </c>
      <c r="I1751" t="s">
        <v>9786</v>
      </c>
      <c r="K1751" t="s">
        <v>9739</v>
      </c>
      <c r="L1751" t="s">
        <v>25</v>
      </c>
      <c r="M1751" t="s">
        <v>9776</v>
      </c>
      <c r="N1751" t="s">
        <v>9787</v>
      </c>
      <c r="O1751" t="s">
        <v>9788</v>
      </c>
      <c r="P1751" t="s">
        <v>9789</v>
      </c>
      <c r="Q1751" t="s">
        <v>30</v>
      </c>
      <c r="R1751" t="s">
        <v>31</v>
      </c>
      <c r="S1751" t="s">
        <v>58</v>
      </c>
    </row>
    <row r="1752" spans="1:19" x14ac:dyDescent="0.45">
      <c r="A1752" t="str">
        <f t="shared" ref="A1752:A1787" si="119">"29801"</f>
        <v>29801</v>
      </c>
      <c r="B1752" t="s">
        <v>2370</v>
      </c>
      <c r="C1752" t="str">
        <f t="shared" si="118"/>
        <v>31201</v>
      </c>
      <c r="D1752" t="s">
        <v>9773</v>
      </c>
      <c r="E1752" t="str">
        <f>"2446"</f>
        <v>2446</v>
      </c>
      <c r="F1752" t="s">
        <v>9790</v>
      </c>
      <c r="G1752" t="s">
        <v>70</v>
      </c>
      <c r="H1752">
        <v>2</v>
      </c>
      <c r="I1752" t="s">
        <v>9791</v>
      </c>
      <c r="K1752" t="s">
        <v>9739</v>
      </c>
      <c r="L1752" t="s">
        <v>25</v>
      </c>
      <c r="M1752" t="s">
        <v>9776</v>
      </c>
      <c r="N1752" t="s">
        <v>9792</v>
      </c>
      <c r="O1752" t="s">
        <v>9793</v>
      </c>
      <c r="P1752" t="s">
        <v>9794</v>
      </c>
      <c r="Q1752" t="s">
        <v>30</v>
      </c>
      <c r="R1752" t="s">
        <v>31</v>
      </c>
      <c r="S1752" t="s">
        <v>32</v>
      </c>
    </row>
    <row r="1753" spans="1:19" x14ac:dyDescent="0.45">
      <c r="A1753" t="str">
        <f t="shared" si="119"/>
        <v>29801</v>
      </c>
      <c r="B1753" t="s">
        <v>2370</v>
      </c>
      <c r="C1753" t="str">
        <f t="shared" si="118"/>
        <v>31201</v>
      </c>
      <c r="D1753" t="s">
        <v>9773</v>
      </c>
      <c r="E1753" t="str">
        <f>"3005"</f>
        <v>3005</v>
      </c>
      <c r="F1753" t="s">
        <v>3901</v>
      </c>
      <c r="G1753">
        <v>3</v>
      </c>
      <c r="H1753">
        <v>6</v>
      </c>
      <c r="I1753" t="s">
        <v>9795</v>
      </c>
      <c r="K1753" t="s">
        <v>9739</v>
      </c>
      <c r="L1753" t="s">
        <v>25</v>
      </c>
      <c r="M1753" t="s">
        <v>9776</v>
      </c>
      <c r="N1753" t="s">
        <v>9796</v>
      </c>
      <c r="O1753" t="s">
        <v>9797</v>
      </c>
      <c r="P1753" t="s">
        <v>9798</v>
      </c>
      <c r="Q1753" t="s">
        <v>30</v>
      </c>
      <c r="R1753" t="s">
        <v>31</v>
      </c>
      <c r="S1753" t="s">
        <v>32</v>
      </c>
    </row>
    <row r="1754" spans="1:19" x14ac:dyDescent="0.45">
      <c r="A1754" t="str">
        <f t="shared" si="119"/>
        <v>29801</v>
      </c>
      <c r="B1754" t="s">
        <v>2370</v>
      </c>
      <c r="C1754" t="str">
        <f t="shared" si="118"/>
        <v>31201</v>
      </c>
      <c r="D1754" t="s">
        <v>9773</v>
      </c>
      <c r="E1754" t="str">
        <f>"3305"</f>
        <v>3305</v>
      </c>
      <c r="F1754" t="s">
        <v>9799</v>
      </c>
      <c r="G1754" t="s">
        <v>70</v>
      </c>
      <c r="H1754">
        <v>6</v>
      </c>
      <c r="I1754" t="s">
        <v>9800</v>
      </c>
      <c r="K1754" t="s">
        <v>9739</v>
      </c>
      <c r="L1754" t="s">
        <v>25</v>
      </c>
      <c r="M1754" t="s">
        <v>9801</v>
      </c>
      <c r="N1754" t="s">
        <v>9802</v>
      </c>
      <c r="O1754" t="s">
        <v>9803</v>
      </c>
      <c r="P1754" t="s">
        <v>9804</v>
      </c>
      <c r="Q1754" t="s">
        <v>30</v>
      </c>
      <c r="R1754" t="s">
        <v>31</v>
      </c>
      <c r="S1754" t="s">
        <v>32</v>
      </c>
    </row>
    <row r="1755" spans="1:19" x14ac:dyDescent="0.45">
      <c r="A1755" t="str">
        <f t="shared" si="119"/>
        <v>29801</v>
      </c>
      <c r="B1755" t="s">
        <v>2370</v>
      </c>
      <c r="C1755" t="str">
        <f t="shared" si="118"/>
        <v>31201</v>
      </c>
      <c r="D1755" t="s">
        <v>9773</v>
      </c>
      <c r="E1755" t="str">
        <f>"3561"</f>
        <v>3561</v>
      </c>
      <c r="F1755" t="s">
        <v>9805</v>
      </c>
      <c r="G1755" t="s">
        <v>70</v>
      </c>
      <c r="H1755">
        <v>6</v>
      </c>
      <c r="I1755" t="s">
        <v>9806</v>
      </c>
      <c r="K1755" t="s">
        <v>9739</v>
      </c>
      <c r="L1755" t="s">
        <v>25</v>
      </c>
      <c r="M1755" t="s">
        <v>9776</v>
      </c>
      <c r="N1755" t="s">
        <v>9807</v>
      </c>
      <c r="O1755" t="s">
        <v>9808</v>
      </c>
      <c r="P1755" t="s">
        <v>9809</v>
      </c>
      <c r="Q1755" t="s">
        <v>30</v>
      </c>
      <c r="R1755" t="s">
        <v>31</v>
      </c>
      <c r="S1755" t="s">
        <v>32</v>
      </c>
    </row>
    <row r="1756" spans="1:19" x14ac:dyDescent="0.45">
      <c r="A1756" t="str">
        <f t="shared" si="119"/>
        <v>29801</v>
      </c>
      <c r="B1756" t="s">
        <v>2370</v>
      </c>
      <c r="C1756" t="str">
        <f t="shared" si="118"/>
        <v>31201</v>
      </c>
      <c r="D1756" t="s">
        <v>9773</v>
      </c>
      <c r="E1756" t="str">
        <f>"3981"</f>
        <v>3981</v>
      </c>
      <c r="F1756" t="s">
        <v>9810</v>
      </c>
      <c r="G1756">
        <v>9</v>
      </c>
      <c r="H1756">
        <v>12</v>
      </c>
      <c r="I1756" t="s">
        <v>9775</v>
      </c>
      <c r="K1756" t="s">
        <v>9739</v>
      </c>
      <c r="L1756" t="s">
        <v>25</v>
      </c>
      <c r="M1756" t="s">
        <v>9776</v>
      </c>
      <c r="N1756" t="s">
        <v>9811</v>
      </c>
      <c r="O1756" t="s">
        <v>9812</v>
      </c>
      <c r="P1756" t="s">
        <v>9813</v>
      </c>
      <c r="Q1756" t="s">
        <v>157</v>
      </c>
      <c r="R1756" t="s">
        <v>158</v>
      </c>
      <c r="S1756" t="s">
        <v>58</v>
      </c>
    </row>
    <row r="1757" spans="1:19" x14ac:dyDescent="0.45">
      <c r="A1757" t="str">
        <f t="shared" si="119"/>
        <v>29801</v>
      </c>
      <c r="B1757" t="s">
        <v>2370</v>
      </c>
      <c r="C1757" t="str">
        <f t="shared" si="118"/>
        <v>31201</v>
      </c>
      <c r="D1757" t="s">
        <v>9773</v>
      </c>
      <c r="E1757" t="str">
        <f>"4145"</f>
        <v>4145</v>
      </c>
      <c r="F1757" t="s">
        <v>9814</v>
      </c>
      <c r="G1757">
        <v>7</v>
      </c>
      <c r="H1757">
        <v>8</v>
      </c>
      <c r="I1757" t="s">
        <v>9815</v>
      </c>
      <c r="K1757" t="s">
        <v>9739</v>
      </c>
      <c r="L1757" t="s">
        <v>25</v>
      </c>
      <c r="M1757" t="s">
        <v>9816</v>
      </c>
      <c r="N1757" t="s">
        <v>9817</v>
      </c>
      <c r="O1757" t="s">
        <v>9818</v>
      </c>
      <c r="P1757" t="s">
        <v>9819</v>
      </c>
      <c r="Q1757" t="s">
        <v>30</v>
      </c>
      <c r="R1757" t="s">
        <v>31</v>
      </c>
      <c r="S1757" t="s">
        <v>104</v>
      </c>
    </row>
    <row r="1758" spans="1:19" x14ac:dyDescent="0.45">
      <c r="A1758" t="str">
        <f t="shared" si="119"/>
        <v>29801</v>
      </c>
      <c r="B1758" t="s">
        <v>2370</v>
      </c>
      <c r="C1758" t="str">
        <f t="shared" si="118"/>
        <v>31201</v>
      </c>
      <c r="D1758" t="s">
        <v>9773</v>
      </c>
      <c r="E1758" t="str">
        <f>"4184"</f>
        <v>4184</v>
      </c>
      <c r="F1758" t="s">
        <v>9820</v>
      </c>
      <c r="G1758" t="s">
        <v>70</v>
      </c>
      <c r="H1758">
        <v>6</v>
      </c>
      <c r="I1758" t="s">
        <v>9821</v>
      </c>
      <c r="K1758" t="s">
        <v>2381</v>
      </c>
      <c r="L1758" t="s">
        <v>25</v>
      </c>
      <c r="M1758" t="s">
        <v>9822</v>
      </c>
      <c r="N1758" t="s">
        <v>9823</v>
      </c>
      <c r="O1758" t="s">
        <v>9824</v>
      </c>
      <c r="P1758" t="s">
        <v>9825</v>
      </c>
      <c r="Q1758" t="s">
        <v>30</v>
      </c>
      <c r="R1758" t="s">
        <v>31</v>
      </c>
      <c r="S1758" t="s">
        <v>32</v>
      </c>
    </row>
    <row r="1759" spans="1:19" x14ac:dyDescent="0.45">
      <c r="A1759" t="str">
        <f t="shared" si="119"/>
        <v>29801</v>
      </c>
      <c r="B1759" t="s">
        <v>2370</v>
      </c>
      <c r="C1759" t="str">
        <f t="shared" si="118"/>
        <v>31201</v>
      </c>
      <c r="D1759" t="s">
        <v>9773</v>
      </c>
      <c r="E1759" t="str">
        <f>"4241"</f>
        <v>4241</v>
      </c>
      <c r="F1759" t="s">
        <v>9826</v>
      </c>
      <c r="G1759" t="s">
        <v>70</v>
      </c>
      <c r="H1759">
        <v>6</v>
      </c>
      <c r="I1759" t="s">
        <v>9827</v>
      </c>
      <c r="K1759" t="s">
        <v>9739</v>
      </c>
      <c r="L1759" t="s">
        <v>25</v>
      </c>
      <c r="M1759" t="s">
        <v>9776</v>
      </c>
      <c r="N1759" t="s">
        <v>9828</v>
      </c>
      <c r="O1759" t="s">
        <v>9829</v>
      </c>
      <c r="P1759" t="s">
        <v>9830</v>
      </c>
      <c r="Q1759" t="s">
        <v>30</v>
      </c>
      <c r="R1759" t="s">
        <v>31</v>
      </c>
      <c r="S1759" t="s">
        <v>32</v>
      </c>
    </row>
    <row r="1760" spans="1:19" x14ac:dyDescent="0.45">
      <c r="A1760" t="str">
        <f t="shared" si="119"/>
        <v>29801</v>
      </c>
      <c r="B1760" t="s">
        <v>2370</v>
      </c>
      <c r="C1760" t="str">
        <f t="shared" si="118"/>
        <v>31201</v>
      </c>
      <c r="D1760" t="s">
        <v>9773</v>
      </c>
      <c r="E1760" t="str">
        <f>"4265"</f>
        <v>4265</v>
      </c>
      <c r="F1760" t="s">
        <v>9831</v>
      </c>
      <c r="G1760">
        <v>9</v>
      </c>
      <c r="H1760">
        <v>12</v>
      </c>
      <c r="I1760" t="s">
        <v>9775</v>
      </c>
      <c r="K1760" t="s">
        <v>9739</v>
      </c>
      <c r="L1760" t="s">
        <v>25</v>
      </c>
      <c r="M1760" t="s">
        <v>9776</v>
      </c>
      <c r="N1760" t="s">
        <v>9811</v>
      </c>
      <c r="O1760" t="s">
        <v>9812</v>
      </c>
      <c r="P1760" t="s">
        <v>9832</v>
      </c>
      <c r="Q1760" t="s">
        <v>157</v>
      </c>
      <c r="R1760" t="s">
        <v>158</v>
      </c>
      <c r="S1760" t="s">
        <v>58</v>
      </c>
    </row>
    <row r="1761" spans="1:19" x14ac:dyDescent="0.45">
      <c r="A1761" t="str">
        <f t="shared" si="119"/>
        <v>29801</v>
      </c>
      <c r="B1761" t="s">
        <v>2370</v>
      </c>
      <c r="C1761" t="str">
        <f t="shared" si="118"/>
        <v>31201</v>
      </c>
      <c r="D1761" t="s">
        <v>9773</v>
      </c>
      <c r="E1761" t="str">
        <f>"4366"</f>
        <v>4366</v>
      </c>
      <c r="F1761" t="s">
        <v>644</v>
      </c>
      <c r="G1761" t="s">
        <v>70</v>
      </c>
      <c r="H1761">
        <v>6</v>
      </c>
      <c r="I1761" t="s">
        <v>9833</v>
      </c>
      <c r="K1761" t="s">
        <v>9739</v>
      </c>
      <c r="L1761" t="s">
        <v>25</v>
      </c>
      <c r="M1761" t="s">
        <v>9776</v>
      </c>
      <c r="N1761" t="s">
        <v>9834</v>
      </c>
      <c r="O1761" t="s">
        <v>9835</v>
      </c>
      <c r="P1761" t="s">
        <v>9836</v>
      </c>
      <c r="Q1761" t="s">
        <v>30</v>
      </c>
      <c r="R1761" t="s">
        <v>31</v>
      </c>
      <c r="S1761" t="s">
        <v>32</v>
      </c>
    </row>
    <row r="1762" spans="1:19" x14ac:dyDescent="0.45">
      <c r="A1762" t="str">
        <f t="shared" si="119"/>
        <v>29801</v>
      </c>
      <c r="B1762" t="s">
        <v>2370</v>
      </c>
      <c r="C1762" t="str">
        <f t="shared" si="118"/>
        <v>31201</v>
      </c>
      <c r="D1762" t="s">
        <v>9773</v>
      </c>
      <c r="E1762" t="str">
        <f>"4383"</f>
        <v>4383</v>
      </c>
      <c r="F1762" t="s">
        <v>9837</v>
      </c>
      <c r="G1762" t="s">
        <v>70</v>
      </c>
      <c r="H1762">
        <v>6</v>
      </c>
      <c r="I1762" t="s">
        <v>9838</v>
      </c>
      <c r="K1762" t="s">
        <v>9739</v>
      </c>
      <c r="L1762" t="s">
        <v>25</v>
      </c>
      <c r="M1762" t="s">
        <v>9801</v>
      </c>
      <c r="N1762" t="s">
        <v>9839</v>
      </c>
      <c r="O1762" t="s">
        <v>9840</v>
      </c>
      <c r="P1762" t="s">
        <v>9841</v>
      </c>
      <c r="Q1762" t="s">
        <v>30</v>
      </c>
      <c r="R1762" t="s">
        <v>31</v>
      </c>
      <c r="S1762" t="s">
        <v>32</v>
      </c>
    </row>
    <row r="1763" spans="1:19" x14ac:dyDescent="0.45">
      <c r="A1763" t="str">
        <f t="shared" si="119"/>
        <v>29801</v>
      </c>
      <c r="B1763" t="s">
        <v>2370</v>
      </c>
      <c r="C1763" t="str">
        <f t="shared" si="118"/>
        <v>31201</v>
      </c>
      <c r="D1763" t="s">
        <v>9773</v>
      </c>
      <c r="E1763" t="str">
        <f>"4395"</f>
        <v>4395</v>
      </c>
      <c r="F1763" t="s">
        <v>9842</v>
      </c>
      <c r="G1763">
        <v>7</v>
      </c>
      <c r="H1763">
        <v>8</v>
      </c>
      <c r="I1763" t="s">
        <v>9843</v>
      </c>
      <c r="K1763" t="s">
        <v>9739</v>
      </c>
      <c r="L1763" t="s">
        <v>25</v>
      </c>
      <c r="M1763" t="s">
        <v>9776</v>
      </c>
      <c r="N1763" t="s">
        <v>9844</v>
      </c>
      <c r="O1763" t="s">
        <v>9845</v>
      </c>
      <c r="P1763" t="s">
        <v>9846</v>
      </c>
      <c r="Q1763" t="s">
        <v>30</v>
      </c>
      <c r="R1763" t="s">
        <v>31</v>
      </c>
      <c r="S1763" t="s">
        <v>104</v>
      </c>
    </row>
    <row r="1764" spans="1:19" x14ac:dyDescent="0.45">
      <c r="A1764" t="str">
        <f t="shared" si="119"/>
        <v>29801</v>
      </c>
      <c r="B1764" t="s">
        <v>2370</v>
      </c>
      <c r="C1764" t="str">
        <f>"31306"</f>
        <v>31306</v>
      </c>
      <c r="D1764" t="s">
        <v>9847</v>
      </c>
      <c r="E1764" t="str">
        <f>"3255"</f>
        <v>3255</v>
      </c>
      <c r="F1764" t="s">
        <v>9848</v>
      </c>
      <c r="G1764" t="s">
        <v>22</v>
      </c>
      <c r="H1764">
        <v>5</v>
      </c>
      <c r="I1764" t="s">
        <v>9849</v>
      </c>
      <c r="K1764" t="s">
        <v>9850</v>
      </c>
      <c r="L1764" t="s">
        <v>25</v>
      </c>
      <c r="M1764" t="s">
        <v>9851</v>
      </c>
      <c r="N1764" t="s">
        <v>9852</v>
      </c>
      <c r="O1764" t="s">
        <v>9853</v>
      </c>
      <c r="P1764" t="s">
        <v>9854</v>
      </c>
      <c r="Q1764" t="s">
        <v>30</v>
      </c>
      <c r="R1764" t="s">
        <v>31</v>
      </c>
      <c r="S1764" t="s">
        <v>32</v>
      </c>
    </row>
    <row r="1765" spans="1:19" x14ac:dyDescent="0.45">
      <c r="A1765" t="str">
        <f t="shared" si="119"/>
        <v>29801</v>
      </c>
      <c r="B1765" t="s">
        <v>2370</v>
      </c>
      <c r="C1765" t="str">
        <f>"31306"</f>
        <v>31306</v>
      </c>
      <c r="D1765" t="s">
        <v>9847</v>
      </c>
      <c r="E1765" t="str">
        <f>"3893"</f>
        <v>3893</v>
      </c>
      <c r="F1765" t="s">
        <v>9855</v>
      </c>
      <c r="G1765">
        <v>6</v>
      </c>
      <c r="H1765">
        <v>8</v>
      </c>
      <c r="I1765" t="s">
        <v>9856</v>
      </c>
      <c r="K1765" t="s">
        <v>9850</v>
      </c>
      <c r="L1765" t="s">
        <v>25</v>
      </c>
      <c r="M1765" t="s">
        <v>9857</v>
      </c>
      <c r="N1765" t="s">
        <v>9858</v>
      </c>
      <c r="O1765" t="s">
        <v>9859</v>
      </c>
      <c r="P1765" t="s">
        <v>9860</v>
      </c>
      <c r="Q1765" t="s">
        <v>30</v>
      </c>
      <c r="R1765" t="s">
        <v>31</v>
      </c>
      <c r="S1765" t="s">
        <v>104</v>
      </c>
    </row>
    <row r="1766" spans="1:19" x14ac:dyDescent="0.45">
      <c r="A1766" t="str">
        <f t="shared" si="119"/>
        <v>29801</v>
      </c>
      <c r="B1766" t="s">
        <v>2370</v>
      </c>
      <c r="C1766" t="str">
        <f>"31306"</f>
        <v>31306</v>
      </c>
      <c r="D1766" t="s">
        <v>9847</v>
      </c>
      <c r="E1766" t="str">
        <f>"4204"</f>
        <v>4204</v>
      </c>
      <c r="F1766" t="s">
        <v>9861</v>
      </c>
      <c r="G1766">
        <v>9</v>
      </c>
      <c r="H1766">
        <v>12</v>
      </c>
      <c r="I1766" t="s">
        <v>9862</v>
      </c>
      <c r="K1766" t="s">
        <v>9863</v>
      </c>
      <c r="L1766" t="s">
        <v>25</v>
      </c>
      <c r="M1766" t="s">
        <v>9864</v>
      </c>
      <c r="N1766" t="s">
        <v>9865</v>
      </c>
      <c r="O1766" t="s">
        <v>9866</v>
      </c>
      <c r="P1766" t="s">
        <v>9867</v>
      </c>
      <c r="Q1766" t="s">
        <v>30</v>
      </c>
      <c r="R1766" t="s">
        <v>31</v>
      </c>
      <c r="S1766" t="s">
        <v>58</v>
      </c>
    </row>
    <row r="1767" spans="1:19" x14ac:dyDescent="0.45">
      <c r="A1767" t="str">
        <f t="shared" si="119"/>
        <v>29801</v>
      </c>
      <c r="B1767" t="s">
        <v>2370</v>
      </c>
      <c r="C1767" t="str">
        <f>"31306"</f>
        <v>31306</v>
      </c>
      <c r="D1767" t="s">
        <v>9847</v>
      </c>
      <c r="E1767" t="str">
        <f>"4477"</f>
        <v>4477</v>
      </c>
      <c r="F1767" t="s">
        <v>9868</v>
      </c>
      <c r="G1767" t="s">
        <v>70</v>
      </c>
      <c r="H1767">
        <v>5</v>
      </c>
      <c r="I1767" t="s">
        <v>9869</v>
      </c>
      <c r="K1767" t="s">
        <v>9850</v>
      </c>
      <c r="L1767" t="s">
        <v>25</v>
      </c>
      <c r="M1767" t="s">
        <v>9870</v>
      </c>
      <c r="N1767" t="s">
        <v>9871</v>
      </c>
      <c r="O1767" t="s">
        <v>9872</v>
      </c>
      <c r="P1767" t="s">
        <v>9873</v>
      </c>
      <c r="Q1767" t="s">
        <v>30</v>
      </c>
      <c r="R1767" t="s">
        <v>31</v>
      </c>
      <c r="S1767" t="s">
        <v>32</v>
      </c>
    </row>
    <row r="1768" spans="1:19" x14ac:dyDescent="0.45">
      <c r="A1768" t="str">
        <f t="shared" si="119"/>
        <v>29801</v>
      </c>
      <c r="B1768" t="s">
        <v>2370</v>
      </c>
      <c r="C1768" t="str">
        <f>"31311"</f>
        <v>31311</v>
      </c>
      <c r="D1768" t="s">
        <v>2371</v>
      </c>
      <c r="E1768" t="str">
        <f>"1670"</f>
        <v>1670</v>
      </c>
      <c r="F1768" t="s">
        <v>9874</v>
      </c>
      <c r="G1768" t="s">
        <v>22</v>
      </c>
      <c r="H1768" t="s">
        <v>22</v>
      </c>
      <c r="I1768" t="s">
        <v>9875</v>
      </c>
      <c r="K1768" t="s">
        <v>2374</v>
      </c>
      <c r="L1768" t="s">
        <v>25</v>
      </c>
      <c r="M1768" t="s">
        <v>9876</v>
      </c>
      <c r="N1768" t="s">
        <v>9877</v>
      </c>
      <c r="O1768" t="s">
        <v>9878</v>
      </c>
      <c r="P1768" t="s">
        <v>9879</v>
      </c>
      <c r="Q1768" t="s">
        <v>66</v>
      </c>
      <c r="R1768" t="s">
        <v>67</v>
      </c>
      <c r="S1768" t="s">
        <v>1248</v>
      </c>
    </row>
    <row r="1769" spans="1:19" x14ac:dyDescent="0.45">
      <c r="A1769" t="str">
        <f t="shared" si="119"/>
        <v>29801</v>
      </c>
      <c r="B1769" t="s">
        <v>2370</v>
      </c>
      <c r="C1769" t="str">
        <f>"31311"</f>
        <v>31311</v>
      </c>
      <c r="D1769" t="s">
        <v>2371</v>
      </c>
      <c r="E1769" t="str">
        <f>"2105"</f>
        <v>2105</v>
      </c>
      <c r="F1769" t="s">
        <v>9880</v>
      </c>
      <c r="G1769">
        <v>6</v>
      </c>
      <c r="H1769">
        <v>8</v>
      </c>
      <c r="I1769" t="s">
        <v>9881</v>
      </c>
      <c r="K1769" t="s">
        <v>2374</v>
      </c>
      <c r="L1769" t="s">
        <v>25</v>
      </c>
      <c r="M1769" t="s">
        <v>9876</v>
      </c>
      <c r="N1769" t="s">
        <v>9882</v>
      </c>
      <c r="O1769" t="s">
        <v>9883</v>
      </c>
      <c r="P1769" t="s">
        <v>9884</v>
      </c>
      <c r="Q1769" t="s">
        <v>30</v>
      </c>
      <c r="R1769" t="s">
        <v>31</v>
      </c>
      <c r="S1769" t="s">
        <v>104</v>
      </c>
    </row>
    <row r="1770" spans="1:19" x14ac:dyDescent="0.45">
      <c r="A1770" t="str">
        <f t="shared" si="119"/>
        <v>29801</v>
      </c>
      <c r="B1770" t="s">
        <v>2370</v>
      </c>
      <c r="C1770" t="str">
        <f>"31311"</f>
        <v>31311</v>
      </c>
      <c r="D1770" t="s">
        <v>2371</v>
      </c>
      <c r="E1770" t="str">
        <f>"2229"</f>
        <v>2229</v>
      </c>
      <c r="F1770" t="s">
        <v>9885</v>
      </c>
      <c r="G1770" t="s">
        <v>70</v>
      </c>
      <c r="H1770">
        <v>5</v>
      </c>
      <c r="I1770" t="s">
        <v>9886</v>
      </c>
      <c r="K1770" t="s">
        <v>2374</v>
      </c>
      <c r="L1770" t="s">
        <v>25</v>
      </c>
      <c r="M1770" t="s">
        <v>9876</v>
      </c>
      <c r="N1770" t="s">
        <v>9887</v>
      </c>
      <c r="O1770" t="s">
        <v>9888</v>
      </c>
      <c r="P1770" t="s">
        <v>9889</v>
      </c>
      <c r="Q1770" t="s">
        <v>30</v>
      </c>
      <c r="R1770" t="s">
        <v>31</v>
      </c>
      <c r="S1770" t="s">
        <v>32</v>
      </c>
    </row>
    <row r="1771" spans="1:19" x14ac:dyDescent="0.45">
      <c r="A1771" t="str">
        <f t="shared" si="119"/>
        <v>29801</v>
      </c>
      <c r="B1771" t="s">
        <v>2370</v>
      </c>
      <c r="C1771" t="str">
        <f>"31311"</f>
        <v>31311</v>
      </c>
      <c r="D1771" t="s">
        <v>2371</v>
      </c>
      <c r="E1771" t="str">
        <f>"4274"</f>
        <v>4274</v>
      </c>
      <c r="F1771" t="s">
        <v>9890</v>
      </c>
      <c r="G1771">
        <v>9</v>
      </c>
      <c r="H1771">
        <v>12</v>
      </c>
      <c r="I1771" t="s">
        <v>9891</v>
      </c>
      <c r="K1771" t="s">
        <v>2374</v>
      </c>
      <c r="L1771" t="s">
        <v>25</v>
      </c>
      <c r="M1771" t="s">
        <v>9876</v>
      </c>
      <c r="N1771" t="s">
        <v>9892</v>
      </c>
      <c r="O1771" t="s">
        <v>2376</v>
      </c>
      <c r="P1771" t="s">
        <v>9893</v>
      </c>
      <c r="Q1771" t="s">
        <v>30</v>
      </c>
      <c r="R1771" t="s">
        <v>31</v>
      </c>
      <c r="S1771" t="s">
        <v>58</v>
      </c>
    </row>
    <row r="1772" spans="1:19" x14ac:dyDescent="0.45">
      <c r="A1772" t="str">
        <f t="shared" si="119"/>
        <v>29801</v>
      </c>
      <c r="B1772" t="s">
        <v>2370</v>
      </c>
      <c r="C1772" t="str">
        <f>"31311"</f>
        <v>31311</v>
      </c>
      <c r="D1772" t="s">
        <v>2371</v>
      </c>
      <c r="E1772" t="str">
        <f>"4399"</f>
        <v>4399</v>
      </c>
      <c r="F1772" t="s">
        <v>9894</v>
      </c>
      <c r="G1772" t="s">
        <v>70</v>
      </c>
      <c r="H1772">
        <v>5</v>
      </c>
      <c r="I1772" t="s">
        <v>9895</v>
      </c>
      <c r="K1772" t="s">
        <v>9896</v>
      </c>
      <c r="L1772" t="s">
        <v>25</v>
      </c>
      <c r="M1772" t="s">
        <v>9897</v>
      </c>
      <c r="N1772" t="s">
        <v>5895</v>
      </c>
      <c r="O1772" t="s">
        <v>9898</v>
      </c>
      <c r="P1772" t="s">
        <v>9899</v>
      </c>
      <c r="Q1772" t="s">
        <v>30</v>
      </c>
      <c r="R1772" t="s">
        <v>31</v>
      </c>
      <c r="S1772" t="s">
        <v>32</v>
      </c>
    </row>
    <row r="1773" spans="1:19" x14ac:dyDescent="0.45">
      <c r="A1773" t="str">
        <f t="shared" si="119"/>
        <v>29801</v>
      </c>
      <c r="B1773" t="s">
        <v>2370</v>
      </c>
      <c r="C1773" t="str">
        <f>"31330"</f>
        <v>31330</v>
      </c>
      <c r="D1773" t="s">
        <v>9900</v>
      </c>
      <c r="E1773" t="str">
        <f>"3188"</f>
        <v>3188</v>
      </c>
      <c r="F1773" t="s">
        <v>9901</v>
      </c>
      <c r="G1773">
        <v>9</v>
      </c>
      <c r="H1773">
        <v>12</v>
      </c>
      <c r="I1773" t="s">
        <v>9902</v>
      </c>
      <c r="K1773" t="s">
        <v>9903</v>
      </c>
      <c r="L1773" t="s">
        <v>25</v>
      </c>
      <c r="M1773" t="s">
        <v>9904</v>
      </c>
      <c r="N1773" t="s">
        <v>9905</v>
      </c>
      <c r="O1773" t="s">
        <v>9906</v>
      </c>
      <c r="P1773" t="s">
        <v>9907</v>
      </c>
      <c r="Q1773" t="s">
        <v>30</v>
      </c>
      <c r="R1773" t="s">
        <v>31</v>
      </c>
      <c r="S1773" t="s">
        <v>58</v>
      </c>
    </row>
    <row r="1774" spans="1:19" x14ac:dyDescent="0.45">
      <c r="A1774" t="str">
        <f t="shared" si="119"/>
        <v>29801</v>
      </c>
      <c r="B1774" t="s">
        <v>2370</v>
      </c>
      <c r="C1774" t="str">
        <f>"31330"</f>
        <v>31330</v>
      </c>
      <c r="D1774" t="s">
        <v>9900</v>
      </c>
      <c r="E1774" t="str">
        <f>"3609"</f>
        <v>3609</v>
      </c>
      <c r="F1774" t="s">
        <v>9908</v>
      </c>
      <c r="G1774" t="s">
        <v>22</v>
      </c>
      <c r="H1774">
        <v>8</v>
      </c>
      <c r="I1774" t="s">
        <v>9909</v>
      </c>
      <c r="K1774" t="s">
        <v>9903</v>
      </c>
      <c r="L1774" t="s">
        <v>25</v>
      </c>
      <c r="M1774" t="s">
        <v>9904</v>
      </c>
      <c r="N1774" t="s">
        <v>9910</v>
      </c>
      <c r="O1774" t="s">
        <v>9911</v>
      </c>
      <c r="P1774" t="s">
        <v>9912</v>
      </c>
      <c r="Q1774" t="s">
        <v>30</v>
      </c>
      <c r="R1774" t="s">
        <v>31</v>
      </c>
      <c r="S1774" t="s">
        <v>32</v>
      </c>
    </row>
    <row r="1775" spans="1:19" x14ac:dyDescent="0.45">
      <c r="A1775" t="str">
        <f t="shared" si="119"/>
        <v>29801</v>
      </c>
      <c r="B1775" t="s">
        <v>2370</v>
      </c>
      <c r="C1775" t="str">
        <f>"31332"</f>
        <v>31332</v>
      </c>
      <c r="D1775" t="s">
        <v>2476</v>
      </c>
      <c r="E1775" t="str">
        <f>"2580"</f>
        <v>2580</v>
      </c>
      <c r="F1775" t="s">
        <v>9913</v>
      </c>
      <c r="G1775">
        <v>9</v>
      </c>
      <c r="H1775">
        <v>12</v>
      </c>
      <c r="I1775" t="s">
        <v>9914</v>
      </c>
      <c r="K1775" t="s">
        <v>2479</v>
      </c>
      <c r="L1775" t="s">
        <v>25</v>
      </c>
      <c r="M1775">
        <v>98252</v>
      </c>
      <c r="N1775" t="s">
        <v>9915</v>
      </c>
      <c r="O1775" t="s">
        <v>9916</v>
      </c>
      <c r="P1775" t="s">
        <v>9917</v>
      </c>
      <c r="Q1775" t="s">
        <v>30</v>
      </c>
      <c r="R1775" t="s">
        <v>31</v>
      </c>
      <c r="S1775" t="s">
        <v>58</v>
      </c>
    </row>
    <row r="1776" spans="1:19" x14ac:dyDescent="0.45">
      <c r="A1776" t="str">
        <f t="shared" si="119"/>
        <v>29801</v>
      </c>
      <c r="B1776" t="s">
        <v>2370</v>
      </c>
      <c r="C1776" t="str">
        <f>"31332"</f>
        <v>31332</v>
      </c>
      <c r="D1776" t="s">
        <v>2476</v>
      </c>
      <c r="E1776" t="str">
        <f>"4113"</f>
        <v>4113</v>
      </c>
      <c r="F1776" t="s">
        <v>9918</v>
      </c>
      <c r="G1776">
        <v>6</v>
      </c>
      <c r="H1776">
        <v>8</v>
      </c>
      <c r="I1776" t="s">
        <v>9919</v>
      </c>
      <c r="K1776" t="s">
        <v>2479</v>
      </c>
      <c r="L1776" t="s">
        <v>25</v>
      </c>
      <c r="M1776" t="s">
        <v>9920</v>
      </c>
      <c r="N1776" t="s">
        <v>9921</v>
      </c>
      <c r="O1776" t="s">
        <v>9922</v>
      </c>
      <c r="P1776" t="s">
        <v>9923</v>
      </c>
      <c r="Q1776" t="s">
        <v>30</v>
      </c>
      <c r="R1776" t="s">
        <v>31</v>
      </c>
      <c r="S1776" t="s">
        <v>104</v>
      </c>
    </row>
    <row r="1777" spans="1:19" x14ac:dyDescent="0.45">
      <c r="A1777" t="str">
        <f t="shared" si="119"/>
        <v>29801</v>
      </c>
      <c r="B1777" t="s">
        <v>2370</v>
      </c>
      <c r="C1777" t="str">
        <f>"31332"</f>
        <v>31332</v>
      </c>
      <c r="D1777" t="s">
        <v>2476</v>
      </c>
      <c r="E1777" t="str">
        <f>"4330"</f>
        <v>4330</v>
      </c>
      <c r="F1777" t="s">
        <v>9924</v>
      </c>
      <c r="G1777" t="s">
        <v>22</v>
      </c>
      <c r="H1777">
        <v>2</v>
      </c>
      <c r="I1777" t="s">
        <v>9925</v>
      </c>
      <c r="K1777" t="s">
        <v>2479</v>
      </c>
      <c r="L1777" t="s">
        <v>25</v>
      </c>
      <c r="M1777" t="s">
        <v>9926</v>
      </c>
      <c r="N1777" t="s">
        <v>9157</v>
      </c>
      <c r="O1777" t="s">
        <v>9927</v>
      </c>
      <c r="P1777" t="s">
        <v>9928</v>
      </c>
      <c r="Q1777" t="s">
        <v>30</v>
      </c>
      <c r="R1777" t="s">
        <v>31</v>
      </c>
      <c r="S1777" t="s">
        <v>32</v>
      </c>
    </row>
    <row r="1778" spans="1:19" x14ac:dyDescent="0.45">
      <c r="A1778" t="str">
        <f t="shared" si="119"/>
        <v>29801</v>
      </c>
      <c r="B1778" t="s">
        <v>2370</v>
      </c>
      <c r="C1778" t="str">
        <f>"31332"</f>
        <v>31332</v>
      </c>
      <c r="D1778" t="s">
        <v>2476</v>
      </c>
      <c r="E1778" t="str">
        <f>"4479"</f>
        <v>4479</v>
      </c>
      <c r="F1778" t="s">
        <v>9929</v>
      </c>
      <c r="G1778">
        <v>3</v>
      </c>
      <c r="H1778">
        <v>6</v>
      </c>
      <c r="I1778" t="s">
        <v>9930</v>
      </c>
      <c r="K1778" t="s">
        <v>2479</v>
      </c>
      <c r="L1778" t="s">
        <v>25</v>
      </c>
      <c r="M1778" t="s">
        <v>9926</v>
      </c>
      <c r="N1778" t="s">
        <v>9931</v>
      </c>
      <c r="O1778" t="s">
        <v>9932</v>
      </c>
      <c r="P1778" t="s">
        <v>9933</v>
      </c>
      <c r="Q1778" t="s">
        <v>30</v>
      </c>
      <c r="R1778" t="s">
        <v>31</v>
      </c>
      <c r="S1778" t="s">
        <v>32</v>
      </c>
    </row>
    <row r="1779" spans="1:19" x14ac:dyDescent="0.45">
      <c r="A1779" t="str">
        <f t="shared" si="119"/>
        <v>29801</v>
      </c>
      <c r="B1779" t="s">
        <v>2370</v>
      </c>
      <c r="C1779" t="str">
        <f t="shared" ref="C1779:C1787" si="120">"31401"</f>
        <v>31401</v>
      </c>
      <c r="D1779" t="s">
        <v>9934</v>
      </c>
      <c r="E1779" t="str">
        <f>"1707"</f>
        <v>1707</v>
      </c>
      <c r="F1779" t="s">
        <v>9935</v>
      </c>
      <c r="G1779">
        <v>9</v>
      </c>
      <c r="H1779">
        <v>12</v>
      </c>
      <c r="I1779" t="s">
        <v>9936</v>
      </c>
      <c r="K1779" t="s">
        <v>9937</v>
      </c>
      <c r="L1779" t="s">
        <v>25</v>
      </c>
      <c r="M1779" t="s">
        <v>9938</v>
      </c>
      <c r="N1779" t="s">
        <v>9939</v>
      </c>
      <c r="O1779" t="s">
        <v>9940</v>
      </c>
      <c r="P1779" t="s">
        <v>9941</v>
      </c>
      <c r="Q1779" t="s">
        <v>157</v>
      </c>
      <c r="R1779" t="s">
        <v>158</v>
      </c>
      <c r="S1779" t="s">
        <v>58</v>
      </c>
    </row>
    <row r="1780" spans="1:19" x14ac:dyDescent="0.45">
      <c r="A1780" t="str">
        <f t="shared" si="119"/>
        <v>29801</v>
      </c>
      <c r="B1780" t="s">
        <v>2370</v>
      </c>
      <c r="C1780" t="str">
        <f t="shared" si="120"/>
        <v>31401</v>
      </c>
      <c r="D1780" t="s">
        <v>9934</v>
      </c>
      <c r="E1780" t="str">
        <f>"2400"</f>
        <v>2400</v>
      </c>
      <c r="F1780" t="s">
        <v>9942</v>
      </c>
      <c r="G1780">
        <v>6</v>
      </c>
      <c r="H1780">
        <v>8</v>
      </c>
      <c r="I1780" t="s">
        <v>9943</v>
      </c>
      <c r="K1780" t="s">
        <v>9937</v>
      </c>
      <c r="L1780" t="s">
        <v>25</v>
      </c>
      <c r="M1780" t="s">
        <v>9938</v>
      </c>
      <c r="N1780" t="s">
        <v>9944</v>
      </c>
      <c r="O1780" t="s">
        <v>9945</v>
      </c>
      <c r="P1780" t="s">
        <v>9946</v>
      </c>
      <c r="Q1780" t="s">
        <v>30</v>
      </c>
      <c r="R1780" t="s">
        <v>31</v>
      </c>
      <c r="S1780" t="s">
        <v>104</v>
      </c>
    </row>
    <row r="1781" spans="1:19" x14ac:dyDescent="0.45">
      <c r="A1781" t="str">
        <f t="shared" si="119"/>
        <v>29801</v>
      </c>
      <c r="B1781" t="s">
        <v>2370</v>
      </c>
      <c r="C1781" t="str">
        <f t="shared" si="120"/>
        <v>31401</v>
      </c>
      <c r="D1781" t="s">
        <v>9934</v>
      </c>
      <c r="E1781" t="str">
        <f>"2581"</f>
        <v>2581</v>
      </c>
      <c r="F1781" t="s">
        <v>9947</v>
      </c>
      <c r="G1781">
        <v>9</v>
      </c>
      <c r="H1781">
        <v>12</v>
      </c>
      <c r="I1781" t="s">
        <v>9936</v>
      </c>
      <c r="K1781" t="s">
        <v>9937</v>
      </c>
      <c r="L1781" t="s">
        <v>25</v>
      </c>
      <c r="M1781" t="s">
        <v>9938</v>
      </c>
      <c r="N1781" t="s">
        <v>9948</v>
      </c>
      <c r="O1781" t="s">
        <v>9949</v>
      </c>
      <c r="P1781" t="s">
        <v>9946</v>
      </c>
      <c r="Q1781" t="s">
        <v>30</v>
      </c>
      <c r="R1781" t="s">
        <v>31</v>
      </c>
      <c r="S1781" t="s">
        <v>58</v>
      </c>
    </row>
    <row r="1782" spans="1:19" x14ac:dyDescent="0.45">
      <c r="A1782" t="str">
        <f t="shared" si="119"/>
        <v>29801</v>
      </c>
      <c r="B1782" t="s">
        <v>2370</v>
      </c>
      <c r="C1782" t="str">
        <f t="shared" si="120"/>
        <v>31401</v>
      </c>
      <c r="D1782" t="s">
        <v>9934</v>
      </c>
      <c r="E1782" t="str">
        <f>"3125"</f>
        <v>3125</v>
      </c>
      <c r="F1782" t="s">
        <v>9950</v>
      </c>
      <c r="G1782" t="s">
        <v>22</v>
      </c>
      <c r="H1782">
        <v>5</v>
      </c>
      <c r="I1782" t="s">
        <v>9951</v>
      </c>
      <c r="K1782" t="s">
        <v>9937</v>
      </c>
      <c r="L1782" t="s">
        <v>25</v>
      </c>
      <c r="M1782" t="s">
        <v>9938</v>
      </c>
      <c r="N1782" t="s">
        <v>9952</v>
      </c>
      <c r="O1782" t="s">
        <v>9953</v>
      </c>
      <c r="P1782" t="s">
        <v>9954</v>
      </c>
      <c r="Q1782" t="s">
        <v>30</v>
      </c>
      <c r="R1782" t="s">
        <v>31</v>
      </c>
      <c r="S1782" t="s">
        <v>32</v>
      </c>
    </row>
    <row r="1783" spans="1:19" x14ac:dyDescent="0.45">
      <c r="A1783" t="str">
        <f t="shared" si="119"/>
        <v>29801</v>
      </c>
      <c r="B1783" t="s">
        <v>2370</v>
      </c>
      <c r="C1783" t="str">
        <f t="shared" si="120"/>
        <v>31401</v>
      </c>
      <c r="D1783" t="s">
        <v>9934</v>
      </c>
      <c r="E1783" t="str">
        <f>"4364"</f>
        <v>4364</v>
      </c>
      <c r="F1783" t="s">
        <v>9955</v>
      </c>
      <c r="G1783" t="s">
        <v>70</v>
      </c>
      <c r="H1783">
        <v>5</v>
      </c>
      <c r="I1783" t="s">
        <v>9956</v>
      </c>
      <c r="K1783" t="s">
        <v>9937</v>
      </c>
      <c r="L1783" t="s">
        <v>25</v>
      </c>
      <c r="M1783" t="s">
        <v>9938</v>
      </c>
      <c r="N1783" t="s">
        <v>9957</v>
      </c>
      <c r="O1783" t="s">
        <v>9958</v>
      </c>
      <c r="P1783" t="s">
        <v>9959</v>
      </c>
      <c r="Q1783" t="s">
        <v>30</v>
      </c>
      <c r="R1783" t="s">
        <v>31</v>
      </c>
      <c r="S1783" t="s">
        <v>32</v>
      </c>
    </row>
    <row r="1784" spans="1:19" x14ac:dyDescent="0.45">
      <c r="A1784" t="str">
        <f t="shared" si="119"/>
        <v>29801</v>
      </c>
      <c r="B1784" t="s">
        <v>2370</v>
      </c>
      <c r="C1784" t="str">
        <f t="shared" si="120"/>
        <v>31401</v>
      </c>
      <c r="D1784" t="s">
        <v>9934</v>
      </c>
      <c r="E1784" t="str">
        <f>"4512"</f>
        <v>4512</v>
      </c>
      <c r="F1784" t="s">
        <v>9960</v>
      </c>
      <c r="G1784">
        <v>6</v>
      </c>
      <c r="H1784">
        <v>8</v>
      </c>
      <c r="I1784" t="s">
        <v>9961</v>
      </c>
      <c r="K1784" t="s">
        <v>9937</v>
      </c>
      <c r="L1784" t="s">
        <v>25</v>
      </c>
      <c r="M1784" t="s">
        <v>9938</v>
      </c>
      <c r="N1784" t="s">
        <v>9962</v>
      </c>
      <c r="O1784" t="s">
        <v>9963</v>
      </c>
      <c r="P1784" t="s">
        <v>9964</v>
      </c>
      <c r="Q1784" t="s">
        <v>30</v>
      </c>
      <c r="R1784" t="s">
        <v>31</v>
      </c>
      <c r="S1784" t="s">
        <v>104</v>
      </c>
    </row>
    <row r="1785" spans="1:19" x14ac:dyDescent="0.45">
      <c r="A1785" t="str">
        <f t="shared" si="119"/>
        <v>29801</v>
      </c>
      <c r="B1785" t="s">
        <v>2370</v>
      </c>
      <c r="C1785" t="str">
        <f t="shared" si="120"/>
        <v>31401</v>
      </c>
      <c r="D1785" t="s">
        <v>9934</v>
      </c>
      <c r="E1785" t="str">
        <f>"4513"</f>
        <v>4513</v>
      </c>
      <c r="F1785" t="s">
        <v>9965</v>
      </c>
      <c r="G1785" t="s">
        <v>70</v>
      </c>
      <c r="H1785">
        <v>5</v>
      </c>
      <c r="I1785" t="s">
        <v>9966</v>
      </c>
      <c r="K1785" t="s">
        <v>9937</v>
      </c>
      <c r="L1785" t="s">
        <v>25</v>
      </c>
      <c r="M1785" t="s">
        <v>9967</v>
      </c>
      <c r="N1785" t="s">
        <v>9968</v>
      </c>
      <c r="O1785" t="s">
        <v>9969</v>
      </c>
      <c r="P1785" t="s">
        <v>9970</v>
      </c>
      <c r="Q1785" t="s">
        <v>30</v>
      </c>
      <c r="R1785" t="s">
        <v>31</v>
      </c>
      <c r="S1785" t="s">
        <v>32</v>
      </c>
    </row>
    <row r="1786" spans="1:19" x14ac:dyDescent="0.45">
      <c r="A1786" t="str">
        <f t="shared" si="119"/>
        <v>29801</v>
      </c>
      <c r="B1786" t="s">
        <v>2370</v>
      </c>
      <c r="C1786" t="str">
        <f t="shared" si="120"/>
        <v>31401</v>
      </c>
      <c r="D1786" t="s">
        <v>9934</v>
      </c>
      <c r="E1786" t="str">
        <f>"4551"</f>
        <v>4551</v>
      </c>
      <c r="F1786" t="s">
        <v>9971</v>
      </c>
      <c r="G1786" t="s">
        <v>70</v>
      </c>
      <c r="H1786">
        <v>5</v>
      </c>
      <c r="I1786" t="s">
        <v>9972</v>
      </c>
      <c r="K1786" t="s">
        <v>9973</v>
      </c>
      <c r="L1786" t="s">
        <v>25</v>
      </c>
      <c r="M1786" t="s">
        <v>9974</v>
      </c>
      <c r="N1786" t="s">
        <v>9975</v>
      </c>
      <c r="O1786" t="s">
        <v>9976</v>
      </c>
      <c r="P1786" t="s">
        <v>9977</v>
      </c>
      <c r="Q1786" t="s">
        <v>30</v>
      </c>
      <c r="R1786" t="s">
        <v>31</v>
      </c>
      <c r="S1786" t="s">
        <v>32</v>
      </c>
    </row>
    <row r="1787" spans="1:19" x14ac:dyDescent="0.45">
      <c r="A1787" t="str">
        <f t="shared" si="119"/>
        <v>29801</v>
      </c>
      <c r="B1787" t="s">
        <v>2370</v>
      </c>
      <c r="C1787" t="str">
        <f t="shared" si="120"/>
        <v>31401</v>
      </c>
      <c r="D1787" t="s">
        <v>9934</v>
      </c>
      <c r="E1787" t="str">
        <f>"4553"</f>
        <v>4553</v>
      </c>
      <c r="F1787" t="s">
        <v>9978</v>
      </c>
      <c r="G1787" t="s">
        <v>70</v>
      </c>
      <c r="H1787">
        <v>5</v>
      </c>
      <c r="I1787" t="s">
        <v>9979</v>
      </c>
      <c r="K1787" t="s">
        <v>9973</v>
      </c>
      <c r="L1787" t="s">
        <v>25</v>
      </c>
      <c r="M1787" t="s">
        <v>9974</v>
      </c>
      <c r="N1787" t="s">
        <v>9980</v>
      </c>
      <c r="O1787" t="s">
        <v>9981</v>
      </c>
      <c r="P1787" t="s">
        <v>9982</v>
      </c>
      <c r="Q1787" t="s">
        <v>30</v>
      </c>
      <c r="R1787" t="s">
        <v>31</v>
      </c>
      <c r="S1787" t="s">
        <v>32</v>
      </c>
    </row>
    <row r="1788" spans="1:19" x14ac:dyDescent="0.45">
      <c r="A1788" t="str">
        <f t="shared" ref="A1788:A1819" si="121">"32801"</f>
        <v>32801</v>
      </c>
      <c r="B1788" t="s">
        <v>1108</v>
      </c>
      <c r="C1788" t="str">
        <f t="shared" ref="C1788:C1819" si="122">"32081"</f>
        <v>32081</v>
      </c>
      <c r="D1788" t="s">
        <v>2243</v>
      </c>
      <c r="E1788" t="str">
        <f>"1533"</f>
        <v>1533</v>
      </c>
      <c r="F1788" t="s">
        <v>9983</v>
      </c>
      <c r="G1788">
        <v>6</v>
      </c>
      <c r="H1788">
        <v>12</v>
      </c>
      <c r="I1788" t="s">
        <v>9984</v>
      </c>
      <c r="K1788" t="s">
        <v>2246</v>
      </c>
      <c r="L1788" t="s">
        <v>25</v>
      </c>
      <c r="M1788">
        <v>99205</v>
      </c>
      <c r="N1788" t="s">
        <v>9985</v>
      </c>
      <c r="O1788" t="s">
        <v>9986</v>
      </c>
      <c r="P1788" t="s">
        <v>9987</v>
      </c>
      <c r="Q1788" t="s">
        <v>962</v>
      </c>
      <c r="R1788" t="s">
        <v>963</v>
      </c>
      <c r="S1788" t="s">
        <v>159</v>
      </c>
    </row>
    <row r="1789" spans="1:19" x14ac:dyDescent="0.45">
      <c r="A1789" t="str">
        <f t="shared" si="121"/>
        <v>32801</v>
      </c>
      <c r="B1789" t="s">
        <v>1108</v>
      </c>
      <c r="C1789" t="str">
        <f t="shared" si="122"/>
        <v>32081</v>
      </c>
      <c r="D1789" t="s">
        <v>2243</v>
      </c>
      <c r="E1789" t="str">
        <f>"1566"</f>
        <v>1566</v>
      </c>
      <c r="F1789" t="s">
        <v>9988</v>
      </c>
      <c r="G1789" t="s">
        <v>22</v>
      </c>
      <c r="H1789" t="s">
        <v>22</v>
      </c>
      <c r="I1789" t="s">
        <v>9989</v>
      </c>
      <c r="K1789" t="s">
        <v>2246</v>
      </c>
      <c r="L1789" t="s">
        <v>25</v>
      </c>
      <c r="M1789" t="s">
        <v>9990</v>
      </c>
      <c r="N1789" t="s">
        <v>9991</v>
      </c>
      <c r="O1789" t="s">
        <v>9992</v>
      </c>
      <c r="P1789" t="s">
        <v>9993</v>
      </c>
      <c r="Q1789" t="s">
        <v>30</v>
      </c>
      <c r="R1789" t="s">
        <v>31</v>
      </c>
      <c r="S1789" t="s">
        <v>1248</v>
      </c>
    </row>
    <row r="1790" spans="1:19" x14ac:dyDescent="0.45">
      <c r="A1790" t="str">
        <f t="shared" si="121"/>
        <v>32801</v>
      </c>
      <c r="B1790" t="s">
        <v>1108</v>
      </c>
      <c r="C1790" t="str">
        <f t="shared" si="122"/>
        <v>32081</v>
      </c>
      <c r="D1790" t="s">
        <v>2243</v>
      </c>
      <c r="E1790" t="str">
        <f>"1567"</f>
        <v>1567</v>
      </c>
      <c r="F1790" t="s">
        <v>9994</v>
      </c>
      <c r="G1790">
        <v>4</v>
      </c>
      <c r="H1790">
        <v>12</v>
      </c>
      <c r="I1790" t="s">
        <v>9995</v>
      </c>
      <c r="K1790" t="s">
        <v>2365</v>
      </c>
      <c r="L1790" t="s">
        <v>25</v>
      </c>
      <c r="M1790">
        <v>99212</v>
      </c>
      <c r="N1790" t="s">
        <v>9996</v>
      </c>
      <c r="O1790" t="s">
        <v>9997</v>
      </c>
      <c r="P1790" t="s">
        <v>9998</v>
      </c>
      <c r="Q1790" t="s">
        <v>157</v>
      </c>
      <c r="R1790" t="s">
        <v>158</v>
      </c>
      <c r="S1790" t="s">
        <v>159</v>
      </c>
    </row>
    <row r="1791" spans="1:19" x14ac:dyDescent="0.45">
      <c r="A1791" t="str">
        <f t="shared" si="121"/>
        <v>32801</v>
      </c>
      <c r="B1791" t="s">
        <v>1108</v>
      </c>
      <c r="C1791" t="str">
        <f t="shared" si="122"/>
        <v>32081</v>
      </c>
      <c r="D1791" t="s">
        <v>2243</v>
      </c>
      <c r="E1791" t="str">
        <f>"1603"</f>
        <v>1603</v>
      </c>
      <c r="F1791" t="s">
        <v>9999</v>
      </c>
      <c r="G1791">
        <v>8</v>
      </c>
      <c r="H1791">
        <v>12</v>
      </c>
      <c r="I1791" t="s">
        <v>10000</v>
      </c>
      <c r="K1791" t="s">
        <v>2246</v>
      </c>
      <c r="L1791" t="s">
        <v>25</v>
      </c>
      <c r="M1791" t="s">
        <v>10001</v>
      </c>
      <c r="N1791" t="s">
        <v>9985</v>
      </c>
      <c r="O1791" t="s">
        <v>10002</v>
      </c>
      <c r="P1791" t="s">
        <v>10003</v>
      </c>
      <c r="Q1791" t="s">
        <v>157</v>
      </c>
      <c r="R1791" t="s">
        <v>158</v>
      </c>
      <c r="S1791" t="s">
        <v>58</v>
      </c>
    </row>
    <row r="1792" spans="1:19" x14ac:dyDescent="0.45">
      <c r="A1792" t="str">
        <f t="shared" si="121"/>
        <v>32801</v>
      </c>
      <c r="B1792" t="s">
        <v>1108</v>
      </c>
      <c r="C1792" t="str">
        <f t="shared" si="122"/>
        <v>32081</v>
      </c>
      <c r="D1792" t="s">
        <v>2243</v>
      </c>
      <c r="E1792" t="str">
        <f>"1604"</f>
        <v>1604</v>
      </c>
      <c r="F1792" t="s">
        <v>10004</v>
      </c>
      <c r="G1792">
        <v>7</v>
      </c>
      <c r="H1792">
        <v>12</v>
      </c>
      <c r="I1792" t="s">
        <v>10005</v>
      </c>
      <c r="K1792" t="s">
        <v>2246</v>
      </c>
      <c r="L1792" t="s">
        <v>25</v>
      </c>
      <c r="M1792" t="s">
        <v>10006</v>
      </c>
      <c r="N1792" t="s">
        <v>9985</v>
      </c>
      <c r="O1792" t="s">
        <v>9986</v>
      </c>
      <c r="P1792" t="s">
        <v>10007</v>
      </c>
      <c r="Q1792" t="s">
        <v>962</v>
      </c>
      <c r="R1792" t="s">
        <v>963</v>
      </c>
      <c r="S1792" t="s">
        <v>159</v>
      </c>
    </row>
    <row r="1793" spans="1:19" x14ac:dyDescent="0.45">
      <c r="A1793" t="str">
        <f t="shared" si="121"/>
        <v>32801</v>
      </c>
      <c r="B1793" t="s">
        <v>1108</v>
      </c>
      <c r="C1793" t="str">
        <f t="shared" si="122"/>
        <v>32081</v>
      </c>
      <c r="D1793" t="s">
        <v>2243</v>
      </c>
      <c r="E1793" t="str">
        <f>"1698"</f>
        <v>1698</v>
      </c>
      <c r="F1793" t="s">
        <v>10008</v>
      </c>
      <c r="G1793">
        <v>12</v>
      </c>
      <c r="H1793">
        <v>12</v>
      </c>
      <c r="I1793" t="s">
        <v>10009</v>
      </c>
      <c r="K1793" t="s">
        <v>2246</v>
      </c>
      <c r="L1793" t="s">
        <v>25</v>
      </c>
      <c r="M1793" t="s">
        <v>10010</v>
      </c>
      <c r="N1793" t="s">
        <v>9985</v>
      </c>
      <c r="O1793" t="s">
        <v>9986</v>
      </c>
      <c r="P1793" t="s">
        <v>10011</v>
      </c>
      <c r="Q1793" t="s">
        <v>157</v>
      </c>
      <c r="R1793" t="s">
        <v>158</v>
      </c>
      <c r="S1793" t="s">
        <v>58</v>
      </c>
    </row>
    <row r="1794" spans="1:19" x14ac:dyDescent="0.45">
      <c r="A1794" t="str">
        <f t="shared" si="121"/>
        <v>32801</v>
      </c>
      <c r="B1794" t="s">
        <v>1108</v>
      </c>
      <c r="C1794" t="str">
        <f t="shared" si="122"/>
        <v>32081</v>
      </c>
      <c r="D1794" t="s">
        <v>2243</v>
      </c>
      <c r="E1794" t="str">
        <f>"1767"</f>
        <v>1767</v>
      </c>
      <c r="F1794" t="s">
        <v>10012</v>
      </c>
      <c r="G1794">
        <v>8</v>
      </c>
      <c r="H1794">
        <v>12</v>
      </c>
      <c r="I1794" t="s">
        <v>10013</v>
      </c>
      <c r="K1794" t="s">
        <v>2246</v>
      </c>
      <c r="L1794" t="s">
        <v>25</v>
      </c>
      <c r="M1794" t="s">
        <v>10014</v>
      </c>
      <c r="N1794" t="s">
        <v>10015</v>
      </c>
      <c r="O1794" t="s">
        <v>10016</v>
      </c>
      <c r="P1794" t="s">
        <v>10017</v>
      </c>
      <c r="Q1794" t="s">
        <v>962</v>
      </c>
      <c r="R1794" t="s">
        <v>963</v>
      </c>
      <c r="S1794" t="s">
        <v>58</v>
      </c>
    </row>
    <row r="1795" spans="1:19" x14ac:dyDescent="0.45">
      <c r="A1795" t="str">
        <f t="shared" si="121"/>
        <v>32801</v>
      </c>
      <c r="B1795" t="s">
        <v>1108</v>
      </c>
      <c r="C1795" t="str">
        <f t="shared" si="122"/>
        <v>32081</v>
      </c>
      <c r="D1795" t="s">
        <v>2243</v>
      </c>
      <c r="E1795" t="str">
        <f>"2045"</f>
        <v>2045</v>
      </c>
      <c r="F1795" t="s">
        <v>10018</v>
      </c>
      <c r="G1795" t="s">
        <v>22</v>
      </c>
      <c r="H1795">
        <v>12</v>
      </c>
      <c r="I1795" t="s">
        <v>10019</v>
      </c>
      <c r="K1795" t="s">
        <v>2246</v>
      </c>
      <c r="L1795" t="s">
        <v>25</v>
      </c>
      <c r="M1795" t="s">
        <v>10020</v>
      </c>
      <c r="N1795" t="s">
        <v>10021</v>
      </c>
      <c r="O1795" t="s">
        <v>10022</v>
      </c>
      <c r="P1795" t="s">
        <v>10023</v>
      </c>
      <c r="Q1795" t="s">
        <v>66</v>
      </c>
      <c r="R1795" t="s">
        <v>67</v>
      </c>
      <c r="S1795" t="s">
        <v>68</v>
      </c>
    </row>
    <row r="1796" spans="1:19" x14ac:dyDescent="0.45">
      <c r="A1796" t="str">
        <f t="shared" si="121"/>
        <v>32801</v>
      </c>
      <c r="B1796" t="s">
        <v>1108</v>
      </c>
      <c r="C1796" t="str">
        <f t="shared" si="122"/>
        <v>32081</v>
      </c>
      <c r="D1796" t="s">
        <v>2243</v>
      </c>
      <c r="E1796" t="str">
        <f>"2056"</f>
        <v>2056</v>
      </c>
      <c r="F1796" t="s">
        <v>10024</v>
      </c>
      <c r="G1796" t="s">
        <v>22</v>
      </c>
      <c r="H1796">
        <v>6</v>
      </c>
      <c r="I1796" t="s">
        <v>10025</v>
      </c>
      <c r="K1796" t="s">
        <v>2246</v>
      </c>
      <c r="L1796" t="s">
        <v>25</v>
      </c>
      <c r="M1796" t="s">
        <v>10026</v>
      </c>
      <c r="N1796" t="s">
        <v>10027</v>
      </c>
      <c r="O1796" t="s">
        <v>10028</v>
      </c>
      <c r="P1796" t="s">
        <v>10029</v>
      </c>
      <c r="Q1796" t="s">
        <v>30</v>
      </c>
      <c r="R1796" t="s">
        <v>31</v>
      </c>
      <c r="S1796" t="s">
        <v>32</v>
      </c>
    </row>
    <row r="1797" spans="1:19" x14ac:dyDescent="0.45">
      <c r="A1797" t="str">
        <f t="shared" si="121"/>
        <v>32801</v>
      </c>
      <c r="B1797" t="s">
        <v>1108</v>
      </c>
      <c r="C1797" t="str">
        <f t="shared" si="122"/>
        <v>32081</v>
      </c>
      <c r="D1797" t="s">
        <v>2243</v>
      </c>
      <c r="E1797" t="str">
        <f>"2086"</f>
        <v>2086</v>
      </c>
      <c r="F1797" t="s">
        <v>10030</v>
      </c>
      <c r="G1797" t="s">
        <v>22</v>
      </c>
      <c r="H1797">
        <v>6</v>
      </c>
      <c r="I1797" t="s">
        <v>10031</v>
      </c>
      <c r="K1797" t="s">
        <v>2246</v>
      </c>
      <c r="L1797" t="s">
        <v>25</v>
      </c>
      <c r="M1797" t="s">
        <v>10032</v>
      </c>
      <c r="N1797" t="s">
        <v>10033</v>
      </c>
      <c r="O1797" t="s">
        <v>10034</v>
      </c>
      <c r="P1797" t="s">
        <v>10035</v>
      </c>
      <c r="Q1797" t="s">
        <v>30</v>
      </c>
      <c r="R1797" t="s">
        <v>31</v>
      </c>
      <c r="S1797" t="s">
        <v>32</v>
      </c>
    </row>
    <row r="1798" spans="1:19" x14ac:dyDescent="0.45">
      <c r="A1798" t="str">
        <f t="shared" si="121"/>
        <v>32801</v>
      </c>
      <c r="B1798" t="s">
        <v>1108</v>
      </c>
      <c r="C1798" t="str">
        <f t="shared" si="122"/>
        <v>32081</v>
      </c>
      <c r="D1798" t="s">
        <v>2243</v>
      </c>
      <c r="E1798" t="str">
        <f>"2096"</f>
        <v>2096</v>
      </c>
      <c r="F1798" t="s">
        <v>10036</v>
      </c>
      <c r="G1798" t="s">
        <v>22</v>
      </c>
      <c r="H1798">
        <v>6</v>
      </c>
      <c r="I1798" t="s">
        <v>10037</v>
      </c>
      <c r="K1798" t="s">
        <v>2246</v>
      </c>
      <c r="L1798" t="s">
        <v>25</v>
      </c>
      <c r="M1798" t="s">
        <v>10038</v>
      </c>
      <c r="N1798" t="s">
        <v>10039</v>
      </c>
      <c r="O1798" t="s">
        <v>10040</v>
      </c>
      <c r="P1798" t="s">
        <v>10041</v>
      </c>
      <c r="Q1798" t="s">
        <v>30</v>
      </c>
      <c r="R1798" t="s">
        <v>31</v>
      </c>
      <c r="S1798" t="s">
        <v>32</v>
      </c>
    </row>
    <row r="1799" spans="1:19" x14ac:dyDescent="0.45">
      <c r="A1799" t="str">
        <f t="shared" si="121"/>
        <v>32801</v>
      </c>
      <c r="B1799" t="s">
        <v>1108</v>
      </c>
      <c r="C1799" t="str">
        <f t="shared" si="122"/>
        <v>32081</v>
      </c>
      <c r="D1799" t="s">
        <v>2243</v>
      </c>
      <c r="E1799" t="str">
        <f>"2106"</f>
        <v>2106</v>
      </c>
      <c r="F1799" t="s">
        <v>10042</v>
      </c>
      <c r="G1799">
        <v>7</v>
      </c>
      <c r="H1799">
        <v>12</v>
      </c>
      <c r="I1799" t="s">
        <v>10043</v>
      </c>
      <c r="K1799" t="s">
        <v>2246</v>
      </c>
      <c r="L1799" t="s">
        <v>25</v>
      </c>
      <c r="M1799" t="s">
        <v>10044</v>
      </c>
      <c r="N1799" t="s">
        <v>10045</v>
      </c>
      <c r="O1799" t="s">
        <v>10046</v>
      </c>
      <c r="P1799" t="s">
        <v>10047</v>
      </c>
      <c r="Q1799" t="s">
        <v>30</v>
      </c>
      <c r="R1799" t="s">
        <v>31</v>
      </c>
      <c r="S1799" t="s">
        <v>159</v>
      </c>
    </row>
    <row r="1800" spans="1:19" x14ac:dyDescent="0.45">
      <c r="A1800" t="str">
        <f t="shared" si="121"/>
        <v>32801</v>
      </c>
      <c r="B1800" t="s">
        <v>1108</v>
      </c>
      <c r="C1800" t="str">
        <f t="shared" si="122"/>
        <v>32081</v>
      </c>
      <c r="D1800" t="s">
        <v>2243</v>
      </c>
      <c r="E1800" t="str">
        <f>"2108"</f>
        <v>2108</v>
      </c>
      <c r="F1800" t="s">
        <v>10048</v>
      </c>
      <c r="G1800" t="s">
        <v>22</v>
      </c>
      <c r="H1800">
        <v>6</v>
      </c>
      <c r="I1800" t="s">
        <v>10049</v>
      </c>
      <c r="K1800" t="s">
        <v>2246</v>
      </c>
      <c r="L1800" t="s">
        <v>25</v>
      </c>
      <c r="M1800" t="s">
        <v>10050</v>
      </c>
      <c r="N1800" t="s">
        <v>10051</v>
      </c>
      <c r="O1800" t="s">
        <v>10052</v>
      </c>
      <c r="P1800" t="s">
        <v>10053</v>
      </c>
      <c r="Q1800" t="s">
        <v>30</v>
      </c>
      <c r="R1800" t="s">
        <v>31</v>
      </c>
      <c r="S1800" t="s">
        <v>32</v>
      </c>
    </row>
    <row r="1801" spans="1:19" x14ac:dyDescent="0.45">
      <c r="A1801" t="str">
        <f t="shared" si="121"/>
        <v>32801</v>
      </c>
      <c r="B1801" t="s">
        <v>1108</v>
      </c>
      <c r="C1801" t="str">
        <f t="shared" si="122"/>
        <v>32081</v>
      </c>
      <c r="D1801" t="s">
        <v>2243</v>
      </c>
      <c r="E1801" t="str">
        <f>"2109"</f>
        <v>2109</v>
      </c>
      <c r="F1801" t="s">
        <v>10054</v>
      </c>
      <c r="G1801" t="s">
        <v>22</v>
      </c>
      <c r="H1801">
        <v>6</v>
      </c>
      <c r="I1801" t="s">
        <v>10055</v>
      </c>
      <c r="K1801" t="s">
        <v>2246</v>
      </c>
      <c r="L1801" t="s">
        <v>25</v>
      </c>
      <c r="M1801" t="s">
        <v>10056</v>
      </c>
      <c r="N1801" t="s">
        <v>10057</v>
      </c>
      <c r="O1801" t="s">
        <v>10058</v>
      </c>
      <c r="P1801" t="s">
        <v>10059</v>
      </c>
      <c r="Q1801" t="s">
        <v>30</v>
      </c>
      <c r="R1801" t="s">
        <v>31</v>
      </c>
      <c r="S1801" t="s">
        <v>32</v>
      </c>
    </row>
    <row r="1802" spans="1:19" x14ac:dyDescent="0.45">
      <c r="A1802" t="str">
        <f t="shared" si="121"/>
        <v>32801</v>
      </c>
      <c r="B1802" t="s">
        <v>1108</v>
      </c>
      <c r="C1802" t="str">
        <f t="shared" si="122"/>
        <v>32081</v>
      </c>
      <c r="D1802" t="s">
        <v>2243</v>
      </c>
      <c r="E1802" t="str">
        <f>"2110"</f>
        <v>2110</v>
      </c>
      <c r="F1802" t="s">
        <v>10060</v>
      </c>
      <c r="G1802" t="s">
        <v>22</v>
      </c>
      <c r="H1802">
        <v>6</v>
      </c>
      <c r="I1802" t="s">
        <v>10061</v>
      </c>
      <c r="K1802" t="s">
        <v>2246</v>
      </c>
      <c r="L1802" t="s">
        <v>25</v>
      </c>
      <c r="M1802" t="s">
        <v>10062</v>
      </c>
      <c r="N1802" t="s">
        <v>10063</v>
      </c>
      <c r="O1802" t="s">
        <v>10064</v>
      </c>
      <c r="P1802" t="s">
        <v>10065</v>
      </c>
      <c r="Q1802" t="s">
        <v>30</v>
      </c>
      <c r="R1802" t="s">
        <v>31</v>
      </c>
      <c r="S1802" t="s">
        <v>32</v>
      </c>
    </row>
    <row r="1803" spans="1:19" x14ac:dyDescent="0.45">
      <c r="A1803" t="str">
        <f t="shared" si="121"/>
        <v>32801</v>
      </c>
      <c r="B1803" t="s">
        <v>1108</v>
      </c>
      <c r="C1803" t="str">
        <f t="shared" si="122"/>
        <v>32081</v>
      </c>
      <c r="D1803" t="s">
        <v>2243</v>
      </c>
      <c r="E1803" t="str">
        <f>"2111"</f>
        <v>2111</v>
      </c>
      <c r="F1803" t="s">
        <v>1470</v>
      </c>
      <c r="G1803" t="s">
        <v>22</v>
      </c>
      <c r="H1803">
        <v>6</v>
      </c>
      <c r="I1803" t="s">
        <v>10066</v>
      </c>
      <c r="K1803" t="s">
        <v>2246</v>
      </c>
      <c r="L1803" t="s">
        <v>25</v>
      </c>
      <c r="M1803" t="s">
        <v>10067</v>
      </c>
      <c r="N1803" t="s">
        <v>10068</v>
      </c>
      <c r="O1803" t="s">
        <v>10069</v>
      </c>
      <c r="P1803" t="s">
        <v>10070</v>
      </c>
      <c r="Q1803" t="s">
        <v>30</v>
      </c>
      <c r="R1803" t="s">
        <v>31</v>
      </c>
      <c r="S1803" t="s">
        <v>32</v>
      </c>
    </row>
    <row r="1804" spans="1:19" x14ac:dyDescent="0.45">
      <c r="A1804" t="str">
        <f t="shared" si="121"/>
        <v>32801</v>
      </c>
      <c r="B1804" t="s">
        <v>1108</v>
      </c>
      <c r="C1804" t="str">
        <f t="shared" si="122"/>
        <v>32081</v>
      </c>
      <c r="D1804" t="s">
        <v>2243</v>
      </c>
      <c r="E1804" t="str">
        <f>"2127"</f>
        <v>2127</v>
      </c>
      <c r="F1804" t="s">
        <v>1751</v>
      </c>
      <c r="G1804" t="s">
        <v>22</v>
      </c>
      <c r="H1804">
        <v>6</v>
      </c>
      <c r="I1804" t="s">
        <v>10071</v>
      </c>
      <c r="K1804" t="s">
        <v>2246</v>
      </c>
      <c r="L1804" t="s">
        <v>25</v>
      </c>
      <c r="M1804" t="s">
        <v>10072</v>
      </c>
      <c r="N1804" t="s">
        <v>10073</v>
      </c>
      <c r="O1804" t="s">
        <v>10074</v>
      </c>
      <c r="P1804" t="s">
        <v>10075</v>
      </c>
      <c r="Q1804" t="s">
        <v>30</v>
      </c>
      <c r="R1804" t="s">
        <v>31</v>
      </c>
      <c r="S1804" t="s">
        <v>32</v>
      </c>
    </row>
    <row r="1805" spans="1:19" x14ac:dyDescent="0.45">
      <c r="A1805" t="str">
        <f t="shared" si="121"/>
        <v>32801</v>
      </c>
      <c r="B1805" t="s">
        <v>1108</v>
      </c>
      <c r="C1805" t="str">
        <f t="shared" si="122"/>
        <v>32081</v>
      </c>
      <c r="D1805" t="s">
        <v>2243</v>
      </c>
      <c r="E1805" t="str">
        <f>"2128"</f>
        <v>2128</v>
      </c>
      <c r="F1805" t="s">
        <v>5879</v>
      </c>
      <c r="G1805" t="s">
        <v>22</v>
      </c>
      <c r="H1805">
        <v>6</v>
      </c>
      <c r="I1805" t="s">
        <v>10076</v>
      </c>
      <c r="K1805" t="s">
        <v>2246</v>
      </c>
      <c r="L1805" t="s">
        <v>25</v>
      </c>
      <c r="M1805" t="s">
        <v>10077</v>
      </c>
      <c r="N1805" t="s">
        <v>10078</v>
      </c>
      <c r="O1805" t="s">
        <v>10079</v>
      </c>
      <c r="P1805" t="s">
        <v>10080</v>
      </c>
      <c r="Q1805" t="s">
        <v>30</v>
      </c>
      <c r="R1805" t="s">
        <v>31</v>
      </c>
      <c r="S1805" t="s">
        <v>32</v>
      </c>
    </row>
    <row r="1806" spans="1:19" x14ac:dyDescent="0.45">
      <c r="A1806" t="str">
        <f t="shared" si="121"/>
        <v>32801</v>
      </c>
      <c r="B1806" t="s">
        <v>1108</v>
      </c>
      <c r="C1806" t="str">
        <f t="shared" si="122"/>
        <v>32081</v>
      </c>
      <c r="D1806" t="s">
        <v>2243</v>
      </c>
      <c r="E1806" t="str">
        <f>"2129"</f>
        <v>2129</v>
      </c>
      <c r="F1806" t="s">
        <v>10081</v>
      </c>
      <c r="G1806" t="s">
        <v>22</v>
      </c>
      <c r="H1806">
        <v>6</v>
      </c>
      <c r="I1806" t="s">
        <v>10082</v>
      </c>
      <c r="K1806" t="s">
        <v>2246</v>
      </c>
      <c r="L1806" t="s">
        <v>25</v>
      </c>
      <c r="M1806" t="s">
        <v>10083</v>
      </c>
      <c r="N1806" t="s">
        <v>10084</v>
      </c>
      <c r="O1806" t="s">
        <v>10085</v>
      </c>
      <c r="P1806" t="s">
        <v>10086</v>
      </c>
      <c r="Q1806" t="s">
        <v>30</v>
      </c>
      <c r="R1806" t="s">
        <v>31</v>
      </c>
      <c r="S1806" t="s">
        <v>32</v>
      </c>
    </row>
    <row r="1807" spans="1:19" x14ac:dyDescent="0.45">
      <c r="A1807" t="str">
        <f t="shared" si="121"/>
        <v>32801</v>
      </c>
      <c r="B1807" t="s">
        <v>1108</v>
      </c>
      <c r="C1807" t="str">
        <f t="shared" si="122"/>
        <v>32081</v>
      </c>
      <c r="D1807" t="s">
        <v>2243</v>
      </c>
      <c r="E1807" t="str">
        <f>"2155"</f>
        <v>2155</v>
      </c>
      <c r="F1807" t="s">
        <v>10087</v>
      </c>
      <c r="G1807" t="s">
        <v>22</v>
      </c>
      <c r="H1807">
        <v>6</v>
      </c>
      <c r="I1807" t="s">
        <v>10088</v>
      </c>
      <c r="K1807" t="s">
        <v>2246</v>
      </c>
      <c r="L1807" t="s">
        <v>25</v>
      </c>
      <c r="M1807" t="s">
        <v>10089</v>
      </c>
      <c r="N1807" t="s">
        <v>10090</v>
      </c>
      <c r="O1807" t="s">
        <v>10091</v>
      </c>
      <c r="P1807" t="s">
        <v>10092</v>
      </c>
      <c r="Q1807" t="s">
        <v>30</v>
      </c>
      <c r="R1807" t="s">
        <v>31</v>
      </c>
      <c r="S1807" t="s">
        <v>32</v>
      </c>
    </row>
    <row r="1808" spans="1:19" x14ac:dyDescent="0.45">
      <c r="A1808" t="str">
        <f t="shared" si="121"/>
        <v>32801</v>
      </c>
      <c r="B1808" t="s">
        <v>1108</v>
      </c>
      <c r="C1808" t="str">
        <f t="shared" si="122"/>
        <v>32081</v>
      </c>
      <c r="D1808" t="s">
        <v>2243</v>
      </c>
      <c r="E1808" t="str">
        <f>"2156"</f>
        <v>2156</v>
      </c>
      <c r="F1808" t="s">
        <v>10093</v>
      </c>
      <c r="G1808" t="s">
        <v>22</v>
      </c>
      <c r="H1808">
        <v>6</v>
      </c>
      <c r="I1808" t="s">
        <v>10094</v>
      </c>
      <c r="K1808" t="s">
        <v>2246</v>
      </c>
      <c r="L1808" t="s">
        <v>25</v>
      </c>
      <c r="M1808" t="s">
        <v>10095</v>
      </c>
      <c r="N1808" t="s">
        <v>10096</v>
      </c>
      <c r="O1808" t="s">
        <v>10097</v>
      </c>
      <c r="P1808" t="s">
        <v>10098</v>
      </c>
      <c r="Q1808" t="s">
        <v>30</v>
      </c>
      <c r="R1808" t="s">
        <v>31</v>
      </c>
      <c r="S1808" t="s">
        <v>32</v>
      </c>
    </row>
    <row r="1809" spans="1:19" x14ac:dyDescent="0.45">
      <c r="A1809" t="str">
        <f t="shared" si="121"/>
        <v>32801</v>
      </c>
      <c r="B1809" t="s">
        <v>1108</v>
      </c>
      <c r="C1809" t="str">
        <f t="shared" si="122"/>
        <v>32081</v>
      </c>
      <c r="D1809" t="s">
        <v>2243</v>
      </c>
      <c r="E1809" t="str">
        <f>"2172"</f>
        <v>2172</v>
      </c>
      <c r="F1809" t="s">
        <v>10099</v>
      </c>
      <c r="G1809">
        <v>9</v>
      </c>
      <c r="H1809">
        <v>12</v>
      </c>
      <c r="I1809" t="s">
        <v>10100</v>
      </c>
      <c r="K1809" t="s">
        <v>2246</v>
      </c>
      <c r="L1809" t="s">
        <v>25</v>
      </c>
      <c r="M1809" t="s">
        <v>10101</v>
      </c>
      <c r="N1809" t="s">
        <v>10102</v>
      </c>
      <c r="O1809" t="s">
        <v>10103</v>
      </c>
      <c r="P1809" t="s">
        <v>10104</v>
      </c>
      <c r="Q1809" t="s">
        <v>30</v>
      </c>
      <c r="R1809" t="s">
        <v>31</v>
      </c>
      <c r="S1809" t="s">
        <v>58</v>
      </c>
    </row>
    <row r="1810" spans="1:19" x14ac:dyDescent="0.45">
      <c r="A1810" t="str">
        <f t="shared" si="121"/>
        <v>32801</v>
      </c>
      <c r="B1810" t="s">
        <v>1108</v>
      </c>
      <c r="C1810" t="str">
        <f t="shared" si="122"/>
        <v>32081</v>
      </c>
      <c r="D1810" t="s">
        <v>2243</v>
      </c>
      <c r="E1810" t="str">
        <f>"2191"</f>
        <v>2191</v>
      </c>
      <c r="F1810" t="s">
        <v>10105</v>
      </c>
      <c r="G1810" t="s">
        <v>22</v>
      </c>
      <c r="H1810">
        <v>6</v>
      </c>
      <c r="I1810" t="s">
        <v>10106</v>
      </c>
      <c r="K1810" t="s">
        <v>2246</v>
      </c>
      <c r="L1810" t="s">
        <v>25</v>
      </c>
      <c r="M1810" t="s">
        <v>10107</v>
      </c>
      <c r="N1810" t="s">
        <v>10108</v>
      </c>
      <c r="O1810" t="s">
        <v>10109</v>
      </c>
      <c r="P1810" t="s">
        <v>10110</v>
      </c>
      <c r="Q1810" t="s">
        <v>30</v>
      </c>
      <c r="R1810" t="s">
        <v>31</v>
      </c>
      <c r="S1810" t="s">
        <v>32</v>
      </c>
    </row>
    <row r="1811" spans="1:19" x14ac:dyDescent="0.45">
      <c r="A1811" t="str">
        <f t="shared" si="121"/>
        <v>32801</v>
      </c>
      <c r="B1811" t="s">
        <v>1108</v>
      </c>
      <c r="C1811" t="str">
        <f t="shared" si="122"/>
        <v>32081</v>
      </c>
      <c r="D1811" t="s">
        <v>2243</v>
      </c>
      <c r="E1811" t="str">
        <f>"2218"</f>
        <v>2218</v>
      </c>
      <c r="F1811" t="s">
        <v>10111</v>
      </c>
      <c r="G1811" t="s">
        <v>22</v>
      </c>
      <c r="H1811">
        <v>6</v>
      </c>
      <c r="I1811" t="s">
        <v>10112</v>
      </c>
      <c r="K1811" t="s">
        <v>2246</v>
      </c>
      <c r="L1811" t="s">
        <v>25</v>
      </c>
      <c r="M1811" t="s">
        <v>10113</v>
      </c>
      <c r="N1811" t="s">
        <v>10114</v>
      </c>
      <c r="O1811" t="s">
        <v>10115</v>
      </c>
      <c r="P1811" t="s">
        <v>10116</v>
      </c>
      <c r="Q1811" t="s">
        <v>30</v>
      </c>
      <c r="R1811" t="s">
        <v>31</v>
      </c>
      <c r="S1811" t="s">
        <v>32</v>
      </c>
    </row>
    <row r="1812" spans="1:19" x14ac:dyDescent="0.45">
      <c r="A1812" t="str">
        <f t="shared" si="121"/>
        <v>32801</v>
      </c>
      <c r="B1812" t="s">
        <v>1108</v>
      </c>
      <c r="C1812" t="str">
        <f t="shared" si="122"/>
        <v>32081</v>
      </c>
      <c r="D1812" t="s">
        <v>2243</v>
      </c>
      <c r="E1812" t="str">
        <f>"2258"</f>
        <v>2258</v>
      </c>
      <c r="F1812" t="s">
        <v>10117</v>
      </c>
      <c r="G1812" t="s">
        <v>22</v>
      </c>
      <c r="H1812">
        <v>6</v>
      </c>
      <c r="I1812" t="s">
        <v>10118</v>
      </c>
      <c r="K1812" t="s">
        <v>2246</v>
      </c>
      <c r="L1812" t="s">
        <v>25</v>
      </c>
      <c r="M1812" t="s">
        <v>10119</v>
      </c>
      <c r="N1812" t="s">
        <v>10120</v>
      </c>
      <c r="O1812" t="s">
        <v>10121</v>
      </c>
      <c r="P1812" t="s">
        <v>10122</v>
      </c>
      <c r="Q1812" t="s">
        <v>30</v>
      </c>
      <c r="R1812" t="s">
        <v>31</v>
      </c>
      <c r="S1812" t="s">
        <v>32</v>
      </c>
    </row>
    <row r="1813" spans="1:19" x14ac:dyDescent="0.45">
      <c r="A1813" t="str">
        <f t="shared" si="121"/>
        <v>32801</v>
      </c>
      <c r="B1813" t="s">
        <v>1108</v>
      </c>
      <c r="C1813" t="str">
        <f t="shared" si="122"/>
        <v>32081</v>
      </c>
      <c r="D1813" t="s">
        <v>2243</v>
      </c>
      <c r="E1813" t="str">
        <f>"2296"</f>
        <v>2296</v>
      </c>
      <c r="F1813" t="s">
        <v>10123</v>
      </c>
      <c r="G1813" t="s">
        <v>22</v>
      </c>
      <c r="H1813">
        <v>6</v>
      </c>
      <c r="I1813" t="s">
        <v>10124</v>
      </c>
      <c r="K1813" t="s">
        <v>2246</v>
      </c>
      <c r="L1813" t="s">
        <v>25</v>
      </c>
      <c r="M1813" t="s">
        <v>10125</v>
      </c>
      <c r="N1813" t="s">
        <v>10126</v>
      </c>
      <c r="O1813" t="s">
        <v>10127</v>
      </c>
      <c r="P1813" t="s">
        <v>10128</v>
      </c>
      <c r="Q1813" t="s">
        <v>30</v>
      </c>
      <c r="R1813" t="s">
        <v>31</v>
      </c>
      <c r="S1813" t="s">
        <v>32</v>
      </c>
    </row>
    <row r="1814" spans="1:19" x14ac:dyDescent="0.45">
      <c r="A1814" t="str">
        <f t="shared" si="121"/>
        <v>32801</v>
      </c>
      <c r="B1814" t="s">
        <v>1108</v>
      </c>
      <c r="C1814" t="str">
        <f t="shared" si="122"/>
        <v>32081</v>
      </c>
      <c r="D1814" t="s">
        <v>2243</v>
      </c>
      <c r="E1814" t="str">
        <f>"2312"</f>
        <v>2312</v>
      </c>
      <c r="F1814" t="s">
        <v>10129</v>
      </c>
      <c r="G1814" t="s">
        <v>22</v>
      </c>
      <c r="H1814">
        <v>6</v>
      </c>
      <c r="I1814" t="s">
        <v>10130</v>
      </c>
      <c r="K1814" t="s">
        <v>2246</v>
      </c>
      <c r="L1814" t="s">
        <v>25</v>
      </c>
      <c r="M1814" t="s">
        <v>10131</v>
      </c>
      <c r="N1814" t="s">
        <v>10132</v>
      </c>
      <c r="O1814" t="s">
        <v>10133</v>
      </c>
      <c r="P1814" t="s">
        <v>10134</v>
      </c>
      <c r="Q1814" t="s">
        <v>30</v>
      </c>
      <c r="R1814" t="s">
        <v>31</v>
      </c>
      <c r="S1814" t="s">
        <v>32</v>
      </c>
    </row>
    <row r="1815" spans="1:19" x14ac:dyDescent="0.45">
      <c r="A1815" t="str">
        <f t="shared" si="121"/>
        <v>32801</v>
      </c>
      <c r="B1815" t="s">
        <v>1108</v>
      </c>
      <c r="C1815" t="str">
        <f t="shared" si="122"/>
        <v>32081</v>
      </c>
      <c r="D1815" t="s">
        <v>2243</v>
      </c>
      <c r="E1815" t="str">
        <f>"2381"</f>
        <v>2381</v>
      </c>
      <c r="F1815" t="s">
        <v>10135</v>
      </c>
      <c r="G1815" t="s">
        <v>22</v>
      </c>
      <c r="H1815">
        <v>6</v>
      </c>
      <c r="I1815" t="s">
        <v>10136</v>
      </c>
      <c r="K1815" t="s">
        <v>2246</v>
      </c>
      <c r="L1815" t="s">
        <v>25</v>
      </c>
      <c r="M1815" t="s">
        <v>10137</v>
      </c>
      <c r="N1815" t="s">
        <v>10138</v>
      </c>
      <c r="O1815" t="s">
        <v>10139</v>
      </c>
      <c r="P1815" t="s">
        <v>10140</v>
      </c>
      <c r="Q1815" t="s">
        <v>30</v>
      </c>
      <c r="R1815" t="s">
        <v>31</v>
      </c>
      <c r="S1815" t="s">
        <v>32</v>
      </c>
    </row>
    <row r="1816" spans="1:19" x14ac:dyDescent="0.45">
      <c r="A1816" t="str">
        <f t="shared" si="121"/>
        <v>32801</v>
      </c>
      <c r="B1816" t="s">
        <v>1108</v>
      </c>
      <c r="C1816" t="str">
        <f t="shared" si="122"/>
        <v>32081</v>
      </c>
      <c r="D1816" t="s">
        <v>2243</v>
      </c>
      <c r="E1816" t="str">
        <f>"2401"</f>
        <v>2401</v>
      </c>
      <c r="F1816" t="s">
        <v>10141</v>
      </c>
      <c r="G1816" t="s">
        <v>70</v>
      </c>
      <c r="H1816">
        <v>8</v>
      </c>
      <c r="I1816" t="s">
        <v>10142</v>
      </c>
      <c r="K1816" t="s">
        <v>2246</v>
      </c>
      <c r="L1816" t="s">
        <v>25</v>
      </c>
      <c r="M1816" t="s">
        <v>10143</v>
      </c>
      <c r="N1816" t="s">
        <v>10144</v>
      </c>
      <c r="O1816" t="s">
        <v>10145</v>
      </c>
      <c r="P1816" t="s">
        <v>10146</v>
      </c>
      <c r="Q1816" t="s">
        <v>66</v>
      </c>
      <c r="R1816" t="s">
        <v>67</v>
      </c>
      <c r="S1816" t="s">
        <v>104</v>
      </c>
    </row>
    <row r="1817" spans="1:19" x14ac:dyDescent="0.45">
      <c r="A1817" t="str">
        <f t="shared" si="121"/>
        <v>32801</v>
      </c>
      <c r="B1817" t="s">
        <v>1108</v>
      </c>
      <c r="C1817" t="str">
        <f t="shared" si="122"/>
        <v>32081</v>
      </c>
      <c r="D1817" t="s">
        <v>2243</v>
      </c>
      <c r="E1817" t="str">
        <f>"2479"</f>
        <v>2479</v>
      </c>
      <c r="F1817" t="s">
        <v>7729</v>
      </c>
      <c r="G1817">
        <v>9</v>
      </c>
      <c r="H1817">
        <v>12</v>
      </c>
      <c r="I1817" t="s">
        <v>10147</v>
      </c>
      <c r="K1817" t="s">
        <v>2246</v>
      </c>
      <c r="L1817" t="s">
        <v>25</v>
      </c>
      <c r="M1817" t="s">
        <v>10148</v>
      </c>
      <c r="N1817" t="s">
        <v>10149</v>
      </c>
      <c r="O1817" t="s">
        <v>10150</v>
      </c>
      <c r="P1817" t="s">
        <v>10151</v>
      </c>
      <c r="Q1817" t="s">
        <v>30</v>
      </c>
      <c r="R1817" t="s">
        <v>31</v>
      </c>
      <c r="S1817" t="s">
        <v>58</v>
      </c>
    </row>
    <row r="1818" spans="1:19" x14ac:dyDescent="0.45">
      <c r="A1818" t="str">
        <f t="shared" si="121"/>
        <v>32801</v>
      </c>
      <c r="B1818" t="s">
        <v>1108</v>
      </c>
      <c r="C1818" t="str">
        <f t="shared" si="122"/>
        <v>32081</v>
      </c>
      <c r="D1818" t="s">
        <v>2243</v>
      </c>
      <c r="E1818" t="str">
        <f>"2708"</f>
        <v>2708</v>
      </c>
      <c r="F1818" t="s">
        <v>8999</v>
      </c>
      <c r="G1818" t="s">
        <v>70</v>
      </c>
      <c r="H1818">
        <v>6</v>
      </c>
      <c r="I1818" t="s">
        <v>10152</v>
      </c>
      <c r="K1818" t="s">
        <v>2246</v>
      </c>
      <c r="L1818" t="s">
        <v>25</v>
      </c>
      <c r="M1818" t="s">
        <v>10153</v>
      </c>
      <c r="N1818" t="s">
        <v>10154</v>
      </c>
      <c r="O1818" t="s">
        <v>10155</v>
      </c>
      <c r="P1818" t="s">
        <v>10156</v>
      </c>
      <c r="Q1818" t="s">
        <v>30</v>
      </c>
      <c r="R1818" t="s">
        <v>31</v>
      </c>
      <c r="S1818" t="s">
        <v>32</v>
      </c>
    </row>
    <row r="1819" spans="1:19" x14ac:dyDescent="0.45">
      <c r="A1819" t="str">
        <f t="shared" si="121"/>
        <v>32801</v>
      </c>
      <c r="B1819" t="s">
        <v>1108</v>
      </c>
      <c r="C1819" t="str">
        <f t="shared" si="122"/>
        <v>32081</v>
      </c>
      <c r="D1819" t="s">
        <v>2243</v>
      </c>
      <c r="E1819" t="str">
        <f>"2950"</f>
        <v>2950</v>
      </c>
      <c r="F1819" t="s">
        <v>10157</v>
      </c>
      <c r="G1819" t="s">
        <v>22</v>
      </c>
      <c r="H1819">
        <v>6</v>
      </c>
      <c r="I1819" t="s">
        <v>10158</v>
      </c>
      <c r="K1819" t="s">
        <v>2246</v>
      </c>
      <c r="L1819" t="s">
        <v>25</v>
      </c>
      <c r="M1819" t="s">
        <v>10159</v>
      </c>
      <c r="N1819" t="s">
        <v>10160</v>
      </c>
      <c r="O1819" t="s">
        <v>10161</v>
      </c>
      <c r="P1819" t="s">
        <v>10162</v>
      </c>
      <c r="Q1819" t="s">
        <v>30</v>
      </c>
      <c r="R1819" t="s">
        <v>31</v>
      </c>
      <c r="S1819" t="s">
        <v>32</v>
      </c>
    </row>
    <row r="1820" spans="1:19" x14ac:dyDescent="0.45">
      <c r="A1820" t="str">
        <f t="shared" ref="A1820:A1852" si="123">"32801"</f>
        <v>32801</v>
      </c>
      <c r="B1820" t="s">
        <v>1108</v>
      </c>
      <c r="C1820" t="str">
        <f t="shared" ref="C1820:C1845" si="124">"32081"</f>
        <v>32081</v>
      </c>
      <c r="D1820" t="s">
        <v>2243</v>
      </c>
      <c r="E1820" t="str">
        <f>"2951"</f>
        <v>2951</v>
      </c>
      <c r="F1820" t="s">
        <v>10163</v>
      </c>
      <c r="G1820" t="s">
        <v>22</v>
      </c>
      <c r="H1820">
        <v>6</v>
      </c>
      <c r="I1820" t="s">
        <v>10164</v>
      </c>
      <c r="K1820" t="s">
        <v>2246</v>
      </c>
      <c r="L1820" t="s">
        <v>25</v>
      </c>
      <c r="M1820" t="s">
        <v>10165</v>
      </c>
      <c r="N1820" t="s">
        <v>10166</v>
      </c>
      <c r="O1820" t="s">
        <v>10167</v>
      </c>
      <c r="P1820" t="s">
        <v>10168</v>
      </c>
      <c r="Q1820" t="s">
        <v>30</v>
      </c>
      <c r="R1820" t="s">
        <v>31</v>
      </c>
      <c r="S1820" t="s">
        <v>32</v>
      </c>
    </row>
    <row r="1821" spans="1:19" x14ac:dyDescent="0.45">
      <c r="A1821" t="str">
        <f t="shared" si="123"/>
        <v>32801</v>
      </c>
      <c r="B1821" t="s">
        <v>1108</v>
      </c>
      <c r="C1821" t="str">
        <f t="shared" si="124"/>
        <v>32081</v>
      </c>
      <c r="D1821" t="s">
        <v>2243</v>
      </c>
      <c r="E1821" t="str">
        <f>"2952"</f>
        <v>2952</v>
      </c>
      <c r="F1821" t="s">
        <v>10169</v>
      </c>
      <c r="G1821" t="s">
        <v>22</v>
      </c>
      <c r="H1821">
        <v>6</v>
      </c>
      <c r="I1821" t="s">
        <v>10170</v>
      </c>
      <c r="K1821" t="s">
        <v>2246</v>
      </c>
      <c r="L1821" t="s">
        <v>25</v>
      </c>
      <c r="M1821">
        <v>99208</v>
      </c>
      <c r="N1821" t="s">
        <v>10171</v>
      </c>
      <c r="O1821" t="s">
        <v>10172</v>
      </c>
      <c r="P1821" t="s">
        <v>10173</v>
      </c>
      <c r="Q1821" t="s">
        <v>30</v>
      </c>
      <c r="R1821" t="s">
        <v>31</v>
      </c>
      <c r="S1821" t="s">
        <v>32</v>
      </c>
    </row>
    <row r="1822" spans="1:19" x14ac:dyDescent="0.45">
      <c r="A1822" t="str">
        <f t="shared" si="123"/>
        <v>32801</v>
      </c>
      <c r="B1822" t="s">
        <v>1108</v>
      </c>
      <c r="C1822" t="str">
        <f t="shared" si="124"/>
        <v>32081</v>
      </c>
      <c r="D1822" t="s">
        <v>2243</v>
      </c>
      <c r="E1822" t="str">
        <f>"3007"</f>
        <v>3007</v>
      </c>
      <c r="F1822" t="s">
        <v>10174</v>
      </c>
      <c r="G1822" t="s">
        <v>22</v>
      </c>
      <c r="H1822">
        <v>6</v>
      </c>
      <c r="I1822" t="s">
        <v>10175</v>
      </c>
      <c r="K1822" t="s">
        <v>2246</v>
      </c>
      <c r="L1822" t="s">
        <v>25</v>
      </c>
      <c r="M1822" t="s">
        <v>10176</v>
      </c>
      <c r="N1822" t="s">
        <v>10177</v>
      </c>
      <c r="O1822" t="s">
        <v>10178</v>
      </c>
      <c r="P1822" t="s">
        <v>10179</v>
      </c>
      <c r="Q1822" t="s">
        <v>30</v>
      </c>
      <c r="R1822" t="s">
        <v>31</v>
      </c>
      <c r="S1822" t="s">
        <v>32</v>
      </c>
    </row>
    <row r="1823" spans="1:19" x14ac:dyDescent="0.45">
      <c r="A1823" t="str">
        <f t="shared" si="123"/>
        <v>32801</v>
      </c>
      <c r="B1823" t="s">
        <v>1108</v>
      </c>
      <c r="C1823" t="str">
        <f t="shared" si="124"/>
        <v>32081</v>
      </c>
      <c r="D1823" t="s">
        <v>2243</v>
      </c>
      <c r="E1823" t="str">
        <f>"3008"</f>
        <v>3008</v>
      </c>
      <c r="F1823" t="s">
        <v>10180</v>
      </c>
      <c r="G1823" t="s">
        <v>22</v>
      </c>
      <c r="H1823">
        <v>12</v>
      </c>
      <c r="I1823" t="s">
        <v>10181</v>
      </c>
      <c r="K1823" t="s">
        <v>2246</v>
      </c>
      <c r="L1823" t="s">
        <v>25</v>
      </c>
      <c r="M1823" t="s">
        <v>10182</v>
      </c>
      <c r="N1823" t="s">
        <v>10183</v>
      </c>
      <c r="O1823" t="s">
        <v>10184</v>
      </c>
      <c r="P1823" t="s">
        <v>10185</v>
      </c>
      <c r="Q1823" t="s">
        <v>157</v>
      </c>
      <c r="R1823" t="s">
        <v>158</v>
      </c>
      <c r="S1823" t="s">
        <v>68</v>
      </c>
    </row>
    <row r="1824" spans="1:19" x14ac:dyDescent="0.45">
      <c r="A1824" t="str">
        <f t="shared" si="123"/>
        <v>32801</v>
      </c>
      <c r="B1824" t="s">
        <v>1108</v>
      </c>
      <c r="C1824" t="str">
        <f t="shared" si="124"/>
        <v>32081</v>
      </c>
      <c r="D1824" t="s">
        <v>2243</v>
      </c>
      <c r="E1824" t="str">
        <f>"3063"</f>
        <v>3063</v>
      </c>
      <c r="F1824" t="s">
        <v>10186</v>
      </c>
      <c r="G1824" t="s">
        <v>22</v>
      </c>
      <c r="H1824">
        <v>6</v>
      </c>
      <c r="I1824" t="s">
        <v>10187</v>
      </c>
      <c r="K1824" t="s">
        <v>2246</v>
      </c>
      <c r="L1824" t="s">
        <v>25</v>
      </c>
      <c r="M1824" t="s">
        <v>10188</v>
      </c>
      <c r="N1824" t="s">
        <v>10189</v>
      </c>
      <c r="O1824" t="s">
        <v>10190</v>
      </c>
      <c r="P1824" t="s">
        <v>10191</v>
      </c>
      <c r="Q1824" t="s">
        <v>30</v>
      </c>
      <c r="R1824" t="s">
        <v>31</v>
      </c>
      <c r="S1824" t="s">
        <v>32</v>
      </c>
    </row>
    <row r="1825" spans="1:19" x14ac:dyDescent="0.45">
      <c r="A1825" t="str">
        <f t="shared" si="123"/>
        <v>32801</v>
      </c>
      <c r="B1825" t="s">
        <v>1108</v>
      </c>
      <c r="C1825" t="str">
        <f t="shared" si="124"/>
        <v>32081</v>
      </c>
      <c r="D1825" t="s">
        <v>2243</v>
      </c>
      <c r="E1825" t="str">
        <f>"3189"</f>
        <v>3189</v>
      </c>
      <c r="F1825" t="s">
        <v>10192</v>
      </c>
      <c r="G1825">
        <v>9</v>
      </c>
      <c r="H1825">
        <v>12</v>
      </c>
      <c r="I1825" t="s">
        <v>10193</v>
      </c>
      <c r="K1825" t="s">
        <v>2246</v>
      </c>
      <c r="L1825" t="s">
        <v>25</v>
      </c>
      <c r="M1825" t="s">
        <v>10194</v>
      </c>
      <c r="N1825" t="s">
        <v>10195</v>
      </c>
      <c r="O1825" t="s">
        <v>10196</v>
      </c>
      <c r="P1825" t="s">
        <v>10197</v>
      </c>
      <c r="Q1825" t="s">
        <v>30</v>
      </c>
      <c r="R1825" t="s">
        <v>31</v>
      </c>
      <c r="S1825" t="s">
        <v>58</v>
      </c>
    </row>
    <row r="1826" spans="1:19" x14ac:dyDescent="0.45">
      <c r="A1826" t="str">
        <f t="shared" si="123"/>
        <v>32801</v>
      </c>
      <c r="B1826" t="s">
        <v>1108</v>
      </c>
      <c r="C1826" t="str">
        <f t="shared" si="124"/>
        <v>32081</v>
      </c>
      <c r="D1826" t="s">
        <v>2243</v>
      </c>
      <c r="E1826" t="str">
        <f>"3190"</f>
        <v>3190</v>
      </c>
      <c r="F1826" t="s">
        <v>10198</v>
      </c>
      <c r="G1826" t="s">
        <v>22</v>
      </c>
      <c r="H1826">
        <v>6</v>
      </c>
      <c r="I1826" t="s">
        <v>10199</v>
      </c>
      <c r="K1826" t="s">
        <v>2246</v>
      </c>
      <c r="L1826" t="s">
        <v>25</v>
      </c>
      <c r="M1826" t="s">
        <v>10200</v>
      </c>
      <c r="N1826" t="s">
        <v>10201</v>
      </c>
      <c r="O1826" t="s">
        <v>10202</v>
      </c>
      <c r="P1826" t="s">
        <v>10203</v>
      </c>
      <c r="Q1826" t="s">
        <v>30</v>
      </c>
      <c r="R1826" t="s">
        <v>31</v>
      </c>
      <c r="S1826" t="s">
        <v>32</v>
      </c>
    </row>
    <row r="1827" spans="1:19" x14ac:dyDescent="0.45">
      <c r="A1827" t="str">
        <f t="shared" si="123"/>
        <v>32801</v>
      </c>
      <c r="B1827" t="s">
        <v>1108</v>
      </c>
      <c r="C1827" t="str">
        <f t="shared" si="124"/>
        <v>32081</v>
      </c>
      <c r="D1827" t="s">
        <v>2243</v>
      </c>
      <c r="E1827" t="str">
        <f>"3257"</f>
        <v>3257</v>
      </c>
      <c r="F1827" t="s">
        <v>10204</v>
      </c>
      <c r="G1827">
        <v>6</v>
      </c>
      <c r="H1827">
        <v>8</v>
      </c>
      <c r="I1827" t="s">
        <v>10205</v>
      </c>
      <c r="K1827" t="s">
        <v>2246</v>
      </c>
      <c r="L1827" t="s">
        <v>25</v>
      </c>
      <c r="M1827" t="s">
        <v>10206</v>
      </c>
      <c r="N1827" t="s">
        <v>10207</v>
      </c>
      <c r="O1827" t="s">
        <v>10208</v>
      </c>
      <c r="P1827" t="s">
        <v>10209</v>
      </c>
      <c r="Q1827" t="s">
        <v>30</v>
      </c>
      <c r="R1827" t="s">
        <v>31</v>
      </c>
      <c r="S1827" t="s">
        <v>104</v>
      </c>
    </row>
    <row r="1828" spans="1:19" x14ac:dyDescent="0.45">
      <c r="A1828" t="str">
        <f t="shared" si="123"/>
        <v>32801</v>
      </c>
      <c r="B1828" t="s">
        <v>1108</v>
      </c>
      <c r="C1828" t="str">
        <f t="shared" si="124"/>
        <v>32081</v>
      </c>
      <c r="D1828" t="s">
        <v>2243</v>
      </c>
      <c r="E1828" t="str">
        <f>"3258"</f>
        <v>3258</v>
      </c>
      <c r="F1828" t="s">
        <v>10210</v>
      </c>
      <c r="G1828">
        <v>7</v>
      </c>
      <c r="H1828">
        <v>8</v>
      </c>
      <c r="I1828" t="s">
        <v>10211</v>
      </c>
      <c r="K1828" t="s">
        <v>2246</v>
      </c>
      <c r="L1828" t="s">
        <v>25</v>
      </c>
      <c r="M1828" t="s">
        <v>10212</v>
      </c>
      <c r="N1828" t="s">
        <v>10213</v>
      </c>
      <c r="O1828" t="s">
        <v>10214</v>
      </c>
      <c r="P1828" t="s">
        <v>10215</v>
      </c>
      <c r="Q1828" t="s">
        <v>30</v>
      </c>
      <c r="R1828" t="s">
        <v>31</v>
      </c>
      <c r="S1828" t="s">
        <v>104</v>
      </c>
    </row>
    <row r="1829" spans="1:19" x14ac:dyDescent="0.45">
      <c r="A1829" t="str">
        <f t="shared" si="123"/>
        <v>32801</v>
      </c>
      <c r="B1829" t="s">
        <v>1108</v>
      </c>
      <c r="C1829" t="str">
        <f t="shared" si="124"/>
        <v>32081</v>
      </c>
      <c r="D1829" t="s">
        <v>2243</v>
      </c>
      <c r="E1829" t="str">
        <f>"3356"</f>
        <v>3356</v>
      </c>
      <c r="F1829" t="s">
        <v>5684</v>
      </c>
      <c r="G1829">
        <v>7</v>
      </c>
      <c r="H1829">
        <v>8</v>
      </c>
      <c r="I1829" t="s">
        <v>10216</v>
      </c>
      <c r="K1829" t="s">
        <v>2246</v>
      </c>
      <c r="L1829" t="s">
        <v>25</v>
      </c>
      <c r="M1829" t="s">
        <v>10217</v>
      </c>
      <c r="N1829" t="s">
        <v>10218</v>
      </c>
      <c r="O1829" t="s">
        <v>10219</v>
      </c>
      <c r="P1829" t="s">
        <v>10220</v>
      </c>
      <c r="Q1829" t="s">
        <v>30</v>
      </c>
      <c r="R1829" t="s">
        <v>31</v>
      </c>
      <c r="S1829" t="s">
        <v>104</v>
      </c>
    </row>
    <row r="1830" spans="1:19" x14ac:dyDescent="0.45">
      <c r="A1830" t="str">
        <f t="shared" si="123"/>
        <v>32801</v>
      </c>
      <c r="B1830" t="s">
        <v>1108</v>
      </c>
      <c r="C1830" t="str">
        <f t="shared" si="124"/>
        <v>32081</v>
      </c>
      <c r="D1830" t="s">
        <v>2243</v>
      </c>
      <c r="E1830" t="str">
        <f>"3357"</f>
        <v>3357</v>
      </c>
      <c r="F1830" t="s">
        <v>10221</v>
      </c>
      <c r="G1830" t="s">
        <v>22</v>
      </c>
      <c r="H1830">
        <v>6</v>
      </c>
      <c r="I1830" t="s">
        <v>10222</v>
      </c>
      <c r="K1830" t="s">
        <v>2246</v>
      </c>
      <c r="L1830" t="s">
        <v>25</v>
      </c>
      <c r="M1830" t="s">
        <v>10223</v>
      </c>
      <c r="N1830" t="s">
        <v>10224</v>
      </c>
      <c r="O1830" t="s">
        <v>10225</v>
      </c>
      <c r="P1830" t="s">
        <v>10226</v>
      </c>
      <c r="Q1830" t="s">
        <v>30</v>
      </c>
      <c r="R1830" t="s">
        <v>31</v>
      </c>
      <c r="S1830" t="s">
        <v>32</v>
      </c>
    </row>
    <row r="1831" spans="1:19" x14ac:dyDescent="0.45">
      <c r="A1831" t="str">
        <f t="shared" si="123"/>
        <v>32801</v>
      </c>
      <c r="B1831" t="s">
        <v>1108</v>
      </c>
      <c r="C1831" t="str">
        <f t="shared" si="124"/>
        <v>32081</v>
      </c>
      <c r="D1831" t="s">
        <v>2243</v>
      </c>
      <c r="E1831" t="str">
        <f>"3412"</f>
        <v>3412</v>
      </c>
      <c r="F1831" t="s">
        <v>10227</v>
      </c>
      <c r="G1831">
        <v>9</v>
      </c>
      <c r="H1831">
        <v>12</v>
      </c>
      <c r="I1831" t="s">
        <v>10228</v>
      </c>
      <c r="K1831" t="s">
        <v>2246</v>
      </c>
      <c r="L1831" t="s">
        <v>25</v>
      </c>
      <c r="M1831" t="s">
        <v>10229</v>
      </c>
      <c r="N1831" t="s">
        <v>10230</v>
      </c>
      <c r="O1831" t="s">
        <v>10231</v>
      </c>
      <c r="P1831" t="s">
        <v>10232</v>
      </c>
      <c r="Q1831" t="s">
        <v>30</v>
      </c>
      <c r="R1831" t="s">
        <v>31</v>
      </c>
      <c r="S1831" t="s">
        <v>58</v>
      </c>
    </row>
    <row r="1832" spans="1:19" x14ac:dyDescent="0.45">
      <c r="A1832" t="str">
        <f t="shared" si="123"/>
        <v>32801</v>
      </c>
      <c r="B1832" t="s">
        <v>1108</v>
      </c>
      <c r="C1832" t="str">
        <f t="shared" si="124"/>
        <v>32081</v>
      </c>
      <c r="D1832" t="s">
        <v>2243</v>
      </c>
      <c r="E1832" t="str">
        <f>"3413"</f>
        <v>3413</v>
      </c>
      <c r="F1832" t="s">
        <v>10233</v>
      </c>
      <c r="G1832">
        <v>6</v>
      </c>
      <c r="H1832">
        <v>8</v>
      </c>
      <c r="I1832" t="s">
        <v>10234</v>
      </c>
      <c r="K1832" t="s">
        <v>2246</v>
      </c>
      <c r="L1832" t="s">
        <v>25</v>
      </c>
      <c r="M1832" t="s">
        <v>10235</v>
      </c>
      <c r="N1832" t="s">
        <v>10236</v>
      </c>
      <c r="O1832" t="s">
        <v>10237</v>
      </c>
      <c r="P1832" t="s">
        <v>10238</v>
      </c>
      <c r="Q1832" t="s">
        <v>30</v>
      </c>
      <c r="R1832" t="s">
        <v>31</v>
      </c>
      <c r="S1832" t="s">
        <v>104</v>
      </c>
    </row>
    <row r="1833" spans="1:19" x14ac:dyDescent="0.45">
      <c r="A1833" t="str">
        <f t="shared" si="123"/>
        <v>32801</v>
      </c>
      <c r="B1833" t="s">
        <v>1108</v>
      </c>
      <c r="C1833" t="str">
        <f t="shared" si="124"/>
        <v>32081</v>
      </c>
      <c r="D1833" t="s">
        <v>2243</v>
      </c>
      <c r="E1833" t="str">
        <f>"3506"</f>
        <v>3506</v>
      </c>
      <c r="F1833" t="s">
        <v>10239</v>
      </c>
      <c r="G1833" t="s">
        <v>22</v>
      </c>
      <c r="H1833">
        <v>6</v>
      </c>
      <c r="I1833" t="s">
        <v>10240</v>
      </c>
      <c r="K1833" t="s">
        <v>2246</v>
      </c>
      <c r="L1833" t="s">
        <v>25</v>
      </c>
      <c r="M1833" t="s">
        <v>10241</v>
      </c>
      <c r="N1833" t="s">
        <v>10242</v>
      </c>
      <c r="O1833" t="s">
        <v>10243</v>
      </c>
      <c r="P1833" t="s">
        <v>10244</v>
      </c>
      <c r="Q1833" t="s">
        <v>30</v>
      </c>
      <c r="R1833" t="s">
        <v>31</v>
      </c>
      <c r="S1833" t="s">
        <v>32</v>
      </c>
    </row>
    <row r="1834" spans="1:19" x14ac:dyDescent="0.45">
      <c r="A1834" t="str">
        <f t="shared" si="123"/>
        <v>32801</v>
      </c>
      <c r="B1834" t="s">
        <v>1108</v>
      </c>
      <c r="C1834" t="str">
        <f t="shared" si="124"/>
        <v>32081</v>
      </c>
      <c r="D1834" t="s">
        <v>2243</v>
      </c>
      <c r="E1834" t="str">
        <f>"3718"</f>
        <v>3718</v>
      </c>
      <c r="F1834" t="s">
        <v>3890</v>
      </c>
      <c r="G1834" t="s">
        <v>22</v>
      </c>
      <c r="H1834">
        <v>6</v>
      </c>
      <c r="I1834" t="s">
        <v>10245</v>
      </c>
      <c r="K1834" t="s">
        <v>2246</v>
      </c>
      <c r="L1834" t="s">
        <v>25</v>
      </c>
      <c r="M1834" t="s">
        <v>10246</v>
      </c>
      <c r="N1834" t="s">
        <v>10247</v>
      </c>
      <c r="O1834" t="s">
        <v>10248</v>
      </c>
      <c r="P1834" t="s">
        <v>10249</v>
      </c>
      <c r="Q1834" t="s">
        <v>30</v>
      </c>
      <c r="R1834" t="s">
        <v>31</v>
      </c>
      <c r="S1834" t="s">
        <v>32</v>
      </c>
    </row>
    <row r="1835" spans="1:19" x14ac:dyDescent="0.45">
      <c r="A1835" t="str">
        <f t="shared" si="123"/>
        <v>32801</v>
      </c>
      <c r="B1835" t="s">
        <v>1108</v>
      </c>
      <c r="C1835" t="str">
        <f t="shared" si="124"/>
        <v>32081</v>
      </c>
      <c r="D1835" t="s">
        <v>2243</v>
      </c>
      <c r="E1835" t="str">
        <f>"3719"</f>
        <v>3719</v>
      </c>
      <c r="F1835" t="s">
        <v>10250</v>
      </c>
      <c r="G1835" t="s">
        <v>22</v>
      </c>
      <c r="H1835">
        <v>6</v>
      </c>
      <c r="I1835" t="s">
        <v>10251</v>
      </c>
      <c r="K1835" t="s">
        <v>2246</v>
      </c>
      <c r="L1835" t="s">
        <v>25</v>
      </c>
      <c r="M1835" t="s">
        <v>10252</v>
      </c>
      <c r="N1835" t="s">
        <v>10253</v>
      </c>
      <c r="O1835" t="s">
        <v>10254</v>
      </c>
      <c r="P1835" t="s">
        <v>10255</v>
      </c>
      <c r="Q1835" t="s">
        <v>30</v>
      </c>
      <c r="R1835" t="s">
        <v>31</v>
      </c>
      <c r="S1835" t="s">
        <v>32</v>
      </c>
    </row>
    <row r="1836" spans="1:19" x14ac:dyDescent="0.45">
      <c r="A1836" t="str">
        <f t="shared" si="123"/>
        <v>32801</v>
      </c>
      <c r="B1836" t="s">
        <v>1108</v>
      </c>
      <c r="C1836" t="str">
        <f t="shared" si="124"/>
        <v>32081</v>
      </c>
      <c r="D1836" t="s">
        <v>2243</v>
      </c>
      <c r="E1836" t="str">
        <f>"3727"</f>
        <v>3727</v>
      </c>
      <c r="F1836" t="s">
        <v>10256</v>
      </c>
      <c r="G1836" t="s">
        <v>22</v>
      </c>
      <c r="H1836">
        <v>6</v>
      </c>
      <c r="I1836" t="s">
        <v>10257</v>
      </c>
      <c r="K1836" t="s">
        <v>2246</v>
      </c>
      <c r="L1836" t="s">
        <v>25</v>
      </c>
      <c r="M1836" t="s">
        <v>10258</v>
      </c>
      <c r="N1836" t="s">
        <v>10259</v>
      </c>
      <c r="O1836" t="s">
        <v>10260</v>
      </c>
      <c r="P1836" t="s">
        <v>10261</v>
      </c>
      <c r="Q1836" t="s">
        <v>30</v>
      </c>
      <c r="R1836" t="s">
        <v>31</v>
      </c>
      <c r="S1836" t="s">
        <v>32</v>
      </c>
    </row>
    <row r="1837" spans="1:19" x14ac:dyDescent="0.45">
      <c r="A1837" t="str">
        <f t="shared" si="123"/>
        <v>32801</v>
      </c>
      <c r="B1837" t="s">
        <v>1108</v>
      </c>
      <c r="C1837" t="str">
        <f t="shared" si="124"/>
        <v>32081</v>
      </c>
      <c r="D1837" t="s">
        <v>2243</v>
      </c>
      <c r="E1837" t="str">
        <f>"3729"</f>
        <v>3729</v>
      </c>
      <c r="F1837" t="s">
        <v>4198</v>
      </c>
      <c r="G1837" t="s">
        <v>22</v>
      </c>
      <c r="H1837">
        <v>6</v>
      </c>
      <c r="I1837" t="s">
        <v>10262</v>
      </c>
      <c r="K1837" t="s">
        <v>2246</v>
      </c>
      <c r="L1837" t="s">
        <v>25</v>
      </c>
      <c r="M1837" t="s">
        <v>10263</v>
      </c>
      <c r="N1837" t="s">
        <v>10264</v>
      </c>
      <c r="O1837" t="s">
        <v>10265</v>
      </c>
      <c r="P1837" t="s">
        <v>10266</v>
      </c>
      <c r="Q1837" t="s">
        <v>30</v>
      </c>
      <c r="R1837" t="s">
        <v>31</v>
      </c>
      <c r="S1837" t="s">
        <v>32</v>
      </c>
    </row>
    <row r="1838" spans="1:19" x14ac:dyDescent="0.45">
      <c r="A1838" t="str">
        <f t="shared" si="123"/>
        <v>32801</v>
      </c>
      <c r="B1838" t="s">
        <v>1108</v>
      </c>
      <c r="C1838" t="str">
        <f t="shared" si="124"/>
        <v>32081</v>
      </c>
      <c r="D1838" t="s">
        <v>2243</v>
      </c>
      <c r="E1838" t="str">
        <f>"3758"</f>
        <v>3758</v>
      </c>
      <c r="F1838" t="s">
        <v>10267</v>
      </c>
      <c r="G1838">
        <v>7</v>
      </c>
      <c r="H1838">
        <v>8</v>
      </c>
      <c r="I1838" t="s">
        <v>10268</v>
      </c>
      <c r="K1838" t="s">
        <v>2246</v>
      </c>
      <c r="L1838" t="s">
        <v>25</v>
      </c>
      <c r="M1838" t="s">
        <v>10269</v>
      </c>
      <c r="N1838" t="s">
        <v>10270</v>
      </c>
      <c r="O1838" t="s">
        <v>10271</v>
      </c>
      <c r="P1838" t="s">
        <v>10272</v>
      </c>
      <c r="Q1838" t="s">
        <v>30</v>
      </c>
      <c r="R1838" t="s">
        <v>31</v>
      </c>
      <c r="S1838" t="s">
        <v>104</v>
      </c>
    </row>
    <row r="1839" spans="1:19" x14ac:dyDescent="0.45">
      <c r="A1839" t="str">
        <f t="shared" si="123"/>
        <v>32801</v>
      </c>
      <c r="B1839" t="s">
        <v>1108</v>
      </c>
      <c r="C1839" t="str">
        <f t="shared" si="124"/>
        <v>32081</v>
      </c>
      <c r="D1839" t="s">
        <v>2243</v>
      </c>
      <c r="E1839" t="str">
        <f>"3819"</f>
        <v>3819</v>
      </c>
      <c r="F1839" t="s">
        <v>10273</v>
      </c>
      <c r="G1839">
        <v>7</v>
      </c>
      <c r="H1839">
        <v>12</v>
      </c>
      <c r="I1839" t="s">
        <v>10274</v>
      </c>
      <c r="K1839" t="s">
        <v>2246</v>
      </c>
      <c r="L1839" t="s">
        <v>25</v>
      </c>
      <c r="M1839" t="s">
        <v>10275</v>
      </c>
      <c r="N1839" t="s">
        <v>10276</v>
      </c>
      <c r="O1839" t="s">
        <v>10277</v>
      </c>
      <c r="P1839" t="s">
        <v>10278</v>
      </c>
      <c r="Q1839" t="s">
        <v>962</v>
      </c>
      <c r="R1839" t="s">
        <v>963</v>
      </c>
      <c r="S1839" t="s">
        <v>159</v>
      </c>
    </row>
    <row r="1840" spans="1:19" x14ac:dyDescent="0.45">
      <c r="A1840" t="str">
        <f t="shared" si="123"/>
        <v>32801</v>
      </c>
      <c r="B1840" t="s">
        <v>1108</v>
      </c>
      <c r="C1840" t="str">
        <f t="shared" si="124"/>
        <v>32081</v>
      </c>
      <c r="D1840" t="s">
        <v>2243</v>
      </c>
      <c r="E1840" t="str">
        <f>"4035"</f>
        <v>4035</v>
      </c>
      <c r="F1840" t="s">
        <v>10279</v>
      </c>
      <c r="G1840" t="s">
        <v>22</v>
      </c>
      <c r="H1840">
        <v>6</v>
      </c>
      <c r="I1840" t="s">
        <v>10280</v>
      </c>
      <c r="K1840" t="s">
        <v>2246</v>
      </c>
      <c r="L1840" t="s">
        <v>25</v>
      </c>
      <c r="M1840" t="s">
        <v>10281</v>
      </c>
      <c r="N1840" t="s">
        <v>10282</v>
      </c>
      <c r="O1840" t="s">
        <v>10283</v>
      </c>
      <c r="P1840" t="s">
        <v>10284</v>
      </c>
      <c r="Q1840" t="s">
        <v>30</v>
      </c>
      <c r="R1840" t="s">
        <v>31</v>
      </c>
      <c r="S1840" t="s">
        <v>32</v>
      </c>
    </row>
    <row r="1841" spans="1:19" x14ac:dyDescent="0.45">
      <c r="A1841" t="str">
        <f t="shared" si="123"/>
        <v>32801</v>
      </c>
      <c r="B1841" t="s">
        <v>1108</v>
      </c>
      <c r="C1841" t="str">
        <f t="shared" si="124"/>
        <v>32081</v>
      </c>
      <c r="D1841" t="s">
        <v>2243</v>
      </c>
      <c r="E1841" t="str">
        <f>"4191"</f>
        <v>4191</v>
      </c>
      <c r="F1841" t="s">
        <v>10285</v>
      </c>
      <c r="G1841">
        <v>9</v>
      </c>
      <c r="H1841">
        <v>12</v>
      </c>
      <c r="I1841" t="s">
        <v>10286</v>
      </c>
      <c r="K1841" t="s">
        <v>2246</v>
      </c>
      <c r="L1841" t="s">
        <v>25</v>
      </c>
      <c r="M1841" t="s">
        <v>10287</v>
      </c>
      <c r="N1841" t="s">
        <v>10288</v>
      </c>
      <c r="O1841" t="s">
        <v>10289</v>
      </c>
      <c r="P1841" t="s">
        <v>10290</v>
      </c>
      <c r="Q1841" t="s">
        <v>172</v>
      </c>
      <c r="R1841" t="s">
        <v>173</v>
      </c>
      <c r="S1841" t="s">
        <v>58</v>
      </c>
    </row>
    <row r="1842" spans="1:19" x14ac:dyDescent="0.45">
      <c r="A1842" t="str">
        <f t="shared" si="123"/>
        <v>32801</v>
      </c>
      <c r="B1842" t="s">
        <v>1108</v>
      </c>
      <c r="C1842" t="str">
        <f t="shared" si="124"/>
        <v>32081</v>
      </c>
      <c r="D1842" t="s">
        <v>2243</v>
      </c>
      <c r="E1842" t="str">
        <f>"4192"</f>
        <v>4192</v>
      </c>
      <c r="F1842" t="s">
        <v>523</v>
      </c>
      <c r="G1842" t="s">
        <v>22</v>
      </c>
      <c r="H1842">
        <v>6</v>
      </c>
      <c r="I1842" t="s">
        <v>10291</v>
      </c>
      <c r="K1842" t="s">
        <v>2246</v>
      </c>
      <c r="L1842" t="s">
        <v>25</v>
      </c>
      <c r="M1842" t="s">
        <v>10292</v>
      </c>
      <c r="N1842" t="s">
        <v>10293</v>
      </c>
      <c r="O1842" t="s">
        <v>10294</v>
      </c>
      <c r="P1842" t="s">
        <v>10295</v>
      </c>
      <c r="Q1842" t="s">
        <v>30</v>
      </c>
      <c r="R1842" t="s">
        <v>31</v>
      </c>
      <c r="S1842" t="s">
        <v>32</v>
      </c>
    </row>
    <row r="1843" spans="1:19" x14ac:dyDescent="0.45">
      <c r="A1843" t="str">
        <f t="shared" si="123"/>
        <v>32801</v>
      </c>
      <c r="B1843" t="s">
        <v>1108</v>
      </c>
      <c r="C1843" t="str">
        <f t="shared" si="124"/>
        <v>32081</v>
      </c>
      <c r="D1843" t="s">
        <v>2243</v>
      </c>
      <c r="E1843" t="str">
        <f>"4286"</f>
        <v>4286</v>
      </c>
      <c r="F1843" t="s">
        <v>10296</v>
      </c>
      <c r="G1843" t="s">
        <v>22</v>
      </c>
      <c r="H1843">
        <v>12</v>
      </c>
      <c r="I1843" t="s">
        <v>10297</v>
      </c>
      <c r="K1843" t="s">
        <v>2246</v>
      </c>
      <c r="L1843" t="s">
        <v>25</v>
      </c>
      <c r="M1843" t="s">
        <v>10298</v>
      </c>
      <c r="N1843" t="s">
        <v>10299</v>
      </c>
      <c r="O1843" t="s">
        <v>10300</v>
      </c>
      <c r="P1843" t="s">
        <v>10301</v>
      </c>
      <c r="Q1843" t="s">
        <v>66</v>
      </c>
      <c r="R1843" t="s">
        <v>67</v>
      </c>
      <c r="S1843" t="s">
        <v>68</v>
      </c>
    </row>
    <row r="1844" spans="1:19" x14ac:dyDescent="0.45">
      <c r="A1844" t="str">
        <f t="shared" si="123"/>
        <v>32801</v>
      </c>
      <c r="B1844" t="s">
        <v>1108</v>
      </c>
      <c r="C1844" t="str">
        <f t="shared" si="124"/>
        <v>32081</v>
      </c>
      <c r="D1844" t="s">
        <v>2243</v>
      </c>
      <c r="E1844" t="str">
        <f>"4389"</f>
        <v>4389</v>
      </c>
      <c r="F1844" t="s">
        <v>10302</v>
      </c>
      <c r="G1844" t="s">
        <v>22</v>
      </c>
      <c r="H1844">
        <v>6</v>
      </c>
      <c r="I1844" t="s">
        <v>10303</v>
      </c>
      <c r="K1844" t="s">
        <v>2246</v>
      </c>
      <c r="L1844" t="s">
        <v>25</v>
      </c>
      <c r="M1844" t="s">
        <v>10304</v>
      </c>
      <c r="N1844" t="s">
        <v>10305</v>
      </c>
      <c r="O1844" t="s">
        <v>10306</v>
      </c>
      <c r="P1844" t="s">
        <v>10307</v>
      </c>
      <c r="Q1844" t="s">
        <v>30</v>
      </c>
      <c r="R1844" t="s">
        <v>31</v>
      </c>
      <c r="S1844" t="s">
        <v>32</v>
      </c>
    </row>
    <row r="1845" spans="1:19" x14ac:dyDescent="0.45">
      <c r="A1845" t="str">
        <f t="shared" si="123"/>
        <v>32801</v>
      </c>
      <c r="B1845" t="s">
        <v>1108</v>
      </c>
      <c r="C1845" t="str">
        <f t="shared" si="124"/>
        <v>32081</v>
      </c>
      <c r="D1845" t="s">
        <v>2243</v>
      </c>
      <c r="E1845" t="str">
        <f>"4457"</f>
        <v>4457</v>
      </c>
      <c r="F1845" t="s">
        <v>10308</v>
      </c>
      <c r="G1845">
        <v>7</v>
      </c>
      <c r="H1845">
        <v>8</v>
      </c>
      <c r="I1845" t="s">
        <v>10309</v>
      </c>
      <c r="K1845" t="s">
        <v>2246</v>
      </c>
      <c r="L1845" t="s">
        <v>25</v>
      </c>
      <c r="M1845" t="s">
        <v>10310</v>
      </c>
      <c r="N1845" t="s">
        <v>10311</v>
      </c>
      <c r="O1845" t="s">
        <v>10312</v>
      </c>
      <c r="P1845" t="s">
        <v>10023</v>
      </c>
      <c r="Q1845" t="s">
        <v>30</v>
      </c>
      <c r="R1845" t="s">
        <v>31</v>
      </c>
      <c r="S1845" t="s">
        <v>104</v>
      </c>
    </row>
    <row r="1846" spans="1:19" x14ac:dyDescent="0.45">
      <c r="A1846" t="str">
        <f t="shared" si="123"/>
        <v>32801</v>
      </c>
      <c r="B1846" t="s">
        <v>1108</v>
      </c>
      <c r="C1846" t="str">
        <f>"32123"</f>
        <v>32123</v>
      </c>
      <c r="D1846" t="s">
        <v>10313</v>
      </c>
      <c r="E1846" t="str">
        <f>"3723"</f>
        <v>3723</v>
      </c>
      <c r="F1846" t="s">
        <v>10314</v>
      </c>
      <c r="G1846" t="s">
        <v>70</v>
      </c>
      <c r="H1846">
        <v>7</v>
      </c>
      <c r="I1846" t="s">
        <v>10315</v>
      </c>
      <c r="K1846" t="s">
        <v>2246</v>
      </c>
      <c r="L1846" t="s">
        <v>25</v>
      </c>
      <c r="M1846" t="s">
        <v>10316</v>
      </c>
      <c r="N1846" t="s">
        <v>10317</v>
      </c>
      <c r="O1846" t="s">
        <v>10318</v>
      </c>
      <c r="P1846" t="s">
        <v>10319</v>
      </c>
      <c r="Q1846" t="s">
        <v>30</v>
      </c>
      <c r="R1846" t="s">
        <v>31</v>
      </c>
      <c r="S1846" t="s">
        <v>159</v>
      </c>
    </row>
    <row r="1847" spans="1:19" x14ac:dyDescent="0.45">
      <c r="A1847" t="str">
        <f t="shared" si="123"/>
        <v>32801</v>
      </c>
      <c r="B1847" t="s">
        <v>1108</v>
      </c>
      <c r="C1847" t="str">
        <f>"32312"</f>
        <v>32312</v>
      </c>
      <c r="D1847" t="s">
        <v>10320</v>
      </c>
      <c r="E1847" t="str">
        <f>"2097"</f>
        <v>2097</v>
      </c>
      <c r="F1847" t="s">
        <v>10321</v>
      </c>
      <c r="G1847" t="s">
        <v>70</v>
      </c>
      <c r="H1847">
        <v>6</v>
      </c>
      <c r="I1847" t="s">
        <v>10322</v>
      </c>
      <c r="K1847" t="s">
        <v>10323</v>
      </c>
      <c r="L1847" t="s">
        <v>25</v>
      </c>
      <c r="M1847" t="s">
        <v>10324</v>
      </c>
      <c r="N1847" t="s">
        <v>10325</v>
      </c>
      <c r="O1847" t="s">
        <v>10326</v>
      </c>
      <c r="P1847" t="s">
        <v>10327</v>
      </c>
      <c r="Q1847" t="s">
        <v>30</v>
      </c>
      <c r="R1847" t="s">
        <v>31</v>
      </c>
      <c r="S1847" t="s">
        <v>32</v>
      </c>
    </row>
    <row r="1848" spans="1:19" x14ac:dyDescent="0.45">
      <c r="A1848" t="str">
        <f t="shared" si="123"/>
        <v>32801</v>
      </c>
      <c r="B1848" t="s">
        <v>1108</v>
      </c>
      <c r="C1848" t="str">
        <f>"32325"</f>
        <v>32325</v>
      </c>
      <c r="D1848" t="s">
        <v>2812</v>
      </c>
      <c r="E1848" t="str">
        <f>"2341"</f>
        <v>2341</v>
      </c>
      <c r="F1848" t="s">
        <v>10328</v>
      </c>
      <c r="G1848" t="s">
        <v>70</v>
      </c>
      <c r="H1848">
        <v>5</v>
      </c>
      <c r="I1848" t="s">
        <v>10329</v>
      </c>
      <c r="K1848" t="s">
        <v>2815</v>
      </c>
      <c r="L1848" t="s">
        <v>25</v>
      </c>
      <c r="M1848" t="s">
        <v>10330</v>
      </c>
      <c r="N1848" t="s">
        <v>10331</v>
      </c>
      <c r="O1848" t="s">
        <v>10332</v>
      </c>
      <c r="P1848" t="s">
        <v>10333</v>
      </c>
      <c r="Q1848" t="s">
        <v>30</v>
      </c>
      <c r="R1848" t="s">
        <v>31</v>
      </c>
      <c r="S1848" t="s">
        <v>32</v>
      </c>
    </row>
    <row r="1849" spans="1:19" x14ac:dyDescent="0.45">
      <c r="A1849" t="str">
        <f t="shared" si="123"/>
        <v>32801</v>
      </c>
      <c r="B1849" t="s">
        <v>1108</v>
      </c>
      <c r="C1849" t="str">
        <f>"32325"</f>
        <v>32325</v>
      </c>
      <c r="D1849" t="s">
        <v>2812</v>
      </c>
      <c r="E1849" t="str">
        <f>"4036"</f>
        <v>4036</v>
      </c>
      <c r="F1849" t="s">
        <v>10334</v>
      </c>
      <c r="G1849" t="s">
        <v>22</v>
      </c>
      <c r="H1849">
        <v>5</v>
      </c>
      <c r="I1849" t="s">
        <v>10335</v>
      </c>
      <c r="K1849" t="s">
        <v>2815</v>
      </c>
      <c r="L1849" t="s">
        <v>25</v>
      </c>
      <c r="M1849" t="s">
        <v>10336</v>
      </c>
      <c r="N1849" t="s">
        <v>10337</v>
      </c>
      <c r="O1849" t="s">
        <v>10338</v>
      </c>
      <c r="P1849" t="s">
        <v>10339</v>
      </c>
      <c r="Q1849" t="s">
        <v>30</v>
      </c>
      <c r="R1849" t="s">
        <v>31</v>
      </c>
      <c r="S1849" t="s">
        <v>32</v>
      </c>
    </row>
    <row r="1850" spans="1:19" x14ac:dyDescent="0.45">
      <c r="A1850" t="str">
        <f t="shared" si="123"/>
        <v>32801</v>
      </c>
      <c r="B1850" t="s">
        <v>1108</v>
      </c>
      <c r="C1850" t="str">
        <f>"32325"</f>
        <v>32325</v>
      </c>
      <c r="D1850" t="s">
        <v>2812</v>
      </c>
      <c r="E1850" t="str">
        <f>"4333"</f>
        <v>4333</v>
      </c>
      <c r="F1850" t="s">
        <v>10340</v>
      </c>
      <c r="G1850">
        <v>9</v>
      </c>
      <c r="H1850">
        <v>12</v>
      </c>
      <c r="I1850" t="s">
        <v>10341</v>
      </c>
      <c r="K1850" t="s">
        <v>2815</v>
      </c>
      <c r="L1850" t="s">
        <v>25</v>
      </c>
      <c r="M1850" t="s">
        <v>10342</v>
      </c>
      <c r="N1850" t="s">
        <v>10343</v>
      </c>
      <c r="O1850" t="s">
        <v>2817</v>
      </c>
      <c r="P1850" t="s">
        <v>2818</v>
      </c>
      <c r="Q1850" t="s">
        <v>30</v>
      </c>
      <c r="R1850" t="s">
        <v>31</v>
      </c>
      <c r="S1850" t="s">
        <v>58</v>
      </c>
    </row>
    <row r="1851" spans="1:19" x14ac:dyDescent="0.45">
      <c r="A1851" t="str">
        <f t="shared" si="123"/>
        <v>32801</v>
      </c>
      <c r="B1851" t="s">
        <v>1108</v>
      </c>
      <c r="C1851" t="str">
        <f>"32325"</f>
        <v>32325</v>
      </c>
      <c r="D1851" t="s">
        <v>2812</v>
      </c>
      <c r="E1851" t="str">
        <f>"4521"</f>
        <v>4521</v>
      </c>
      <c r="F1851" t="s">
        <v>10344</v>
      </c>
      <c r="G1851">
        <v>6</v>
      </c>
      <c r="H1851">
        <v>8</v>
      </c>
      <c r="I1851" t="s">
        <v>10345</v>
      </c>
      <c r="K1851" t="s">
        <v>2815</v>
      </c>
      <c r="L1851" t="s">
        <v>25</v>
      </c>
      <c r="M1851" t="s">
        <v>10342</v>
      </c>
      <c r="N1851" t="s">
        <v>10346</v>
      </c>
      <c r="O1851" t="s">
        <v>10347</v>
      </c>
      <c r="P1851" t="s">
        <v>10348</v>
      </c>
      <c r="Q1851" t="s">
        <v>30</v>
      </c>
      <c r="R1851" t="s">
        <v>31</v>
      </c>
      <c r="S1851" t="s">
        <v>104</v>
      </c>
    </row>
    <row r="1852" spans="1:19" x14ac:dyDescent="0.45">
      <c r="A1852" t="str">
        <f t="shared" si="123"/>
        <v>32801</v>
      </c>
      <c r="B1852" t="s">
        <v>1108</v>
      </c>
      <c r="C1852" t="str">
        <f>"32326"</f>
        <v>32326</v>
      </c>
      <c r="D1852" t="s">
        <v>10349</v>
      </c>
      <c r="E1852" t="str">
        <f>"2890"</f>
        <v>2890</v>
      </c>
      <c r="F1852" t="s">
        <v>10350</v>
      </c>
      <c r="G1852">
        <v>9</v>
      </c>
      <c r="H1852">
        <v>12</v>
      </c>
      <c r="I1852" t="s">
        <v>7567</v>
      </c>
      <c r="K1852" t="s">
        <v>10351</v>
      </c>
      <c r="L1852" t="s">
        <v>25</v>
      </c>
      <c r="M1852" t="s">
        <v>10352</v>
      </c>
      <c r="N1852" t="s">
        <v>10353</v>
      </c>
      <c r="O1852" t="s">
        <v>10354</v>
      </c>
      <c r="P1852" t="s">
        <v>10355</v>
      </c>
      <c r="Q1852" t="s">
        <v>30</v>
      </c>
      <c r="R1852" t="s">
        <v>31</v>
      </c>
      <c r="S1852" t="s">
        <v>58</v>
      </c>
    </row>
    <row r="1853" spans="1:19" x14ac:dyDescent="0.45">
      <c r="A1853" t="str">
        <f>"OSPI"</f>
        <v>OSPI</v>
      </c>
      <c r="B1853" t="s">
        <v>1763</v>
      </c>
      <c r="C1853" t="str">
        <f>"32801"</f>
        <v>32801</v>
      </c>
      <c r="D1853" t="s">
        <v>1108</v>
      </c>
      <c r="E1853" t="str">
        <f>"3352"</f>
        <v>3352</v>
      </c>
      <c r="F1853" t="s">
        <v>10356</v>
      </c>
      <c r="G1853">
        <v>8</v>
      </c>
      <c r="H1853">
        <v>12</v>
      </c>
      <c r="I1853" t="s">
        <v>10357</v>
      </c>
      <c r="K1853" t="s">
        <v>10351</v>
      </c>
      <c r="L1853" t="s">
        <v>25</v>
      </c>
      <c r="M1853" t="s">
        <v>10352</v>
      </c>
      <c r="N1853" t="s">
        <v>2454</v>
      </c>
      <c r="P1853" t="s">
        <v>10358</v>
      </c>
      <c r="Q1853" t="s">
        <v>1312</v>
      </c>
      <c r="R1853" t="s">
        <v>1313</v>
      </c>
      <c r="S1853" t="s">
        <v>58</v>
      </c>
    </row>
    <row r="1854" spans="1:19" x14ac:dyDescent="0.45">
      <c r="A1854" t="str">
        <f t="shared" ref="A1854:A1885" si="125">"32801"</f>
        <v>32801</v>
      </c>
      <c r="B1854" t="s">
        <v>1108</v>
      </c>
      <c r="C1854" t="str">
        <f>"32326"</f>
        <v>32326</v>
      </c>
      <c r="D1854" t="s">
        <v>10349</v>
      </c>
      <c r="E1854" t="str">
        <f>"3965"</f>
        <v>3965</v>
      </c>
      <c r="F1854" t="s">
        <v>10359</v>
      </c>
      <c r="G1854">
        <v>6</v>
      </c>
      <c r="H1854">
        <v>8</v>
      </c>
      <c r="I1854" t="s">
        <v>7567</v>
      </c>
      <c r="K1854" t="s">
        <v>10351</v>
      </c>
      <c r="L1854" t="s">
        <v>25</v>
      </c>
      <c r="M1854" t="s">
        <v>10352</v>
      </c>
      <c r="N1854" t="s">
        <v>10360</v>
      </c>
      <c r="O1854" t="s">
        <v>10361</v>
      </c>
      <c r="P1854" t="s">
        <v>10362</v>
      </c>
      <c r="Q1854" t="s">
        <v>30</v>
      </c>
      <c r="R1854" t="s">
        <v>31</v>
      </c>
      <c r="S1854" t="s">
        <v>104</v>
      </c>
    </row>
    <row r="1855" spans="1:19" x14ac:dyDescent="0.45">
      <c r="A1855" t="str">
        <f t="shared" si="125"/>
        <v>32801</v>
      </c>
      <c r="B1855" t="s">
        <v>1108</v>
      </c>
      <c r="C1855" t="str">
        <f>"32326"</f>
        <v>32326</v>
      </c>
      <c r="D1855" t="s">
        <v>10349</v>
      </c>
      <c r="E1855" t="str">
        <f>"4483"</f>
        <v>4483</v>
      </c>
      <c r="F1855" t="s">
        <v>10363</v>
      </c>
      <c r="G1855" t="s">
        <v>22</v>
      </c>
      <c r="H1855">
        <v>5</v>
      </c>
      <c r="I1855" t="s">
        <v>7567</v>
      </c>
      <c r="K1855" t="s">
        <v>10351</v>
      </c>
      <c r="L1855" t="s">
        <v>25</v>
      </c>
      <c r="M1855" t="s">
        <v>10352</v>
      </c>
      <c r="N1855" t="s">
        <v>10364</v>
      </c>
      <c r="O1855" t="s">
        <v>10365</v>
      </c>
      <c r="P1855" t="s">
        <v>10366</v>
      </c>
      <c r="Q1855" t="s">
        <v>30</v>
      </c>
      <c r="R1855" t="s">
        <v>31</v>
      </c>
      <c r="S1855" t="s">
        <v>32</v>
      </c>
    </row>
    <row r="1856" spans="1:19" x14ac:dyDescent="0.45">
      <c r="A1856" t="str">
        <f t="shared" si="125"/>
        <v>32801</v>
      </c>
      <c r="B1856" t="s">
        <v>1108</v>
      </c>
      <c r="C1856" t="str">
        <f t="shared" ref="C1856:C1867" si="126">"32354"</f>
        <v>32354</v>
      </c>
      <c r="D1856" t="s">
        <v>2735</v>
      </c>
      <c r="E1856" t="str">
        <f>"1858"</f>
        <v>1858</v>
      </c>
      <c r="F1856" t="s">
        <v>10367</v>
      </c>
      <c r="G1856" t="s">
        <v>70</v>
      </c>
      <c r="H1856">
        <v>12</v>
      </c>
      <c r="I1856" t="s">
        <v>10368</v>
      </c>
      <c r="K1856" t="s">
        <v>10323</v>
      </c>
      <c r="L1856" t="s">
        <v>25</v>
      </c>
      <c r="M1856">
        <v>99208</v>
      </c>
      <c r="N1856" t="s">
        <v>10369</v>
      </c>
      <c r="O1856" t="s">
        <v>10370</v>
      </c>
      <c r="P1856" t="s">
        <v>10371</v>
      </c>
      <c r="Q1856" t="s">
        <v>157</v>
      </c>
      <c r="R1856" t="s">
        <v>158</v>
      </c>
      <c r="S1856" t="s">
        <v>330</v>
      </c>
    </row>
    <row r="1857" spans="1:19" x14ac:dyDescent="0.45">
      <c r="A1857" t="str">
        <f t="shared" si="125"/>
        <v>32801</v>
      </c>
      <c r="B1857" t="s">
        <v>1108</v>
      </c>
      <c r="C1857" t="str">
        <f t="shared" si="126"/>
        <v>32354</v>
      </c>
      <c r="D1857" t="s">
        <v>2735</v>
      </c>
      <c r="E1857" t="str">
        <f>"2402"</f>
        <v>2402</v>
      </c>
      <c r="F1857" t="s">
        <v>10372</v>
      </c>
      <c r="G1857">
        <v>9</v>
      </c>
      <c r="H1857">
        <v>12</v>
      </c>
      <c r="I1857" t="s">
        <v>10373</v>
      </c>
      <c r="K1857" t="s">
        <v>10323</v>
      </c>
      <c r="L1857" t="s">
        <v>25</v>
      </c>
      <c r="M1857" t="s">
        <v>10374</v>
      </c>
      <c r="N1857" t="s">
        <v>10375</v>
      </c>
      <c r="O1857" t="s">
        <v>10376</v>
      </c>
      <c r="P1857" t="s">
        <v>10377</v>
      </c>
      <c r="Q1857" t="s">
        <v>30</v>
      </c>
      <c r="R1857" t="s">
        <v>31</v>
      </c>
      <c r="S1857" t="s">
        <v>58</v>
      </c>
    </row>
    <row r="1858" spans="1:19" x14ac:dyDescent="0.45">
      <c r="A1858" t="str">
        <f t="shared" si="125"/>
        <v>32801</v>
      </c>
      <c r="B1858" t="s">
        <v>1108</v>
      </c>
      <c r="C1858" t="str">
        <f t="shared" si="126"/>
        <v>32354</v>
      </c>
      <c r="D1858" t="s">
        <v>2735</v>
      </c>
      <c r="E1858" t="str">
        <f>"3191"</f>
        <v>3191</v>
      </c>
      <c r="F1858" t="s">
        <v>10378</v>
      </c>
      <c r="G1858">
        <v>7</v>
      </c>
      <c r="H1858">
        <v>8</v>
      </c>
      <c r="I1858" t="s">
        <v>10379</v>
      </c>
      <c r="K1858" t="s">
        <v>10380</v>
      </c>
      <c r="L1858" t="s">
        <v>25</v>
      </c>
      <c r="M1858">
        <v>99005</v>
      </c>
      <c r="N1858" t="s">
        <v>10381</v>
      </c>
      <c r="O1858" t="s">
        <v>10382</v>
      </c>
      <c r="P1858" t="s">
        <v>10371</v>
      </c>
      <c r="Q1858" t="s">
        <v>30</v>
      </c>
      <c r="R1858" t="s">
        <v>31</v>
      </c>
      <c r="S1858" t="s">
        <v>104</v>
      </c>
    </row>
    <row r="1859" spans="1:19" x14ac:dyDescent="0.45">
      <c r="A1859" t="str">
        <f t="shared" si="125"/>
        <v>32801</v>
      </c>
      <c r="B1859" t="s">
        <v>1108</v>
      </c>
      <c r="C1859" t="str">
        <f t="shared" si="126"/>
        <v>32354</v>
      </c>
      <c r="D1859" t="s">
        <v>2735</v>
      </c>
      <c r="E1859" t="str">
        <f>"3414"</f>
        <v>3414</v>
      </c>
      <c r="F1859" t="s">
        <v>7288</v>
      </c>
      <c r="G1859" t="s">
        <v>70</v>
      </c>
      <c r="H1859">
        <v>5</v>
      </c>
      <c r="I1859" t="s">
        <v>10383</v>
      </c>
      <c r="K1859" t="s">
        <v>10323</v>
      </c>
      <c r="L1859" t="s">
        <v>25</v>
      </c>
      <c r="M1859" t="s">
        <v>10384</v>
      </c>
      <c r="N1859" t="s">
        <v>10385</v>
      </c>
      <c r="O1859" t="s">
        <v>10386</v>
      </c>
      <c r="P1859" t="s">
        <v>10387</v>
      </c>
      <c r="Q1859" t="s">
        <v>30</v>
      </c>
      <c r="R1859" t="s">
        <v>31</v>
      </c>
      <c r="S1859" t="s">
        <v>32</v>
      </c>
    </row>
    <row r="1860" spans="1:19" x14ac:dyDescent="0.45">
      <c r="A1860" t="str">
        <f t="shared" si="125"/>
        <v>32801</v>
      </c>
      <c r="B1860" t="s">
        <v>1108</v>
      </c>
      <c r="C1860" t="str">
        <f t="shared" si="126"/>
        <v>32354</v>
      </c>
      <c r="D1860" t="s">
        <v>2735</v>
      </c>
      <c r="E1860" t="str">
        <f>"3562"</f>
        <v>3562</v>
      </c>
      <c r="F1860" t="s">
        <v>10388</v>
      </c>
      <c r="G1860" t="s">
        <v>70</v>
      </c>
      <c r="H1860">
        <v>6</v>
      </c>
      <c r="I1860" t="s">
        <v>10389</v>
      </c>
      <c r="K1860" t="s">
        <v>10380</v>
      </c>
      <c r="L1860" t="s">
        <v>25</v>
      </c>
      <c r="M1860" t="s">
        <v>10390</v>
      </c>
      <c r="N1860" t="s">
        <v>10391</v>
      </c>
      <c r="O1860" t="s">
        <v>10392</v>
      </c>
      <c r="P1860" t="s">
        <v>10393</v>
      </c>
      <c r="Q1860" t="s">
        <v>30</v>
      </c>
      <c r="R1860" t="s">
        <v>31</v>
      </c>
      <c r="S1860" t="s">
        <v>32</v>
      </c>
    </row>
    <row r="1861" spans="1:19" x14ac:dyDescent="0.45">
      <c r="A1861" t="str">
        <f t="shared" si="125"/>
        <v>32801</v>
      </c>
      <c r="B1861" t="s">
        <v>1108</v>
      </c>
      <c r="C1861" t="str">
        <f t="shared" si="126"/>
        <v>32354</v>
      </c>
      <c r="D1861" t="s">
        <v>2735</v>
      </c>
      <c r="E1861" t="str">
        <f>"3693"</f>
        <v>3693</v>
      </c>
      <c r="F1861" t="s">
        <v>10394</v>
      </c>
      <c r="G1861" t="s">
        <v>70</v>
      </c>
      <c r="H1861">
        <v>5</v>
      </c>
      <c r="I1861" t="s">
        <v>10395</v>
      </c>
      <c r="K1861" t="s">
        <v>10323</v>
      </c>
      <c r="L1861" t="s">
        <v>25</v>
      </c>
      <c r="M1861" t="s">
        <v>10396</v>
      </c>
      <c r="N1861" t="s">
        <v>10397</v>
      </c>
      <c r="O1861" t="s">
        <v>10398</v>
      </c>
      <c r="P1861" t="s">
        <v>10399</v>
      </c>
      <c r="Q1861" t="s">
        <v>30</v>
      </c>
      <c r="R1861" t="s">
        <v>31</v>
      </c>
      <c r="S1861" t="s">
        <v>32</v>
      </c>
    </row>
    <row r="1862" spans="1:19" x14ac:dyDescent="0.45">
      <c r="A1862" t="str">
        <f t="shared" si="125"/>
        <v>32801</v>
      </c>
      <c r="B1862" t="s">
        <v>1108</v>
      </c>
      <c r="C1862" t="str">
        <f t="shared" si="126"/>
        <v>32354</v>
      </c>
      <c r="D1862" t="s">
        <v>2735</v>
      </c>
      <c r="E1862" t="str">
        <f>"3759"</f>
        <v>3759</v>
      </c>
      <c r="F1862" t="s">
        <v>10400</v>
      </c>
      <c r="G1862" t="s">
        <v>70</v>
      </c>
      <c r="H1862">
        <v>5</v>
      </c>
      <c r="I1862" t="s">
        <v>10401</v>
      </c>
      <c r="K1862" t="s">
        <v>10323</v>
      </c>
      <c r="L1862" t="s">
        <v>25</v>
      </c>
      <c r="M1862" t="s">
        <v>10402</v>
      </c>
      <c r="N1862" t="s">
        <v>10403</v>
      </c>
      <c r="O1862" t="s">
        <v>10404</v>
      </c>
      <c r="P1862" t="s">
        <v>10405</v>
      </c>
      <c r="Q1862" t="s">
        <v>30</v>
      </c>
      <c r="R1862" t="s">
        <v>31</v>
      </c>
      <c r="S1862" t="s">
        <v>32</v>
      </c>
    </row>
    <row r="1863" spans="1:19" x14ac:dyDescent="0.45">
      <c r="A1863" t="str">
        <f t="shared" si="125"/>
        <v>32801</v>
      </c>
      <c r="B1863" t="s">
        <v>1108</v>
      </c>
      <c r="C1863" t="str">
        <f t="shared" si="126"/>
        <v>32354</v>
      </c>
      <c r="D1863" t="s">
        <v>2735</v>
      </c>
      <c r="E1863" t="str">
        <f>"3851"</f>
        <v>3851</v>
      </c>
      <c r="F1863" t="s">
        <v>6222</v>
      </c>
      <c r="G1863">
        <v>6</v>
      </c>
      <c r="H1863">
        <v>8</v>
      </c>
      <c r="I1863" t="s">
        <v>10406</v>
      </c>
      <c r="K1863" t="s">
        <v>10323</v>
      </c>
      <c r="L1863" t="s">
        <v>25</v>
      </c>
      <c r="M1863" t="s">
        <v>10407</v>
      </c>
      <c r="N1863" t="s">
        <v>10408</v>
      </c>
      <c r="O1863" t="s">
        <v>10409</v>
      </c>
      <c r="P1863" t="s">
        <v>10410</v>
      </c>
      <c r="Q1863" t="s">
        <v>30</v>
      </c>
      <c r="R1863" t="s">
        <v>31</v>
      </c>
      <c r="S1863" t="s">
        <v>104</v>
      </c>
    </row>
    <row r="1864" spans="1:19" x14ac:dyDescent="0.45">
      <c r="A1864" t="str">
        <f t="shared" si="125"/>
        <v>32801</v>
      </c>
      <c r="B1864" t="s">
        <v>1108</v>
      </c>
      <c r="C1864" t="str">
        <f t="shared" si="126"/>
        <v>32354</v>
      </c>
      <c r="D1864" t="s">
        <v>2735</v>
      </c>
      <c r="E1864" t="str">
        <f>"4133"</f>
        <v>4133</v>
      </c>
      <c r="F1864" t="s">
        <v>243</v>
      </c>
      <c r="G1864" t="s">
        <v>22</v>
      </c>
      <c r="H1864">
        <v>5</v>
      </c>
      <c r="I1864" t="s">
        <v>10411</v>
      </c>
      <c r="K1864" t="s">
        <v>10380</v>
      </c>
      <c r="L1864" t="s">
        <v>25</v>
      </c>
      <c r="M1864" t="s">
        <v>10412</v>
      </c>
      <c r="N1864" t="s">
        <v>10413</v>
      </c>
      <c r="O1864" t="s">
        <v>10414</v>
      </c>
      <c r="P1864" t="s">
        <v>10415</v>
      </c>
      <c r="Q1864" t="s">
        <v>30</v>
      </c>
      <c r="R1864" t="s">
        <v>31</v>
      </c>
      <c r="S1864" t="s">
        <v>32</v>
      </c>
    </row>
    <row r="1865" spans="1:19" x14ac:dyDescent="0.45">
      <c r="A1865" t="str">
        <f t="shared" si="125"/>
        <v>32801</v>
      </c>
      <c r="B1865" t="s">
        <v>1108</v>
      </c>
      <c r="C1865" t="str">
        <f t="shared" si="126"/>
        <v>32354</v>
      </c>
      <c r="D1865" t="s">
        <v>2735</v>
      </c>
      <c r="E1865" t="str">
        <f>"4134"</f>
        <v>4134</v>
      </c>
      <c r="F1865" t="s">
        <v>10416</v>
      </c>
      <c r="G1865" t="s">
        <v>70</v>
      </c>
      <c r="H1865">
        <v>6</v>
      </c>
      <c r="I1865" t="s">
        <v>10417</v>
      </c>
      <c r="K1865" t="s">
        <v>10323</v>
      </c>
      <c r="L1865" t="s">
        <v>25</v>
      </c>
      <c r="M1865" t="s">
        <v>10418</v>
      </c>
      <c r="N1865" t="s">
        <v>10419</v>
      </c>
      <c r="O1865" t="s">
        <v>10420</v>
      </c>
      <c r="P1865" t="s">
        <v>10421</v>
      </c>
      <c r="Q1865" t="s">
        <v>30</v>
      </c>
      <c r="R1865" t="s">
        <v>31</v>
      </c>
      <c r="S1865" t="s">
        <v>32</v>
      </c>
    </row>
    <row r="1866" spans="1:19" x14ac:dyDescent="0.45">
      <c r="A1866" t="str">
        <f t="shared" si="125"/>
        <v>32801</v>
      </c>
      <c r="B1866" t="s">
        <v>1108</v>
      </c>
      <c r="C1866" t="str">
        <f t="shared" si="126"/>
        <v>32354</v>
      </c>
      <c r="D1866" t="s">
        <v>2735</v>
      </c>
      <c r="E1866" t="str">
        <f>"4400"</f>
        <v>4400</v>
      </c>
      <c r="F1866" t="s">
        <v>10422</v>
      </c>
      <c r="G1866" t="s">
        <v>22</v>
      </c>
      <c r="H1866">
        <v>6</v>
      </c>
      <c r="I1866" t="s">
        <v>10423</v>
      </c>
      <c r="K1866" t="s">
        <v>10424</v>
      </c>
      <c r="L1866" t="s">
        <v>25</v>
      </c>
      <c r="M1866" t="s">
        <v>10425</v>
      </c>
      <c r="N1866" t="s">
        <v>10426</v>
      </c>
      <c r="O1866" t="s">
        <v>10427</v>
      </c>
      <c r="P1866" t="s">
        <v>10428</v>
      </c>
      <c r="Q1866" t="s">
        <v>30</v>
      </c>
      <c r="R1866" t="s">
        <v>31</v>
      </c>
      <c r="S1866" t="s">
        <v>32</v>
      </c>
    </row>
    <row r="1867" spans="1:19" x14ac:dyDescent="0.45">
      <c r="A1867" t="str">
        <f t="shared" si="125"/>
        <v>32801</v>
      </c>
      <c r="B1867" t="s">
        <v>1108</v>
      </c>
      <c r="C1867" t="str">
        <f t="shared" si="126"/>
        <v>32354</v>
      </c>
      <c r="D1867" t="s">
        <v>2735</v>
      </c>
      <c r="E1867" t="str">
        <f>"4491"</f>
        <v>4491</v>
      </c>
      <c r="F1867" t="s">
        <v>10429</v>
      </c>
      <c r="G1867">
        <v>9</v>
      </c>
      <c r="H1867">
        <v>12</v>
      </c>
      <c r="I1867" t="s">
        <v>10430</v>
      </c>
      <c r="K1867" t="s">
        <v>10424</v>
      </c>
      <c r="L1867" t="s">
        <v>25</v>
      </c>
      <c r="M1867" t="s">
        <v>10431</v>
      </c>
      <c r="N1867" t="s">
        <v>10432</v>
      </c>
      <c r="O1867" t="s">
        <v>10433</v>
      </c>
      <c r="P1867" t="s">
        <v>10434</v>
      </c>
      <c r="Q1867" t="s">
        <v>30</v>
      </c>
      <c r="R1867" t="s">
        <v>31</v>
      </c>
      <c r="S1867" t="s">
        <v>58</v>
      </c>
    </row>
    <row r="1868" spans="1:19" x14ac:dyDescent="0.45">
      <c r="A1868" t="str">
        <f t="shared" si="125"/>
        <v>32801</v>
      </c>
      <c r="B1868" t="s">
        <v>1108</v>
      </c>
      <c r="C1868" t="str">
        <f t="shared" ref="C1868:C1888" si="127">"32356"</f>
        <v>32356</v>
      </c>
      <c r="D1868" t="s">
        <v>2362</v>
      </c>
      <c r="E1868" t="str">
        <f>"2113"</f>
        <v>2113</v>
      </c>
      <c r="F1868" t="s">
        <v>10435</v>
      </c>
      <c r="G1868" t="s">
        <v>22</v>
      </c>
      <c r="H1868">
        <v>5</v>
      </c>
      <c r="I1868" t="s">
        <v>10436</v>
      </c>
      <c r="K1868" t="s">
        <v>2365</v>
      </c>
      <c r="L1868" t="s">
        <v>25</v>
      </c>
      <c r="M1868" t="s">
        <v>10437</v>
      </c>
      <c r="N1868" t="s">
        <v>10438</v>
      </c>
      <c r="O1868" t="s">
        <v>10439</v>
      </c>
      <c r="P1868" t="s">
        <v>10440</v>
      </c>
      <c r="Q1868" t="s">
        <v>30</v>
      </c>
      <c r="R1868" t="s">
        <v>31</v>
      </c>
      <c r="S1868" t="s">
        <v>32</v>
      </c>
    </row>
    <row r="1869" spans="1:19" x14ac:dyDescent="0.45">
      <c r="A1869" t="str">
        <f t="shared" si="125"/>
        <v>32801</v>
      </c>
      <c r="B1869" t="s">
        <v>1108</v>
      </c>
      <c r="C1869" t="str">
        <f t="shared" si="127"/>
        <v>32356</v>
      </c>
      <c r="D1869" t="s">
        <v>2362</v>
      </c>
      <c r="E1869" t="str">
        <f>"2157"</f>
        <v>2157</v>
      </c>
      <c r="F1869" t="s">
        <v>10441</v>
      </c>
      <c r="G1869" t="s">
        <v>70</v>
      </c>
      <c r="H1869">
        <v>5</v>
      </c>
      <c r="I1869" t="s">
        <v>10442</v>
      </c>
      <c r="K1869" t="s">
        <v>2365</v>
      </c>
      <c r="L1869" t="s">
        <v>25</v>
      </c>
      <c r="M1869" t="s">
        <v>10443</v>
      </c>
      <c r="N1869" t="s">
        <v>10444</v>
      </c>
      <c r="O1869" t="s">
        <v>10445</v>
      </c>
      <c r="P1869" t="s">
        <v>10446</v>
      </c>
      <c r="Q1869" t="s">
        <v>30</v>
      </c>
      <c r="R1869" t="s">
        <v>31</v>
      </c>
      <c r="S1869" t="s">
        <v>32</v>
      </c>
    </row>
    <row r="1870" spans="1:19" x14ac:dyDescent="0.45">
      <c r="A1870" t="str">
        <f t="shared" si="125"/>
        <v>32801</v>
      </c>
      <c r="B1870" t="s">
        <v>1108</v>
      </c>
      <c r="C1870" t="str">
        <f t="shared" si="127"/>
        <v>32356</v>
      </c>
      <c r="D1870" t="s">
        <v>2362</v>
      </c>
      <c r="E1870" t="str">
        <f>"2776"</f>
        <v>2776</v>
      </c>
      <c r="F1870" t="s">
        <v>10447</v>
      </c>
      <c r="G1870">
        <v>6</v>
      </c>
      <c r="H1870">
        <v>8</v>
      </c>
      <c r="I1870" t="s">
        <v>10448</v>
      </c>
      <c r="K1870" t="s">
        <v>2365</v>
      </c>
      <c r="L1870" t="s">
        <v>25</v>
      </c>
      <c r="M1870" t="s">
        <v>10449</v>
      </c>
      <c r="N1870" t="s">
        <v>10450</v>
      </c>
      <c r="O1870" t="s">
        <v>10451</v>
      </c>
      <c r="P1870" t="s">
        <v>10452</v>
      </c>
      <c r="Q1870" t="s">
        <v>30</v>
      </c>
      <c r="R1870" t="s">
        <v>31</v>
      </c>
      <c r="S1870" t="s">
        <v>104</v>
      </c>
    </row>
    <row r="1871" spans="1:19" x14ac:dyDescent="0.45">
      <c r="A1871" t="str">
        <f t="shared" si="125"/>
        <v>32801</v>
      </c>
      <c r="B1871" t="s">
        <v>1108</v>
      </c>
      <c r="C1871" t="str">
        <f t="shared" si="127"/>
        <v>32356</v>
      </c>
      <c r="D1871" t="s">
        <v>2362</v>
      </c>
      <c r="E1871" t="str">
        <f>"2892"</f>
        <v>2892</v>
      </c>
      <c r="F1871" t="s">
        <v>10453</v>
      </c>
      <c r="G1871" t="s">
        <v>22</v>
      </c>
      <c r="H1871">
        <v>5</v>
      </c>
      <c r="I1871" t="s">
        <v>10454</v>
      </c>
      <c r="K1871" t="s">
        <v>2365</v>
      </c>
      <c r="L1871" t="s">
        <v>25</v>
      </c>
      <c r="M1871" t="s">
        <v>10455</v>
      </c>
      <c r="N1871" t="s">
        <v>10456</v>
      </c>
      <c r="O1871" t="s">
        <v>10457</v>
      </c>
      <c r="P1871" t="s">
        <v>10458</v>
      </c>
      <c r="Q1871" t="s">
        <v>30</v>
      </c>
      <c r="R1871" t="s">
        <v>31</v>
      </c>
      <c r="S1871" t="s">
        <v>32</v>
      </c>
    </row>
    <row r="1872" spans="1:19" x14ac:dyDescent="0.45">
      <c r="A1872" t="str">
        <f t="shared" si="125"/>
        <v>32801</v>
      </c>
      <c r="B1872" t="s">
        <v>1108</v>
      </c>
      <c r="C1872" t="str">
        <f t="shared" si="127"/>
        <v>32356</v>
      </c>
      <c r="D1872" t="s">
        <v>2362</v>
      </c>
      <c r="E1872" t="str">
        <f>"2953"</f>
        <v>2953</v>
      </c>
      <c r="F1872" t="s">
        <v>10459</v>
      </c>
      <c r="G1872" t="s">
        <v>22</v>
      </c>
      <c r="H1872">
        <v>5</v>
      </c>
      <c r="I1872" t="s">
        <v>10460</v>
      </c>
      <c r="K1872" t="s">
        <v>2365</v>
      </c>
      <c r="L1872" t="s">
        <v>25</v>
      </c>
      <c r="M1872" t="s">
        <v>10461</v>
      </c>
      <c r="N1872" t="s">
        <v>10462</v>
      </c>
      <c r="O1872" t="s">
        <v>10463</v>
      </c>
      <c r="P1872" t="s">
        <v>10464</v>
      </c>
      <c r="Q1872" t="s">
        <v>30</v>
      </c>
      <c r="R1872" t="s">
        <v>31</v>
      </c>
      <c r="S1872" t="s">
        <v>32</v>
      </c>
    </row>
    <row r="1873" spans="1:19" x14ac:dyDescent="0.45">
      <c r="A1873" t="str">
        <f t="shared" si="125"/>
        <v>32801</v>
      </c>
      <c r="B1873" t="s">
        <v>1108</v>
      </c>
      <c r="C1873" t="str">
        <f t="shared" si="127"/>
        <v>32356</v>
      </c>
      <c r="D1873" t="s">
        <v>2362</v>
      </c>
      <c r="E1873" t="str">
        <f>"3064"</f>
        <v>3064</v>
      </c>
      <c r="F1873" t="s">
        <v>10465</v>
      </c>
      <c r="G1873" t="s">
        <v>22</v>
      </c>
      <c r="H1873">
        <v>5</v>
      </c>
      <c r="I1873" t="s">
        <v>10466</v>
      </c>
      <c r="K1873" t="s">
        <v>2365</v>
      </c>
      <c r="L1873" t="s">
        <v>25</v>
      </c>
      <c r="M1873" t="s">
        <v>10467</v>
      </c>
      <c r="N1873" t="s">
        <v>10468</v>
      </c>
      <c r="O1873" t="s">
        <v>10469</v>
      </c>
      <c r="P1873" t="s">
        <v>10470</v>
      </c>
      <c r="Q1873" t="s">
        <v>30</v>
      </c>
      <c r="R1873" t="s">
        <v>31</v>
      </c>
      <c r="S1873" t="s">
        <v>32</v>
      </c>
    </row>
    <row r="1874" spans="1:19" x14ac:dyDescent="0.45">
      <c r="A1874" t="str">
        <f t="shared" si="125"/>
        <v>32801</v>
      </c>
      <c r="B1874" t="s">
        <v>1108</v>
      </c>
      <c r="C1874" t="str">
        <f t="shared" si="127"/>
        <v>32356</v>
      </c>
      <c r="D1874" t="s">
        <v>2362</v>
      </c>
      <c r="E1874" t="str">
        <f>"3065"</f>
        <v>3065</v>
      </c>
      <c r="F1874" t="s">
        <v>10471</v>
      </c>
      <c r="G1874">
        <v>9</v>
      </c>
      <c r="H1874">
        <v>12</v>
      </c>
      <c r="I1874" t="s">
        <v>10472</v>
      </c>
      <c r="K1874" t="s">
        <v>2365</v>
      </c>
      <c r="L1874" t="s">
        <v>25</v>
      </c>
      <c r="M1874" t="s">
        <v>10473</v>
      </c>
      <c r="N1874" t="s">
        <v>10474</v>
      </c>
      <c r="O1874" t="s">
        <v>10475</v>
      </c>
      <c r="P1874" t="s">
        <v>10476</v>
      </c>
      <c r="Q1874" t="s">
        <v>30</v>
      </c>
      <c r="R1874" t="s">
        <v>31</v>
      </c>
      <c r="S1874" t="s">
        <v>58</v>
      </c>
    </row>
    <row r="1875" spans="1:19" x14ac:dyDescent="0.45">
      <c r="A1875" t="str">
        <f t="shared" si="125"/>
        <v>32801</v>
      </c>
      <c r="B1875" t="s">
        <v>1108</v>
      </c>
      <c r="C1875" t="str">
        <f t="shared" si="127"/>
        <v>32356</v>
      </c>
      <c r="D1875" t="s">
        <v>2362</v>
      </c>
      <c r="E1875" t="str">
        <f>"3127"</f>
        <v>3127</v>
      </c>
      <c r="F1875" t="s">
        <v>10477</v>
      </c>
      <c r="G1875" t="s">
        <v>22</v>
      </c>
      <c r="H1875">
        <v>5</v>
      </c>
      <c r="I1875" t="s">
        <v>10478</v>
      </c>
      <c r="K1875" t="s">
        <v>2365</v>
      </c>
      <c r="L1875" t="s">
        <v>25</v>
      </c>
      <c r="M1875" t="s">
        <v>10479</v>
      </c>
      <c r="N1875" t="s">
        <v>10480</v>
      </c>
      <c r="O1875" t="s">
        <v>10481</v>
      </c>
      <c r="P1875" t="s">
        <v>10482</v>
      </c>
      <c r="Q1875" t="s">
        <v>30</v>
      </c>
      <c r="R1875" t="s">
        <v>31</v>
      </c>
      <c r="S1875" t="s">
        <v>32</v>
      </c>
    </row>
    <row r="1876" spans="1:19" x14ac:dyDescent="0.45">
      <c r="A1876" t="str">
        <f t="shared" si="125"/>
        <v>32801</v>
      </c>
      <c r="B1876" t="s">
        <v>1108</v>
      </c>
      <c r="C1876" t="str">
        <f t="shared" si="127"/>
        <v>32356</v>
      </c>
      <c r="D1876" t="s">
        <v>2362</v>
      </c>
      <c r="E1876" t="str">
        <f>"3259"</f>
        <v>3259</v>
      </c>
      <c r="F1876" t="s">
        <v>10093</v>
      </c>
      <c r="G1876" t="s">
        <v>22</v>
      </c>
      <c r="H1876">
        <v>5</v>
      </c>
      <c r="I1876" t="s">
        <v>10483</v>
      </c>
      <c r="K1876" t="s">
        <v>2365</v>
      </c>
      <c r="L1876" t="s">
        <v>25</v>
      </c>
      <c r="M1876" t="s">
        <v>10484</v>
      </c>
      <c r="N1876" t="s">
        <v>10485</v>
      </c>
      <c r="O1876" t="s">
        <v>10486</v>
      </c>
      <c r="P1876" t="s">
        <v>10487</v>
      </c>
      <c r="Q1876" t="s">
        <v>30</v>
      </c>
      <c r="R1876" t="s">
        <v>31</v>
      </c>
      <c r="S1876" t="s">
        <v>32</v>
      </c>
    </row>
    <row r="1877" spans="1:19" x14ac:dyDescent="0.45">
      <c r="A1877" t="str">
        <f t="shared" si="125"/>
        <v>32801</v>
      </c>
      <c r="B1877" t="s">
        <v>1108</v>
      </c>
      <c r="C1877" t="str">
        <f t="shared" si="127"/>
        <v>32356</v>
      </c>
      <c r="D1877" t="s">
        <v>2362</v>
      </c>
      <c r="E1877" t="str">
        <f>"3260"</f>
        <v>3260</v>
      </c>
      <c r="F1877" t="s">
        <v>10488</v>
      </c>
      <c r="G1877">
        <v>6</v>
      </c>
      <c r="H1877">
        <v>8</v>
      </c>
      <c r="I1877" t="s">
        <v>10489</v>
      </c>
      <c r="K1877" t="s">
        <v>2365</v>
      </c>
      <c r="L1877" t="s">
        <v>25</v>
      </c>
      <c r="M1877" t="s">
        <v>10490</v>
      </c>
      <c r="N1877" t="s">
        <v>4461</v>
      </c>
      <c r="O1877" t="s">
        <v>4462</v>
      </c>
      <c r="P1877" t="s">
        <v>10491</v>
      </c>
      <c r="Q1877" t="s">
        <v>30</v>
      </c>
      <c r="R1877" t="s">
        <v>31</v>
      </c>
      <c r="S1877" t="s">
        <v>104</v>
      </c>
    </row>
    <row r="1878" spans="1:19" x14ac:dyDescent="0.45">
      <c r="A1878" t="str">
        <f t="shared" si="125"/>
        <v>32801</v>
      </c>
      <c r="B1878" t="s">
        <v>1108</v>
      </c>
      <c r="C1878" t="str">
        <f t="shared" si="127"/>
        <v>32356</v>
      </c>
      <c r="D1878" t="s">
        <v>2362</v>
      </c>
      <c r="E1878" t="str">
        <f>"3307"</f>
        <v>3307</v>
      </c>
      <c r="F1878" t="s">
        <v>10492</v>
      </c>
      <c r="G1878" t="s">
        <v>22</v>
      </c>
      <c r="H1878">
        <v>5</v>
      </c>
      <c r="I1878" t="s">
        <v>10493</v>
      </c>
      <c r="K1878" t="s">
        <v>2365</v>
      </c>
      <c r="L1878" t="s">
        <v>25</v>
      </c>
      <c r="M1878" t="s">
        <v>10494</v>
      </c>
      <c r="N1878" t="s">
        <v>10495</v>
      </c>
      <c r="O1878" t="s">
        <v>10496</v>
      </c>
      <c r="P1878" t="s">
        <v>10497</v>
      </c>
      <c r="Q1878" t="s">
        <v>30</v>
      </c>
      <c r="R1878" t="s">
        <v>31</v>
      </c>
      <c r="S1878" t="s">
        <v>32</v>
      </c>
    </row>
    <row r="1879" spans="1:19" x14ac:dyDescent="0.45">
      <c r="A1879" t="str">
        <f t="shared" si="125"/>
        <v>32801</v>
      </c>
      <c r="B1879" t="s">
        <v>1108</v>
      </c>
      <c r="C1879" t="str">
        <f t="shared" si="127"/>
        <v>32356</v>
      </c>
      <c r="D1879" t="s">
        <v>2362</v>
      </c>
      <c r="E1879" t="str">
        <f>"3415"</f>
        <v>3415</v>
      </c>
      <c r="F1879" t="s">
        <v>10498</v>
      </c>
      <c r="G1879">
        <v>9</v>
      </c>
      <c r="H1879">
        <v>12</v>
      </c>
      <c r="I1879" t="s">
        <v>10499</v>
      </c>
      <c r="K1879" t="s">
        <v>2365</v>
      </c>
      <c r="L1879" t="s">
        <v>25</v>
      </c>
      <c r="M1879" t="s">
        <v>10500</v>
      </c>
      <c r="N1879" t="s">
        <v>10501</v>
      </c>
      <c r="O1879" t="s">
        <v>10502</v>
      </c>
      <c r="P1879" t="s">
        <v>10503</v>
      </c>
      <c r="Q1879" t="s">
        <v>30</v>
      </c>
      <c r="R1879" t="s">
        <v>31</v>
      </c>
      <c r="S1879" t="s">
        <v>58</v>
      </c>
    </row>
    <row r="1880" spans="1:19" x14ac:dyDescent="0.45">
      <c r="A1880" t="str">
        <f t="shared" si="125"/>
        <v>32801</v>
      </c>
      <c r="B1880" t="s">
        <v>1108</v>
      </c>
      <c r="C1880" t="str">
        <f t="shared" si="127"/>
        <v>32356</v>
      </c>
      <c r="D1880" t="s">
        <v>2362</v>
      </c>
      <c r="E1880" t="str">
        <f>"3465"</f>
        <v>3465</v>
      </c>
      <c r="F1880" t="s">
        <v>10504</v>
      </c>
      <c r="G1880" t="s">
        <v>70</v>
      </c>
      <c r="H1880">
        <v>8</v>
      </c>
      <c r="I1880" t="s">
        <v>10505</v>
      </c>
      <c r="K1880" t="s">
        <v>2365</v>
      </c>
      <c r="L1880" t="s">
        <v>25</v>
      </c>
      <c r="M1880" t="s">
        <v>10506</v>
      </c>
      <c r="N1880" t="s">
        <v>10507</v>
      </c>
      <c r="O1880" t="s">
        <v>10508</v>
      </c>
      <c r="P1880" t="s">
        <v>10509</v>
      </c>
      <c r="Q1880" t="s">
        <v>30</v>
      </c>
      <c r="R1880" t="s">
        <v>31</v>
      </c>
      <c r="S1880" t="s">
        <v>159</v>
      </c>
    </row>
    <row r="1881" spans="1:19" x14ac:dyDescent="0.45">
      <c r="A1881" t="str">
        <f t="shared" si="125"/>
        <v>32801</v>
      </c>
      <c r="B1881" t="s">
        <v>1108</v>
      </c>
      <c r="C1881" t="str">
        <f t="shared" si="127"/>
        <v>32356</v>
      </c>
      <c r="D1881" t="s">
        <v>2362</v>
      </c>
      <c r="E1881" t="str">
        <f>"3573"</f>
        <v>3573</v>
      </c>
      <c r="F1881" t="s">
        <v>10510</v>
      </c>
      <c r="G1881">
        <v>6</v>
      </c>
      <c r="H1881">
        <v>8</v>
      </c>
      <c r="I1881" t="s">
        <v>10511</v>
      </c>
      <c r="K1881" t="s">
        <v>2365</v>
      </c>
      <c r="L1881" t="s">
        <v>25</v>
      </c>
      <c r="M1881" t="s">
        <v>10512</v>
      </c>
      <c r="N1881" t="s">
        <v>10513</v>
      </c>
      <c r="O1881" t="s">
        <v>10514</v>
      </c>
      <c r="P1881" t="s">
        <v>10515</v>
      </c>
      <c r="Q1881" t="s">
        <v>30</v>
      </c>
      <c r="R1881" t="s">
        <v>31</v>
      </c>
      <c r="S1881" t="s">
        <v>104</v>
      </c>
    </row>
    <row r="1882" spans="1:19" x14ac:dyDescent="0.45">
      <c r="A1882" t="str">
        <f t="shared" si="125"/>
        <v>32801</v>
      </c>
      <c r="B1882" t="s">
        <v>1108</v>
      </c>
      <c r="C1882" t="str">
        <f t="shared" si="127"/>
        <v>32356</v>
      </c>
      <c r="D1882" t="s">
        <v>2362</v>
      </c>
      <c r="E1882" t="str">
        <f>"3890"</f>
        <v>3890</v>
      </c>
      <c r="F1882" t="s">
        <v>5973</v>
      </c>
      <c r="G1882">
        <v>6</v>
      </c>
      <c r="H1882">
        <v>8</v>
      </c>
      <c r="I1882" t="s">
        <v>10516</v>
      </c>
      <c r="K1882" t="s">
        <v>2365</v>
      </c>
      <c r="L1882" t="s">
        <v>25</v>
      </c>
      <c r="M1882" t="s">
        <v>10517</v>
      </c>
      <c r="N1882" t="s">
        <v>10518</v>
      </c>
      <c r="O1882" t="s">
        <v>10519</v>
      </c>
      <c r="P1882" t="s">
        <v>10520</v>
      </c>
      <c r="Q1882" t="s">
        <v>30</v>
      </c>
      <c r="R1882" t="s">
        <v>31</v>
      </c>
      <c r="S1882" t="s">
        <v>104</v>
      </c>
    </row>
    <row r="1883" spans="1:19" x14ac:dyDescent="0.45">
      <c r="A1883" t="str">
        <f t="shared" si="125"/>
        <v>32801</v>
      </c>
      <c r="B1883" t="s">
        <v>1108</v>
      </c>
      <c r="C1883" t="str">
        <f t="shared" si="127"/>
        <v>32356</v>
      </c>
      <c r="D1883" t="s">
        <v>2362</v>
      </c>
      <c r="E1883" t="str">
        <f>"3918"</f>
        <v>3918</v>
      </c>
      <c r="F1883" t="s">
        <v>10521</v>
      </c>
      <c r="G1883">
        <v>9</v>
      </c>
      <c r="H1883">
        <v>12</v>
      </c>
      <c r="I1883" t="s">
        <v>10522</v>
      </c>
      <c r="J1883" t="s">
        <v>2341</v>
      </c>
      <c r="K1883" t="s">
        <v>2365</v>
      </c>
      <c r="L1883" t="s">
        <v>25</v>
      </c>
      <c r="M1883" t="s">
        <v>10523</v>
      </c>
      <c r="N1883" t="s">
        <v>10524</v>
      </c>
      <c r="O1883" t="s">
        <v>10525</v>
      </c>
      <c r="P1883" t="s">
        <v>10526</v>
      </c>
      <c r="Q1883" t="s">
        <v>157</v>
      </c>
      <c r="R1883" t="s">
        <v>158</v>
      </c>
      <c r="S1883" t="s">
        <v>58</v>
      </c>
    </row>
    <row r="1884" spans="1:19" x14ac:dyDescent="0.45">
      <c r="A1884" t="str">
        <f t="shared" si="125"/>
        <v>32801</v>
      </c>
      <c r="B1884" t="s">
        <v>1108</v>
      </c>
      <c r="C1884" t="str">
        <f t="shared" si="127"/>
        <v>32356</v>
      </c>
      <c r="D1884" t="s">
        <v>2362</v>
      </c>
      <c r="E1884" t="str">
        <f>"3929"</f>
        <v>3929</v>
      </c>
      <c r="F1884" t="s">
        <v>10527</v>
      </c>
      <c r="G1884" t="s">
        <v>22</v>
      </c>
      <c r="H1884">
        <v>5</v>
      </c>
      <c r="I1884" t="s">
        <v>10528</v>
      </c>
      <c r="K1884" t="s">
        <v>2365</v>
      </c>
      <c r="L1884" t="s">
        <v>25</v>
      </c>
      <c r="M1884" t="s">
        <v>10529</v>
      </c>
      <c r="N1884" t="s">
        <v>10530</v>
      </c>
      <c r="O1884" t="s">
        <v>10531</v>
      </c>
      <c r="P1884" t="s">
        <v>10532</v>
      </c>
      <c r="Q1884" t="s">
        <v>30</v>
      </c>
      <c r="R1884" t="s">
        <v>31</v>
      </c>
      <c r="S1884" t="s">
        <v>32</v>
      </c>
    </row>
    <row r="1885" spans="1:19" x14ac:dyDescent="0.45">
      <c r="A1885" t="str">
        <f t="shared" si="125"/>
        <v>32801</v>
      </c>
      <c r="B1885" t="s">
        <v>1108</v>
      </c>
      <c r="C1885" t="str">
        <f t="shared" si="127"/>
        <v>32356</v>
      </c>
      <c r="D1885" t="s">
        <v>2362</v>
      </c>
      <c r="E1885" t="str">
        <f>"4098"</f>
        <v>4098</v>
      </c>
      <c r="F1885" t="s">
        <v>10533</v>
      </c>
      <c r="G1885" t="s">
        <v>22</v>
      </c>
      <c r="H1885">
        <v>5</v>
      </c>
      <c r="I1885" t="s">
        <v>10534</v>
      </c>
      <c r="K1885" t="s">
        <v>2365</v>
      </c>
      <c r="L1885" t="s">
        <v>25</v>
      </c>
      <c r="M1885" t="s">
        <v>10535</v>
      </c>
      <c r="N1885" t="s">
        <v>10536</v>
      </c>
      <c r="O1885" t="s">
        <v>10537</v>
      </c>
      <c r="P1885" t="s">
        <v>10538</v>
      </c>
      <c r="Q1885" t="s">
        <v>30</v>
      </c>
      <c r="R1885" t="s">
        <v>31</v>
      </c>
      <c r="S1885" t="s">
        <v>32</v>
      </c>
    </row>
    <row r="1886" spans="1:19" x14ac:dyDescent="0.45">
      <c r="A1886" t="str">
        <f t="shared" ref="A1886:A1917" si="128">"32801"</f>
        <v>32801</v>
      </c>
      <c r="B1886" t="s">
        <v>1108</v>
      </c>
      <c r="C1886" t="str">
        <f t="shared" si="127"/>
        <v>32356</v>
      </c>
      <c r="D1886" t="s">
        <v>2362</v>
      </c>
      <c r="E1886" t="str">
        <f>"4160"</f>
        <v>4160</v>
      </c>
      <c r="F1886" t="s">
        <v>105</v>
      </c>
      <c r="G1886" t="s">
        <v>22</v>
      </c>
      <c r="H1886">
        <v>5</v>
      </c>
      <c r="I1886" t="s">
        <v>10539</v>
      </c>
      <c r="K1886" t="s">
        <v>2365</v>
      </c>
      <c r="L1886" t="s">
        <v>25</v>
      </c>
      <c r="M1886" t="s">
        <v>10540</v>
      </c>
      <c r="N1886" t="s">
        <v>10541</v>
      </c>
      <c r="O1886" t="s">
        <v>10542</v>
      </c>
      <c r="P1886" t="s">
        <v>10543</v>
      </c>
      <c r="Q1886" t="s">
        <v>30</v>
      </c>
      <c r="R1886" t="s">
        <v>31</v>
      </c>
      <c r="S1886" t="s">
        <v>32</v>
      </c>
    </row>
    <row r="1887" spans="1:19" x14ac:dyDescent="0.45">
      <c r="A1887" t="str">
        <f t="shared" si="128"/>
        <v>32801</v>
      </c>
      <c r="B1887" t="s">
        <v>1108</v>
      </c>
      <c r="C1887" t="str">
        <f t="shared" si="127"/>
        <v>32356</v>
      </c>
      <c r="D1887" t="s">
        <v>2362</v>
      </c>
      <c r="E1887" t="str">
        <f>"4185"</f>
        <v>4185</v>
      </c>
      <c r="F1887" t="s">
        <v>10544</v>
      </c>
      <c r="G1887">
        <v>6</v>
      </c>
      <c r="H1887">
        <v>8</v>
      </c>
      <c r="I1887" t="s">
        <v>10545</v>
      </c>
      <c r="K1887" t="s">
        <v>2365</v>
      </c>
      <c r="L1887" t="s">
        <v>25</v>
      </c>
      <c r="M1887" t="s">
        <v>10546</v>
      </c>
      <c r="N1887" t="s">
        <v>10547</v>
      </c>
      <c r="O1887" t="s">
        <v>10548</v>
      </c>
      <c r="P1887" t="s">
        <v>10549</v>
      </c>
      <c r="Q1887" t="s">
        <v>30</v>
      </c>
      <c r="R1887" t="s">
        <v>31</v>
      </c>
      <c r="S1887" t="s">
        <v>104</v>
      </c>
    </row>
    <row r="1888" spans="1:19" x14ac:dyDescent="0.45">
      <c r="A1888" t="str">
        <f t="shared" si="128"/>
        <v>32801</v>
      </c>
      <c r="B1888" t="s">
        <v>1108</v>
      </c>
      <c r="C1888" t="str">
        <f t="shared" si="127"/>
        <v>32356</v>
      </c>
      <c r="D1888" t="s">
        <v>2362</v>
      </c>
      <c r="E1888" t="str">
        <f>"4529"</f>
        <v>4529</v>
      </c>
      <c r="F1888" t="s">
        <v>10550</v>
      </c>
      <c r="G1888">
        <v>3</v>
      </c>
      <c r="H1888">
        <v>5</v>
      </c>
      <c r="I1888" t="s">
        <v>10551</v>
      </c>
      <c r="K1888" t="s">
        <v>3211</v>
      </c>
      <c r="L1888" t="s">
        <v>25</v>
      </c>
      <c r="M1888" t="s">
        <v>10552</v>
      </c>
      <c r="N1888" t="s">
        <v>10553</v>
      </c>
      <c r="O1888" t="s">
        <v>10554</v>
      </c>
      <c r="P1888" t="s">
        <v>10555</v>
      </c>
      <c r="Q1888" t="s">
        <v>30</v>
      </c>
      <c r="R1888" t="s">
        <v>31</v>
      </c>
      <c r="S1888" t="s">
        <v>32</v>
      </c>
    </row>
    <row r="1889" spans="1:19" x14ac:dyDescent="0.45">
      <c r="A1889" t="str">
        <f t="shared" si="128"/>
        <v>32801</v>
      </c>
      <c r="B1889" t="s">
        <v>1108</v>
      </c>
      <c r="C1889" t="str">
        <f>"32358"</f>
        <v>32358</v>
      </c>
      <c r="D1889" t="s">
        <v>10556</v>
      </c>
      <c r="E1889" t="str">
        <f>"3192"</f>
        <v>3192</v>
      </c>
      <c r="F1889" t="s">
        <v>10557</v>
      </c>
      <c r="G1889">
        <v>9</v>
      </c>
      <c r="H1889">
        <v>12</v>
      </c>
      <c r="I1889" t="s">
        <v>10558</v>
      </c>
      <c r="K1889" t="s">
        <v>10559</v>
      </c>
      <c r="L1889" t="s">
        <v>25</v>
      </c>
      <c r="M1889" t="s">
        <v>10560</v>
      </c>
      <c r="N1889" t="s">
        <v>10561</v>
      </c>
      <c r="O1889" t="s">
        <v>10562</v>
      </c>
      <c r="P1889" t="s">
        <v>10563</v>
      </c>
      <c r="Q1889" t="s">
        <v>30</v>
      </c>
      <c r="R1889" t="s">
        <v>31</v>
      </c>
      <c r="S1889" t="s">
        <v>58</v>
      </c>
    </row>
    <row r="1890" spans="1:19" x14ac:dyDescent="0.45">
      <c r="A1890" t="str">
        <f t="shared" si="128"/>
        <v>32801</v>
      </c>
      <c r="B1890" t="s">
        <v>1108</v>
      </c>
      <c r="C1890" t="str">
        <f>"32358"</f>
        <v>32358</v>
      </c>
      <c r="D1890" t="s">
        <v>10556</v>
      </c>
      <c r="E1890" t="str">
        <f>"3794"</f>
        <v>3794</v>
      </c>
      <c r="F1890" t="s">
        <v>10564</v>
      </c>
      <c r="G1890" t="s">
        <v>22</v>
      </c>
      <c r="H1890">
        <v>5</v>
      </c>
      <c r="I1890" t="s">
        <v>10565</v>
      </c>
      <c r="K1890" t="s">
        <v>10559</v>
      </c>
      <c r="L1890" t="s">
        <v>25</v>
      </c>
      <c r="M1890" t="s">
        <v>10560</v>
      </c>
      <c r="N1890" t="s">
        <v>10566</v>
      </c>
      <c r="O1890" t="s">
        <v>10567</v>
      </c>
      <c r="P1890" t="s">
        <v>10568</v>
      </c>
      <c r="Q1890" t="s">
        <v>30</v>
      </c>
      <c r="R1890" t="s">
        <v>31</v>
      </c>
      <c r="S1890" t="s">
        <v>32</v>
      </c>
    </row>
    <row r="1891" spans="1:19" x14ac:dyDescent="0.45">
      <c r="A1891" t="str">
        <f t="shared" si="128"/>
        <v>32801</v>
      </c>
      <c r="B1891" t="s">
        <v>1108</v>
      </c>
      <c r="C1891" t="str">
        <f t="shared" ref="C1891:C1897" si="129">"32360"</f>
        <v>32360</v>
      </c>
      <c r="D1891" t="s">
        <v>2217</v>
      </c>
      <c r="E1891" t="str">
        <f>"1769"</f>
        <v>1769</v>
      </c>
      <c r="F1891" t="s">
        <v>10569</v>
      </c>
      <c r="G1891">
        <v>9</v>
      </c>
      <c r="H1891">
        <v>12</v>
      </c>
      <c r="I1891" t="s">
        <v>10570</v>
      </c>
      <c r="K1891" t="s">
        <v>10571</v>
      </c>
      <c r="L1891" t="s">
        <v>25</v>
      </c>
      <c r="M1891" t="s">
        <v>10572</v>
      </c>
      <c r="N1891" t="s">
        <v>10573</v>
      </c>
      <c r="O1891" t="s">
        <v>2721</v>
      </c>
      <c r="P1891" t="s">
        <v>10574</v>
      </c>
      <c r="Q1891" t="s">
        <v>157</v>
      </c>
      <c r="R1891" t="s">
        <v>158</v>
      </c>
      <c r="S1891" t="s">
        <v>58</v>
      </c>
    </row>
    <row r="1892" spans="1:19" x14ac:dyDescent="0.45">
      <c r="A1892" t="str">
        <f t="shared" si="128"/>
        <v>32801</v>
      </c>
      <c r="B1892" t="s">
        <v>1108</v>
      </c>
      <c r="C1892" t="str">
        <f t="shared" si="129"/>
        <v>32360</v>
      </c>
      <c r="D1892" t="s">
        <v>2217</v>
      </c>
      <c r="E1892" t="str">
        <f>"2447"</f>
        <v>2447</v>
      </c>
      <c r="F1892" t="s">
        <v>10575</v>
      </c>
      <c r="G1892">
        <v>6</v>
      </c>
      <c r="H1892">
        <v>8</v>
      </c>
      <c r="I1892" t="s">
        <v>10576</v>
      </c>
      <c r="K1892" t="s">
        <v>10571</v>
      </c>
      <c r="L1892" t="s">
        <v>25</v>
      </c>
      <c r="M1892" t="s">
        <v>10577</v>
      </c>
      <c r="N1892" t="s">
        <v>10578</v>
      </c>
      <c r="O1892" t="s">
        <v>10579</v>
      </c>
      <c r="P1892" t="s">
        <v>10580</v>
      </c>
      <c r="Q1892" t="s">
        <v>30</v>
      </c>
      <c r="R1892" t="s">
        <v>31</v>
      </c>
      <c r="S1892" t="s">
        <v>104</v>
      </c>
    </row>
    <row r="1893" spans="1:19" x14ac:dyDescent="0.45">
      <c r="A1893" t="str">
        <f t="shared" si="128"/>
        <v>32801</v>
      </c>
      <c r="B1893" t="s">
        <v>1108</v>
      </c>
      <c r="C1893" t="str">
        <f t="shared" si="129"/>
        <v>32360</v>
      </c>
      <c r="D1893" t="s">
        <v>2217</v>
      </c>
      <c r="E1893" t="str">
        <f>"2814"</f>
        <v>2814</v>
      </c>
      <c r="F1893" t="s">
        <v>929</v>
      </c>
      <c r="G1893" t="s">
        <v>22</v>
      </c>
      <c r="H1893">
        <v>5</v>
      </c>
      <c r="I1893" t="s">
        <v>10581</v>
      </c>
      <c r="K1893" t="s">
        <v>10582</v>
      </c>
      <c r="L1893" t="s">
        <v>25</v>
      </c>
      <c r="M1893" t="s">
        <v>10583</v>
      </c>
      <c r="N1893" t="s">
        <v>10584</v>
      </c>
      <c r="O1893" t="s">
        <v>10585</v>
      </c>
      <c r="P1893" t="s">
        <v>10586</v>
      </c>
      <c r="Q1893" t="s">
        <v>30</v>
      </c>
      <c r="R1893" t="s">
        <v>31</v>
      </c>
      <c r="S1893" t="s">
        <v>32</v>
      </c>
    </row>
    <row r="1894" spans="1:19" x14ac:dyDescent="0.45">
      <c r="A1894" t="str">
        <f t="shared" si="128"/>
        <v>32801</v>
      </c>
      <c r="B1894" t="s">
        <v>1108</v>
      </c>
      <c r="C1894" t="str">
        <f t="shared" si="129"/>
        <v>32360</v>
      </c>
      <c r="D1894" t="s">
        <v>2217</v>
      </c>
      <c r="E1894" t="str">
        <f>"2954"</f>
        <v>2954</v>
      </c>
      <c r="F1894" t="s">
        <v>10587</v>
      </c>
      <c r="G1894" t="s">
        <v>22</v>
      </c>
      <c r="H1894">
        <v>5</v>
      </c>
      <c r="I1894" t="s">
        <v>10588</v>
      </c>
      <c r="K1894" t="s">
        <v>10571</v>
      </c>
      <c r="L1894" t="s">
        <v>25</v>
      </c>
      <c r="M1894" t="s">
        <v>10572</v>
      </c>
      <c r="N1894" t="s">
        <v>10589</v>
      </c>
      <c r="O1894" t="s">
        <v>10590</v>
      </c>
      <c r="P1894" t="s">
        <v>10591</v>
      </c>
      <c r="Q1894" t="s">
        <v>30</v>
      </c>
      <c r="R1894" t="s">
        <v>31</v>
      </c>
      <c r="S1894" t="s">
        <v>32</v>
      </c>
    </row>
    <row r="1895" spans="1:19" x14ac:dyDescent="0.45">
      <c r="A1895" t="str">
        <f t="shared" si="128"/>
        <v>32801</v>
      </c>
      <c r="B1895" t="s">
        <v>1108</v>
      </c>
      <c r="C1895" t="str">
        <f t="shared" si="129"/>
        <v>32360</v>
      </c>
      <c r="D1895" t="s">
        <v>2217</v>
      </c>
      <c r="E1895" t="str">
        <f>"3309"</f>
        <v>3309</v>
      </c>
      <c r="F1895" t="s">
        <v>10592</v>
      </c>
      <c r="G1895" t="s">
        <v>22</v>
      </c>
      <c r="H1895">
        <v>5</v>
      </c>
      <c r="I1895" t="s">
        <v>10593</v>
      </c>
      <c r="K1895" t="s">
        <v>10323</v>
      </c>
      <c r="L1895" t="s">
        <v>25</v>
      </c>
      <c r="M1895" t="s">
        <v>10594</v>
      </c>
      <c r="N1895" t="s">
        <v>10595</v>
      </c>
      <c r="O1895" t="s">
        <v>10596</v>
      </c>
      <c r="P1895" t="s">
        <v>10597</v>
      </c>
      <c r="Q1895" t="s">
        <v>30</v>
      </c>
      <c r="R1895" t="s">
        <v>31</v>
      </c>
      <c r="S1895" t="s">
        <v>32</v>
      </c>
    </row>
    <row r="1896" spans="1:19" x14ac:dyDescent="0.45">
      <c r="A1896" t="str">
        <f t="shared" si="128"/>
        <v>32801</v>
      </c>
      <c r="B1896" t="s">
        <v>1108</v>
      </c>
      <c r="C1896" t="str">
        <f t="shared" si="129"/>
        <v>32360</v>
      </c>
      <c r="D1896" t="s">
        <v>2217</v>
      </c>
      <c r="E1896" t="str">
        <f>"3610"</f>
        <v>3610</v>
      </c>
      <c r="F1896" t="s">
        <v>10598</v>
      </c>
      <c r="G1896">
        <v>9</v>
      </c>
      <c r="H1896">
        <v>12</v>
      </c>
      <c r="I1896" t="s">
        <v>10599</v>
      </c>
      <c r="K1896" t="s">
        <v>10571</v>
      </c>
      <c r="L1896" t="s">
        <v>25</v>
      </c>
      <c r="M1896" t="s">
        <v>10600</v>
      </c>
      <c r="N1896" t="s">
        <v>2720</v>
      </c>
      <c r="O1896" t="s">
        <v>2721</v>
      </c>
      <c r="P1896" t="s">
        <v>10601</v>
      </c>
      <c r="Q1896" t="s">
        <v>30</v>
      </c>
      <c r="R1896" t="s">
        <v>31</v>
      </c>
      <c r="S1896" t="s">
        <v>58</v>
      </c>
    </row>
    <row r="1897" spans="1:19" x14ac:dyDescent="0.45">
      <c r="A1897" t="str">
        <f t="shared" si="128"/>
        <v>32801</v>
      </c>
      <c r="B1897" t="s">
        <v>1108</v>
      </c>
      <c r="C1897" t="str">
        <f t="shared" si="129"/>
        <v>32360</v>
      </c>
      <c r="D1897" t="s">
        <v>2217</v>
      </c>
      <c r="E1897" t="str">
        <f>"3761"</f>
        <v>3761</v>
      </c>
      <c r="F1897" t="s">
        <v>10602</v>
      </c>
      <c r="G1897" t="s">
        <v>22</v>
      </c>
      <c r="H1897">
        <v>5</v>
      </c>
      <c r="I1897" t="s">
        <v>10603</v>
      </c>
      <c r="K1897" t="s">
        <v>10571</v>
      </c>
      <c r="L1897" t="s">
        <v>25</v>
      </c>
      <c r="M1897" t="s">
        <v>10604</v>
      </c>
      <c r="N1897" t="s">
        <v>10605</v>
      </c>
      <c r="O1897" t="s">
        <v>10606</v>
      </c>
      <c r="P1897" t="s">
        <v>10607</v>
      </c>
      <c r="Q1897" t="s">
        <v>30</v>
      </c>
      <c r="R1897" t="s">
        <v>31</v>
      </c>
      <c r="S1897" t="s">
        <v>32</v>
      </c>
    </row>
    <row r="1898" spans="1:19" x14ac:dyDescent="0.45">
      <c r="A1898" t="str">
        <f t="shared" si="128"/>
        <v>32801</v>
      </c>
      <c r="B1898" t="s">
        <v>1108</v>
      </c>
      <c r="C1898" t="str">
        <f t="shared" ref="C1898:C1903" si="130">"32361"</f>
        <v>32361</v>
      </c>
      <c r="D1898" t="s">
        <v>2464</v>
      </c>
      <c r="E1898" t="str">
        <f>"1712"</f>
        <v>1712</v>
      </c>
      <c r="F1898" t="s">
        <v>10608</v>
      </c>
      <c r="G1898" t="s">
        <v>70</v>
      </c>
      <c r="H1898">
        <v>8</v>
      </c>
      <c r="I1898" t="s">
        <v>10609</v>
      </c>
      <c r="K1898" t="s">
        <v>2246</v>
      </c>
      <c r="L1898" t="s">
        <v>25</v>
      </c>
      <c r="M1898" t="s">
        <v>10610</v>
      </c>
      <c r="N1898" t="s">
        <v>10611</v>
      </c>
      <c r="O1898" t="s">
        <v>10612</v>
      </c>
      <c r="P1898" t="s">
        <v>10613</v>
      </c>
      <c r="Q1898" t="s">
        <v>30</v>
      </c>
      <c r="R1898" t="s">
        <v>31</v>
      </c>
      <c r="S1898" t="s">
        <v>159</v>
      </c>
    </row>
    <row r="1899" spans="1:19" x14ac:dyDescent="0.45">
      <c r="A1899" t="str">
        <f t="shared" si="128"/>
        <v>32801</v>
      </c>
      <c r="B1899" t="s">
        <v>1108</v>
      </c>
      <c r="C1899" t="str">
        <f t="shared" si="130"/>
        <v>32361</v>
      </c>
      <c r="D1899" t="s">
        <v>2464</v>
      </c>
      <c r="E1899" t="str">
        <f>"2653"</f>
        <v>2653</v>
      </c>
      <c r="F1899" t="s">
        <v>10614</v>
      </c>
      <c r="G1899" t="s">
        <v>22</v>
      </c>
      <c r="H1899">
        <v>6</v>
      </c>
      <c r="I1899" t="s">
        <v>10615</v>
      </c>
      <c r="K1899" t="s">
        <v>10616</v>
      </c>
      <c r="L1899" t="s">
        <v>25</v>
      </c>
      <c r="M1899" t="s">
        <v>10617</v>
      </c>
      <c r="N1899" t="s">
        <v>10618</v>
      </c>
      <c r="O1899" t="s">
        <v>10619</v>
      </c>
      <c r="P1899" t="s">
        <v>10620</v>
      </c>
      <c r="Q1899" t="s">
        <v>30</v>
      </c>
      <c r="R1899" t="s">
        <v>31</v>
      </c>
      <c r="S1899" t="s">
        <v>32</v>
      </c>
    </row>
    <row r="1900" spans="1:19" x14ac:dyDescent="0.45">
      <c r="A1900" t="str">
        <f t="shared" si="128"/>
        <v>32801</v>
      </c>
      <c r="B1900" t="s">
        <v>1108</v>
      </c>
      <c r="C1900" t="str">
        <f t="shared" si="130"/>
        <v>32361</v>
      </c>
      <c r="D1900" t="s">
        <v>2464</v>
      </c>
      <c r="E1900" t="str">
        <f>"2955"</f>
        <v>2955</v>
      </c>
      <c r="F1900" t="s">
        <v>10621</v>
      </c>
      <c r="G1900" t="s">
        <v>22</v>
      </c>
      <c r="H1900">
        <v>6</v>
      </c>
      <c r="I1900" t="s">
        <v>10622</v>
      </c>
      <c r="K1900" t="s">
        <v>10623</v>
      </c>
      <c r="L1900" t="s">
        <v>25</v>
      </c>
      <c r="M1900" t="s">
        <v>10624</v>
      </c>
      <c r="N1900" t="s">
        <v>10625</v>
      </c>
      <c r="O1900" t="s">
        <v>10626</v>
      </c>
      <c r="P1900" t="s">
        <v>10627</v>
      </c>
      <c r="Q1900" t="s">
        <v>30</v>
      </c>
      <c r="R1900" t="s">
        <v>31</v>
      </c>
      <c r="S1900" t="s">
        <v>32</v>
      </c>
    </row>
    <row r="1901" spans="1:19" x14ac:dyDescent="0.45">
      <c r="A1901" t="str">
        <f t="shared" si="128"/>
        <v>32801</v>
      </c>
      <c r="B1901" t="s">
        <v>1108</v>
      </c>
      <c r="C1901" t="str">
        <f t="shared" si="130"/>
        <v>32361</v>
      </c>
      <c r="D1901" t="s">
        <v>2464</v>
      </c>
      <c r="E1901" t="str">
        <f>"3128"</f>
        <v>3128</v>
      </c>
      <c r="F1901" t="s">
        <v>10628</v>
      </c>
      <c r="G1901" t="s">
        <v>22</v>
      </c>
      <c r="H1901">
        <v>6</v>
      </c>
      <c r="I1901" t="s">
        <v>10629</v>
      </c>
      <c r="K1901" t="s">
        <v>10616</v>
      </c>
      <c r="L1901" t="s">
        <v>25</v>
      </c>
      <c r="M1901" t="s">
        <v>10630</v>
      </c>
      <c r="N1901" t="s">
        <v>10631</v>
      </c>
      <c r="O1901" t="s">
        <v>10632</v>
      </c>
      <c r="P1901" t="s">
        <v>10633</v>
      </c>
      <c r="Q1901" t="s">
        <v>30</v>
      </c>
      <c r="R1901" t="s">
        <v>31</v>
      </c>
      <c r="S1901" t="s">
        <v>32</v>
      </c>
    </row>
    <row r="1902" spans="1:19" x14ac:dyDescent="0.45">
      <c r="A1902" t="str">
        <f t="shared" si="128"/>
        <v>32801</v>
      </c>
      <c r="B1902" t="s">
        <v>1108</v>
      </c>
      <c r="C1902" t="str">
        <f t="shared" si="130"/>
        <v>32361</v>
      </c>
      <c r="D1902" t="s">
        <v>2464</v>
      </c>
      <c r="E1902" t="str">
        <f>"3360"</f>
        <v>3360</v>
      </c>
      <c r="F1902" t="s">
        <v>10634</v>
      </c>
      <c r="G1902">
        <v>9</v>
      </c>
      <c r="H1902">
        <v>12</v>
      </c>
      <c r="I1902" t="s">
        <v>10635</v>
      </c>
      <c r="K1902" t="s">
        <v>2365</v>
      </c>
      <c r="L1902" t="s">
        <v>25</v>
      </c>
      <c r="M1902" t="s">
        <v>10636</v>
      </c>
      <c r="N1902" t="s">
        <v>2845</v>
      </c>
      <c r="O1902" t="s">
        <v>2846</v>
      </c>
      <c r="P1902" t="s">
        <v>2847</v>
      </c>
      <c r="Q1902" t="s">
        <v>30</v>
      </c>
      <c r="R1902" t="s">
        <v>31</v>
      </c>
      <c r="S1902" t="s">
        <v>58</v>
      </c>
    </row>
    <row r="1903" spans="1:19" x14ac:dyDescent="0.45">
      <c r="A1903" t="str">
        <f t="shared" si="128"/>
        <v>32801</v>
      </c>
      <c r="B1903" t="s">
        <v>1108</v>
      </c>
      <c r="C1903" t="str">
        <f t="shared" si="130"/>
        <v>32361</v>
      </c>
      <c r="D1903" t="s">
        <v>2464</v>
      </c>
      <c r="E1903" t="str">
        <f>"4097"</f>
        <v>4097</v>
      </c>
      <c r="F1903" t="s">
        <v>10637</v>
      </c>
      <c r="G1903" t="s">
        <v>22</v>
      </c>
      <c r="H1903">
        <v>6</v>
      </c>
      <c r="I1903" t="s">
        <v>10638</v>
      </c>
      <c r="K1903" t="s">
        <v>10639</v>
      </c>
      <c r="L1903" t="s">
        <v>25</v>
      </c>
      <c r="M1903" t="s">
        <v>10640</v>
      </c>
      <c r="N1903" t="s">
        <v>10641</v>
      </c>
      <c r="O1903" t="s">
        <v>10642</v>
      </c>
      <c r="P1903" t="s">
        <v>10643</v>
      </c>
      <c r="Q1903" t="s">
        <v>30</v>
      </c>
      <c r="R1903" t="s">
        <v>31</v>
      </c>
      <c r="S1903" t="s">
        <v>32</v>
      </c>
    </row>
    <row r="1904" spans="1:19" x14ac:dyDescent="0.45">
      <c r="A1904" t="str">
        <f t="shared" si="128"/>
        <v>32801</v>
      </c>
      <c r="B1904" t="s">
        <v>1108</v>
      </c>
      <c r="C1904" t="str">
        <f>"32362"</f>
        <v>32362</v>
      </c>
      <c r="D1904" t="s">
        <v>10644</v>
      </c>
      <c r="E1904" t="str">
        <f>"3416"</f>
        <v>3416</v>
      </c>
      <c r="F1904" t="s">
        <v>10645</v>
      </c>
      <c r="G1904">
        <v>9</v>
      </c>
      <c r="H1904">
        <v>12</v>
      </c>
      <c r="I1904" t="s">
        <v>10646</v>
      </c>
      <c r="K1904" t="s">
        <v>10647</v>
      </c>
      <c r="L1904" t="s">
        <v>25</v>
      </c>
      <c r="M1904" t="s">
        <v>10648</v>
      </c>
      <c r="N1904" t="s">
        <v>10649</v>
      </c>
      <c r="O1904" t="s">
        <v>10650</v>
      </c>
      <c r="P1904" t="s">
        <v>10651</v>
      </c>
      <c r="Q1904" t="s">
        <v>30</v>
      </c>
      <c r="R1904" t="s">
        <v>31</v>
      </c>
      <c r="S1904" t="s">
        <v>58</v>
      </c>
    </row>
    <row r="1905" spans="1:19" x14ac:dyDescent="0.45">
      <c r="A1905" t="str">
        <f t="shared" si="128"/>
        <v>32801</v>
      </c>
      <c r="B1905" t="s">
        <v>1108</v>
      </c>
      <c r="C1905" t="str">
        <f>"32362"</f>
        <v>32362</v>
      </c>
      <c r="D1905" t="s">
        <v>10644</v>
      </c>
      <c r="E1905" t="str">
        <f>"4226"</f>
        <v>4226</v>
      </c>
      <c r="F1905" t="s">
        <v>10652</v>
      </c>
      <c r="G1905" t="s">
        <v>22</v>
      </c>
      <c r="H1905">
        <v>8</v>
      </c>
      <c r="I1905" t="s">
        <v>10653</v>
      </c>
      <c r="K1905" t="s">
        <v>10647</v>
      </c>
      <c r="L1905" t="s">
        <v>25</v>
      </c>
      <c r="M1905" t="s">
        <v>10648</v>
      </c>
      <c r="N1905" t="s">
        <v>10654</v>
      </c>
      <c r="O1905" t="s">
        <v>10655</v>
      </c>
      <c r="P1905" t="s">
        <v>10656</v>
      </c>
      <c r="Q1905" t="s">
        <v>30</v>
      </c>
      <c r="R1905" t="s">
        <v>31</v>
      </c>
      <c r="S1905" t="s">
        <v>159</v>
      </c>
    </row>
    <row r="1906" spans="1:19" x14ac:dyDescent="0.45">
      <c r="A1906" t="str">
        <f t="shared" si="128"/>
        <v>32801</v>
      </c>
      <c r="B1906" t="s">
        <v>1108</v>
      </c>
      <c r="C1906" t="str">
        <f t="shared" ref="C1906:C1916" si="131">"32363"</f>
        <v>32363</v>
      </c>
      <c r="D1906" t="s">
        <v>2516</v>
      </c>
      <c r="E1906" t="str">
        <f>"1628"</f>
        <v>1628</v>
      </c>
      <c r="F1906" t="s">
        <v>10657</v>
      </c>
      <c r="G1906">
        <v>9</v>
      </c>
      <c r="H1906">
        <v>12</v>
      </c>
      <c r="I1906" t="s">
        <v>10658</v>
      </c>
      <c r="J1906" t="s">
        <v>2432</v>
      </c>
      <c r="K1906" t="s">
        <v>2246</v>
      </c>
      <c r="L1906" t="s">
        <v>25</v>
      </c>
      <c r="M1906" t="s">
        <v>10659</v>
      </c>
      <c r="N1906" t="s">
        <v>10660</v>
      </c>
      <c r="O1906" t="s">
        <v>10661</v>
      </c>
      <c r="P1906" t="s">
        <v>10662</v>
      </c>
      <c r="Q1906" t="s">
        <v>157</v>
      </c>
      <c r="R1906" t="s">
        <v>158</v>
      </c>
      <c r="S1906" t="s">
        <v>58</v>
      </c>
    </row>
    <row r="1907" spans="1:19" x14ac:dyDescent="0.45">
      <c r="A1907" t="str">
        <f t="shared" si="128"/>
        <v>32801</v>
      </c>
      <c r="B1907" t="s">
        <v>1108</v>
      </c>
      <c r="C1907" t="str">
        <f t="shared" si="131"/>
        <v>32363</v>
      </c>
      <c r="D1907" t="s">
        <v>2516</v>
      </c>
      <c r="E1907" t="str">
        <f>"1755"</f>
        <v>1755</v>
      </c>
      <c r="F1907" t="s">
        <v>10663</v>
      </c>
      <c r="G1907">
        <v>5</v>
      </c>
      <c r="H1907">
        <v>8</v>
      </c>
      <c r="I1907" t="s">
        <v>10664</v>
      </c>
      <c r="K1907" t="s">
        <v>10323</v>
      </c>
      <c r="L1907" t="s">
        <v>25</v>
      </c>
      <c r="M1907" t="s">
        <v>10665</v>
      </c>
      <c r="N1907" t="s">
        <v>10666</v>
      </c>
      <c r="O1907" t="s">
        <v>10667</v>
      </c>
      <c r="P1907" t="s">
        <v>10668</v>
      </c>
      <c r="Q1907" t="s">
        <v>157</v>
      </c>
      <c r="R1907" t="s">
        <v>158</v>
      </c>
      <c r="S1907" t="s">
        <v>104</v>
      </c>
    </row>
    <row r="1908" spans="1:19" x14ac:dyDescent="0.45">
      <c r="A1908" t="str">
        <f t="shared" si="128"/>
        <v>32801</v>
      </c>
      <c r="B1908" t="s">
        <v>1108</v>
      </c>
      <c r="C1908" t="str">
        <f t="shared" si="131"/>
        <v>32363</v>
      </c>
      <c r="D1908" t="s">
        <v>2516</v>
      </c>
      <c r="E1908" t="str">
        <f>"1838"</f>
        <v>1838</v>
      </c>
      <c r="F1908" t="s">
        <v>10669</v>
      </c>
      <c r="G1908">
        <v>9</v>
      </c>
      <c r="H1908">
        <v>12</v>
      </c>
      <c r="I1908" t="s">
        <v>10670</v>
      </c>
      <c r="K1908" t="s">
        <v>10323</v>
      </c>
      <c r="L1908" t="s">
        <v>25</v>
      </c>
      <c r="M1908" t="s">
        <v>10665</v>
      </c>
      <c r="N1908" t="s">
        <v>10671</v>
      </c>
      <c r="O1908" t="s">
        <v>10672</v>
      </c>
      <c r="P1908" t="s">
        <v>10673</v>
      </c>
      <c r="Q1908" t="s">
        <v>157</v>
      </c>
      <c r="R1908" t="s">
        <v>158</v>
      </c>
      <c r="S1908" t="s">
        <v>58</v>
      </c>
    </row>
    <row r="1909" spans="1:19" x14ac:dyDescent="0.45">
      <c r="A1909" t="str">
        <f t="shared" si="128"/>
        <v>32801</v>
      </c>
      <c r="B1909" t="s">
        <v>1108</v>
      </c>
      <c r="C1909" t="str">
        <f t="shared" si="131"/>
        <v>32363</v>
      </c>
      <c r="D1909" t="s">
        <v>2516</v>
      </c>
      <c r="E1909" t="str">
        <f>"1842"</f>
        <v>1842</v>
      </c>
      <c r="F1909" t="s">
        <v>10674</v>
      </c>
      <c r="G1909">
        <v>9</v>
      </c>
      <c r="H1909">
        <v>12</v>
      </c>
      <c r="I1909" t="s">
        <v>10675</v>
      </c>
      <c r="K1909" t="s">
        <v>10323</v>
      </c>
      <c r="L1909" t="s">
        <v>25</v>
      </c>
      <c r="M1909" t="s">
        <v>10665</v>
      </c>
      <c r="N1909" t="s">
        <v>10671</v>
      </c>
      <c r="O1909" t="s">
        <v>10672</v>
      </c>
      <c r="P1909" t="s">
        <v>10673</v>
      </c>
      <c r="Q1909" t="s">
        <v>157</v>
      </c>
      <c r="R1909" t="s">
        <v>158</v>
      </c>
      <c r="S1909" t="s">
        <v>58</v>
      </c>
    </row>
    <row r="1910" spans="1:19" x14ac:dyDescent="0.45">
      <c r="A1910" t="str">
        <f t="shared" si="128"/>
        <v>32801</v>
      </c>
      <c r="B1910" t="s">
        <v>1108</v>
      </c>
      <c r="C1910" t="str">
        <f t="shared" si="131"/>
        <v>32363</v>
      </c>
      <c r="D1910" t="s">
        <v>2516</v>
      </c>
      <c r="E1910" t="str">
        <f>"2711"</f>
        <v>2711</v>
      </c>
      <c r="F1910" t="s">
        <v>10676</v>
      </c>
      <c r="G1910" t="s">
        <v>70</v>
      </c>
      <c r="H1910" t="s">
        <v>70</v>
      </c>
      <c r="I1910" t="s">
        <v>10677</v>
      </c>
      <c r="K1910" t="s">
        <v>10323</v>
      </c>
      <c r="L1910" t="s">
        <v>25</v>
      </c>
      <c r="M1910" t="s">
        <v>10665</v>
      </c>
      <c r="N1910" t="s">
        <v>10678</v>
      </c>
      <c r="O1910" t="s">
        <v>10679</v>
      </c>
      <c r="P1910" t="s">
        <v>3006</v>
      </c>
      <c r="Q1910" t="s">
        <v>30</v>
      </c>
      <c r="R1910" t="s">
        <v>31</v>
      </c>
      <c r="S1910" t="s">
        <v>32</v>
      </c>
    </row>
    <row r="1911" spans="1:19" x14ac:dyDescent="0.45">
      <c r="A1911" t="str">
        <f t="shared" si="128"/>
        <v>32801</v>
      </c>
      <c r="B1911" t="s">
        <v>1108</v>
      </c>
      <c r="C1911" t="str">
        <f t="shared" si="131"/>
        <v>32363</v>
      </c>
      <c r="D1911" t="s">
        <v>2516</v>
      </c>
      <c r="E1911" t="str">
        <f>"2956"</f>
        <v>2956</v>
      </c>
      <c r="F1911" t="s">
        <v>10680</v>
      </c>
      <c r="G1911" t="s">
        <v>70</v>
      </c>
      <c r="H1911">
        <v>5</v>
      </c>
      <c r="I1911" t="s">
        <v>10681</v>
      </c>
      <c r="K1911" t="s">
        <v>10323</v>
      </c>
      <c r="L1911" t="s">
        <v>25</v>
      </c>
      <c r="M1911" t="s">
        <v>10665</v>
      </c>
      <c r="N1911" t="s">
        <v>10682</v>
      </c>
      <c r="O1911" t="s">
        <v>10683</v>
      </c>
      <c r="P1911" t="s">
        <v>10684</v>
      </c>
      <c r="Q1911" t="s">
        <v>30</v>
      </c>
      <c r="R1911" t="s">
        <v>31</v>
      </c>
      <c r="S1911" t="s">
        <v>32</v>
      </c>
    </row>
    <row r="1912" spans="1:19" x14ac:dyDescent="0.45">
      <c r="A1912" t="str">
        <f t="shared" si="128"/>
        <v>32801</v>
      </c>
      <c r="B1912" t="s">
        <v>1108</v>
      </c>
      <c r="C1912" t="str">
        <f t="shared" si="131"/>
        <v>32363</v>
      </c>
      <c r="D1912" t="s">
        <v>2516</v>
      </c>
      <c r="E1912" t="str">
        <f>"3129"</f>
        <v>3129</v>
      </c>
      <c r="F1912" t="s">
        <v>10685</v>
      </c>
      <c r="G1912">
        <v>1</v>
      </c>
      <c r="H1912">
        <v>5</v>
      </c>
      <c r="I1912" t="s">
        <v>10686</v>
      </c>
      <c r="K1912" t="s">
        <v>10323</v>
      </c>
      <c r="L1912" t="s">
        <v>25</v>
      </c>
      <c r="M1912" t="s">
        <v>10665</v>
      </c>
      <c r="N1912" t="s">
        <v>10687</v>
      </c>
      <c r="O1912" t="s">
        <v>10688</v>
      </c>
      <c r="P1912" t="s">
        <v>10689</v>
      </c>
      <c r="Q1912" t="s">
        <v>30</v>
      </c>
      <c r="R1912" t="s">
        <v>31</v>
      </c>
      <c r="S1912" t="s">
        <v>32</v>
      </c>
    </row>
    <row r="1913" spans="1:19" x14ac:dyDescent="0.45">
      <c r="A1913" t="str">
        <f t="shared" si="128"/>
        <v>32801</v>
      </c>
      <c r="B1913" t="s">
        <v>1108</v>
      </c>
      <c r="C1913" t="str">
        <f t="shared" si="131"/>
        <v>32363</v>
      </c>
      <c r="D1913" t="s">
        <v>2516</v>
      </c>
      <c r="E1913" t="str">
        <f>"3194"</f>
        <v>3194</v>
      </c>
      <c r="F1913" t="s">
        <v>10690</v>
      </c>
      <c r="G1913">
        <v>1</v>
      </c>
      <c r="H1913">
        <v>5</v>
      </c>
      <c r="I1913" t="s">
        <v>10691</v>
      </c>
      <c r="K1913" t="s">
        <v>10323</v>
      </c>
      <c r="L1913" t="s">
        <v>25</v>
      </c>
      <c r="M1913" t="s">
        <v>10665</v>
      </c>
      <c r="N1913" t="s">
        <v>10692</v>
      </c>
      <c r="O1913" t="s">
        <v>10693</v>
      </c>
      <c r="P1913" t="s">
        <v>10694</v>
      </c>
      <c r="Q1913" t="s">
        <v>30</v>
      </c>
      <c r="R1913" t="s">
        <v>31</v>
      </c>
      <c r="S1913" t="s">
        <v>32</v>
      </c>
    </row>
    <row r="1914" spans="1:19" x14ac:dyDescent="0.45">
      <c r="A1914" t="str">
        <f t="shared" si="128"/>
        <v>32801</v>
      </c>
      <c r="B1914" t="s">
        <v>1108</v>
      </c>
      <c r="C1914" t="str">
        <f t="shared" si="131"/>
        <v>32363</v>
      </c>
      <c r="D1914" t="s">
        <v>2516</v>
      </c>
      <c r="E1914" t="str">
        <f>"3195"</f>
        <v>3195</v>
      </c>
      <c r="F1914" t="s">
        <v>10695</v>
      </c>
      <c r="G1914">
        <v>9</v>
      </c>
      <c r="H1914">
        <v>12</v>
      </c>
      <c r="I1914" t="s">
        <v>10696</v>
      </c>
      <c r="K1914" t="s">
        <v>10323</v>
      </c>
      <c r="L1914" t="s">
        <v>25</v>
      </c>
      <c r="M1914" t="s">
        <v>10665</v>
      </c>
      <c r="N1914" t="s">
        <v>10697</v>
      </c>
      <c r="O1914" t="s">
        <v>10698</v>
      </c>
      <c r="P1914" t="s">
        <v>10699</v>
      </c>
      <c r="Q1914" t="s">
        <v>30</v>
      </c>
      <c r="R1914" t="s">
        <v>31</v>
      </c>
      <c r="S1914" t="s">
        <v>58</v>
      </c>
    </row>
    <row r="1915" spans="1:19" x14ac:dyDescent="0.45">
      <c r="A1915" t="str">
        <f t="shared" si="128"/>
        <v>32801</v>
      </c>
      <c r="B1915" t="s">
        <v>1108</v>
      </c>
      <c r="C1915" t="str">
        <f t="shared" si="131"/>
        <v>32363</v>
      </c>
      <c r="D1915" t="s">
        <v>2516</v>
      </c>
      <c r="E1915" t="str">
        <f>"3196"</f>
        <v>3196</v>
      </c>
      <c r="F1915" t="s">
        <v>10700</v>
      </c>
      <c r="G1915">
        <v>1</v>
      </c>
      <c r="H1915">
        <v>5</v>
      </c>
      <c r="I1915" t="s">
        <v>10701</v>
      </c>
      <c r="J1915" t="s">
        <v>311</v>
      </c>
      <c r="K1915" t="s">
        <v>10323</v>
      </c>
      <c r="L1915" t="s">
        <v>25</v>
      </c>
      <c r="M1915" t="s">
        <v>10659</v>
      </c>
      <c r="N1915" t="s">
        <v>10702</v>
      </c>
      <c r="O1915" t="s">
        <v>10703</v>
      </c>
      <c r="P1915" t="s">
        <v>10704</v>
      </c>
      <c r="Q1915" t="s">
        <v>30</v>
      </c>
      <c r="R1915" t="s">
        <v>31</v>
      </c>
      <c r="S1915" t="s">
        <v>32</v>
      </c>
    </row>
    <row r="1916" spans="1:19" x14ac:dyDescent="0.45">
      <c r="A1916" t="str">
        <f t="shared" si="128"/>
        <v>32801</v>
      </c>
      <c r="B1916" t="s">
        <v>1108</v>
      </c>
      <c r="C1916" t="str">
        <f t="shared" si="131"/>
        <v>32363</v>
      </c>
      <c r="D1916" t="s">
        <v>2516</v>
      </c>
      <c r="E1916" t="str">
        <f>"3538"</f>
        <v>3538</v>
      </c>
      <c r="F1916" t="s">
        <v>9842</v>
      </c>
      <c r="G1916">
        <v>6</v>
      </c>
      <c r="H1916">
        <v>8</v>
      </c>
      <c r="I1916" t="s">
        <v>10705</v>
      </c>
      <c r="K1916" t="s">
        <v>10323</v>
      </c>
      <c r="L1916" t="s">
        <v>25</v>
      </c>
      <c r="M1916" t="s">
        <v>10665</v>
      </c>
      <c r="N1916" t="s">
        <v>10706</v>
      </c>
      <c r="O1916" t="s">
        <v>10707</v>
      </c>
      <c r="P1916" t="s">
        <v>10708</v>
      </c>
      <c r="Q1916" t="s">
        <v>30</v>
      </c>
      <c r="R1916" t="s">
        <v>31</v>
      </c>
      <c r="S1916" t="s">
        <v>104</v>
      </c>
    </row>
    <row r="1917" spans="1:19" x14ac:dyDescent="0.45">
      <c r="A1917" t="str">
        <f t="shared" si="128"/>
        <v>32801</v>
      </c>
      <c r="B1917" t="s">
        <v>1108</v>
      </c>
      <c r="C1917" t="str">
        <f>"32414"</f>
        <v>32414</v>
      </c>
      <c r="D1917" t="s">
        <v>10709</v>
      </c>
      <c r="E1917" t="str">
        <f>"1852"</f>
        <v>1852</v>
      </c>
      <c r="F1917" t="s">
        <v>10710</v>
      </c>
      <c r="G1917" t="s">
        <v>70</v>
      </c>
      <c r="H1917">
        <v>12</v>
      </c>
      <c r="I1917" t="s">
        <v>10711</v>
      </c>
      <c r="K1917" t="s">
        <v>10712</v>
      </c>
      <c r="L1917" t="s">
        <v>25</v>
      </c>
      <c r="M1917" t="s">
        <v>10713</v>
      </c>
      <c r="N1917" t="s">
        <v>10714</v>
      </c>
      <c r="O1917" t="s">
        <v>10715</v>
      </c>
      <c r="P1917" t="s">
        <v>10716</v>
      </c>
      <c r="Q1917" t="s">
        <v>157</v>
      </c>
      <c r="R1917" t="s">
        <v>158</v>
      </c>
      <c r="S1917" t="s">
        <v>330</v>
      </c>
    </row>
    <row r="1918" spans="1:19" x14ac:dyDescent="0.45">
      <c r="A1918" t="str">
        <f t="shared" ref="A1918:A1949" si="132">"32801"</f>
        <v>32801</v>
      </c>
      <c r="B1918" t="s">
        <v>1108</v>
      </c>
      <c r="C1918" t="str">
        <f>"32414"</f>
        <v>32414</v>
      </c>
      <c r="D1918" t="s">
        <v>10709</v>
      </c>
      <c r="E1918" t="str">
        <f>"2173"</f>
        <v>2173</v>
      </c>
      <c r="F1918" t="s">
        <v>10717</v>
      </c>
      <c r="G1918">
        <v>3</v>
      </c>
      <c r="H1918">
        <v>5</v>
      </c>
      <c r="I1918" t="s">
        <v>10718</v>
      </c>
      <c r="J1918" t="s">
        <v>10719</v>
      </c>
      <c r="K1918" t="s">
        <v>10712</v>
      </c>
      <c r="L1918" t="s">
        <v>25</v>
      </c>
      <c r="M1918" t="s">
        <v>10720</v>
      </c>
      <c r="N1918" t="s">
        <v>10721</v>
      </c>
      <c r="O1918" t="s">
        <v>10722</v>
      </c>
      <c r="P1918" t="s">
        <v>10723</v>
      </c>
      <c r="Q1918" t="s">
        <v>30</v>
      </c>
      <c r="R1918" t="s">
        <v>31</v>
      </c>
      <c r="S1918" t="s">
        <v>32</v>
      </c>
    </row>
    <row r="1919" spans="1:19" x14ac:dyDescent="0.45">
      <c r="A1919" t="str">
        <f t="shared" si="132"/>
        <v>32801</v>
      </c>
      <c r="B1919" t="s">
        <v>1108</v>
      </c>
      <c r="C1919" t="str">
        <f>"32414"</f>
        <v>32414</v>
      </c>
      <c r="D1919" t="s">
        <v>10709</v>
      </c>
      <c r="E1919" t="str">
        <f>"2430"</f>
        <v>2430</v>
      </c>
      <c r="F1919" t="s">
        <v>10724</v>
      </c>
      <c r="G1919" t="s">
        <v>70</v>
      </c>
      <c r="H1919">
        <v>2</v>
      </c>
      <c r="I1919" t="s">
        <v>10725</v>
      </c>
      <c r="K1919" t="s">
        <v>10712</v>
      </c>
      <c r="L1919" t="s">
        <v>25</v>
      </c>
      <c r="M1919" t="s">
        <v>10726</v>
      </c>
      <c r="N1919" t="s">
        <v>10727</v>
      </c>
      <c r="O1919" t="s">
        <v>10728</v>
      </c>
      <c r="P1919" t="s">
        <v>10729</v>
      </c>
      <c r="Q1919" t="s">
        <v>30</v>
      </c>
      <c r="R1919" t="s">
        <v>31</v>
      </c>
      <c r="S1919" t="s">
        <v>32</v>
      </c>
    </row>
    <row r="1920" spans="1:19" x14ac:dyDescent="0.45">
      <c r="A1920" t="str">
        <f t="shared" si="132"/>
        <v>32801</v>
      </c>
      <c r="B1920" t="s">
        <v>1108</v>
      </c>
      <c r="C1920" t="str">
        <f>"32414"</f>
        <v>32414</v>
      </c>
      <c r="D1920" t="s">
        <v>10709</v>
      </c>
      <c r="E1920" t="str">
        <f>"3261"</f>
        <v>3261</v>
      </c>
      <c r="F1920" t="s">
        <v>10730</v>
      </c>
      <c r="G1920">
        <v>6</v>
      </c>
      <c r="H1920">
        <v>8</v>
      </c>
      <c r="I1920" t="s">
        <v>10731</v>
      </c>
      <c r="K1920" t="s">
        <v>10712</v>
      </c>
      <c r="L1920" t="s">
        <v>25</v>
      </c>
      <c r="M1920" t="s">
        <v>10732</v>
      </c>
      <c r="N1920" t="s">
        <v>10733</v>
      </c>
      <c r="O1920" t="s">
        <v>10734</v>
      </c>
      <c r="P1920" t="s">
        <v>10735</v>
      </c>
      <c r="Q1920" t="s">
        <v>30</v>
      </c>
      <c r="R1920" t="s">
        <v>31</v>
      </c>
      <c r="S1920" t="s">
        <v>104</v>
      </c>
    </row>
    <row r="1921" spans="1:19" x14ac:dyDescent="0.45">
      <c r="A1921" t="str">
        <f t="shared" si="132"/>
        <v>32801</v>
      </c>
      <c r="B1921" t="s">
        <v>1108</v>
      </c>
      <c r="C1921" t="str">
        <f>"32414"</f>
        <v>32414</v>
      </c>
      <c r="D1921" t="s">
        <v>10709</v>
      </c>
      <c r="E1921" t="str">
        <f>"4123"</f>
        <v>4123</v>
      </c>
      <c r="F1921" t="s">
        <v>10736</v>
      </c>
      <c r="G1921">
        <v>9</v>
      </c>
      <c r="H1921">
        <v>12</v>
      </c>
      <c r="I1921" t="s">
        <v>10737</v>
      </c>
      <c r="K1921" t="s">
        <v>10712</v>
      </c>
      <c r="L1921" t="s">
        <v>25</v>
      </c>
      <c r="M1921" t="s">
        <v>10738</v>
      </c>
      <c r="N1921" t="s">
        <v>10739</v>
      </c>
      <c r="O1921" t="s">
        <v>10740</v>
      </c>
      <c r="P1921" t="s">
        <v>10741</v>
      </c>
      <c r="Q1921" t="s">
        <v>30</v>
      </c>
      <c r="R1921" t="s">
        <v>31</v>
      </c>
      <c r="S1921" t="s">
        <v>58</v>
      </c>
    </row>
    <row r="1922" spans="1:19" x14ac:dyDescent="0.45">
      <c r="A1922" t="str">
        <f t="shared" si="132"/>
        <v>32801</v>
      </c>
      <c r="B1922" t="s">
        <v>1108</v>
      </c>
      <c r="C1922" t="str">
        <f>"32416"</f>
        <v>32416</v>
      </c>
      <c r="D1922" t="s">
        <v>10742</v>
      </c>
      <c r="E1922" t="str">
        <f>"2525"</f>
        <v>2525</v>
      </c>
      <c r="F1922" t="s">
        <v>10743</v>
      </c>
      <c r="G1922" t="s">
        <v>22</v>
      </c>
      <c r="H1922">
        <v>4</v>
      </c>
      <c r="I1922" t="s">
        <v>10744</v>
      </c>
      <c r="K1922" t="s">
        <v>10745</v>
      </c>
      <c r="L1922" t="s">
        <v>25</v>
      </c>
      <c r="M1922" t="s">
        <v>10746</v>
      </c>
      <c r="N1922" t="s">
        <v>10747</v>
      </c>
      <c r="O1922" t="s">
        <v>10748</v>
      </c>
      <c r="P1922" t="s">
        <v>10749</v>
      </c>
      <c r="Q1922" t="s">
        <v>30</v>
      </c>
      <c r="R1922" t="s">
        <v>31</v>
      </c>
      <c r="S1922" t="s">
        <v>32</v>
      </c>
    </row>
    <row r="1923" spans="1:19" x14ac:dyDescent="0.45">
      <c r="A1923" t="str">
        <f t="shared" si="132"/>
        <v>32801</v>
      </c>
      <c r="B1923" t="s">
        <v>1108</v>
      </c>
      <c r="C1923" t="str">
        <f>"32416"</f>
        <v>32416</v>
      </c>
      <c r="D1923" t="s">
        <v>10742</v>
      </c>
      <c r="E1923" t="str">
        <f>"3466"</f>
        <v>3466</v>
      </c>
      <c r="F1923" t="s">
        <v>10750</v>
      </c>
      <c r="G1923">
        <v>6</v>
      </c>
      <c r="H1923">
        <v>8</v>
      </c>
      <c r="I1923" t="s">
        <v>10751</v>
      </c>
      <c r="K1923" t="s">
        <v>10745</v>
      </c>
      <c r="L1923" t="s">
        <v>25</v>
      </c>
      <c r="M1923" t="s">
        <v>10752</v>
      </c>
      <c r="N1923" t="s">
        <v>10753</v>
      </c>
      <c r="O1923" t="s">
        <v>10754</v>
      </c>
      <c r="P1923" t="s">
        <v>10755</v>
      </c>
      <c r="Q1923" t="s">
        <v>30</v>
      </c>
      <c r="R1923" t="s">
        <v>31</v>
      </c>
      <c r="S1923" t="s">
        <v>104</v>
      </c>
    </row>
    <row r="1924" spans="1:19" x14ac:dyDescent="0.45">
      <c r="A1924" t="str">
        <f t="shared" si="132"/>
        <v>32801</v>
      </c>
      <c r="B1924" t="s">
        <v>1108</v>
      </c>
      <c r="C1924" t="str">
        <f>"32416"</f>
        <v>32416</v>
      </c>
      <c r="D1924" t="s">
        <v>10742</v>
      </c>
      <c r="E1924" t="str">
        <f>"4033"</f>
        <v>4033</v>
      </c>
      <c r="F1924" t="s">
        <v>10756</v>
      </c>
      <c r="G1924" t="s">
        <v>22</v>
      </c>
      <c r="H1924">
        <v>5</v>
      </c>
      <c r="I1924" t="s">
        <v>10757</v>
      </c>
      <c r="K1924" t="s">
        <v>10745</v>
      </c>
      <c r="L1924" t="s">
        <v>25</v>
      </c>
      <c r="M1924" t="s">
        <v>10752</v>
      </c>
      <c r="N1924" t="s">
        <v>10758</v>
      </c>
      <c r="O1924" t="s">
        <v>10759</v>
      </c>
      <c r="P1924" t="s">
        <v>10760</v>
      </c>
      <c r="Q1924" t="s">
        <v>30</v>
      </c>
      <c r="R1924" t="s">
        <v>31</v>
      </c>
      <c r="S1924" t="s">
        <v>32</v>
      </c>
    </row>
    <row r="1925" spans="1:19" x14ac:dyDescent="0.45">
      <c r="A1925" t="str">
        <f t="shared" si="132"/>
        <v>32801</v>
      </c>
      <c r="B1925" t="s">
        <v>1108</v>
      </c>
      <c r="C1925" t="str">
        <f>"32416"</f>
        <v>32416</v>
      </c>
      <c r="D1925" t="s">
        <v>10742</v>
      </c>
      <c r="E1925" t="str">
        <f>"4228"</f>
        <v>4228</v>
      </c>
      <c r="F1925" t="s">
        <v>10761</v>
      </c>
      <c r="G1925">
        <v>9</v>
      </c>
      <c r="H1925">
        <v>12</v>
      </c>
      <c r="I1925" t="s">
        <v>10762</v>
      </c>
      <c r="K1925" t="s">
        <v>10745</v>
      </c>
      <c r="L1925" t="s">
        <v>25</v>
      </c>
      <c r="M1925" t="s">
        <v>10752</v>
      </c>
      <c r="N1925" t="s">
        <v>10763</v>
      </c>
      <c r="O1925" t="s">
        <v>10764</v>
      </c>
      <c r="P1925" t="s">
        <v>10765</v>
      </c>
      <c r="Q1925" t="s">
        <v>30</v>
      </c>
      <c r="R1925" t="s">
        <v>31</v>
      </c>
      <c r="S1925" t="s">
        <v>58</v>
      </c>
    </row>
    <row r="1926" spans="1:19" x14ac:dyDescent="0.45">
      <c r="A1926" t="str">
        <f t="shared" si="132"/>
        <v>32801</v>
      </c>
      <c r="B1926" t="s">
        <v>1108</v>
      </c>
      <c r="C1926" t="str">
        <f>"33030"</f>
        <v>33030</v>
      </c>
      <c r="D1926" t="s">
        <v>10766</v>
      </c>
      <c r="E1926" t="str">
        <f>"2049"</f>
        <v>2049</v>
      </c>
      <c r="F1926" t="s">
        <v>10767</v>
      </c>
      <c r="G1926" t="s">
        <v>22</v>
      </c>
      <c r="H1926">
        <v>8</v>
      </c>
      <c r="I1926" t="s">
        <v>10768</v>
      </c>
      <c r="K1926" t="s">
        <v>4687</v>
      </c>
      <c r="L1926" t="s">
        <v>25</v>
      </c>
      <c r="M1926" t="s">
        <v>10769</v>
      </c>
      <c r="N1926" t="s">
        <v>10770</v>
      </c>
      <c r="O1926" t="s">
        <v>10771</v>
      </c>
      <c r="P1926" t="s">
        <v>10772</v>
      </c>
      <c r="Q1926" t="s">
        <v>30</v>
      </c>
      <c r="R1926" t="s">
        <v>31</v>
      </c>
      <c r="S1926" t="s">
        <v>159</v>
      </c>
    </row>
    <row r="1927" spans="1:19" x14ac:dyDescent="0.45">
      <c r="A1927" t="str">
        <f t="shared" si="132"/>
        <v>32801</v>
      </c>
      <c r="B1927" t="s">
        <v>1108</v>
      </c>
      <c r="C1927" t="str">
        <f>"33036"</f>
        <v>33036</v>
      </c>
      <c r="D1927" t="s">
        <v>4321</v>
      </c>
      <c r="E1927" t="str">
        <f>"1763"</f>
        <v>1763</v>
      </c>
      <c r="F1927" t="s">
        <v>10773</v>
      </c>
      <c r="G1927" t="s">
        <v>70</v>
      </c>
      <c r="H1927">
        <v>12</v>
      </c>
      <c r="I1927" t="s">
        <v>10774</v>
      </c>
      <c r="K1927" t="s">
        <v>4324</v>
      </c>
      <c r="L1927" t="s">
        <v>25</v>
      </c>
      <c r="M1927" t="s">
        <v>10775</v>
      </c>
      <c r="N1927" t="s">
        <v>4325</v>
      </c>
      <c r="O1927" t="s">
        <v>4326</v>
      </c>
      <c r="P1927" t="s">
        <v>10776</v>
      </c>
      <c r="Q1927" t="s">
        <v>157</v>
      </c>
      <c r="R1927" t="s">
        <v>158</v>
      </c>
      <c r="S1927" t="s">
        <v>330</v>
      </c>
    </row>
    <row r="1928" spans="1:19" x14ac:dyDescent="0.45">
      <c r="A1928" t="str">
        <f t="shared" si="132"/>
        <v>32801</v>
      </c>
      <c r="B1928" t="s">
        <v>1108</v>
      </c>
      <c r="C1928" t="str">
        <f>"33036"</f>
        <v>33036</v>
      </c>
      <c r="D1928" t="s">
        <v>4321</v>
      </c>
      <c r="E1928" t="str">
        <f>"2404"</f>
        <v>2404</v>
      </c>
      <c r="F1928" t="s">
        <v>10777</v>
      </c>
      <c r="G1928">
        <v>7</v>
      </c>
      <c r="H1928">
        <v>12</v>
      </c>
      <c r="I1928" t="s">
        <v>10778</v>
      </c>
      <c r="K1928" t="s">
        <v>4324</v>
      </c>
      <c r="L1928" t="s">
        <v>25</v>
      </c>
      <c r="M1928" t="s">
        <v>10775</v>
      </c>
      <c r="N1928" t="s">
        <v>10779</v>
      </c>
      <c r="O1928" t="s">
        <v>10780</v>
      </c>
      <c r="P1928" t="s">
        <v>10781</v>
      </c>
      <c r="Q1928" t="s">
        <v>30</v>
      </c>
      <c r="R1928" t="s">
        <v>31</v>
      </c>
      <c r="S1928" t="s">
        <v>159</v>
      </c>
    </row>
    <row r="1929" spans="1:19" x14ac:dyDescent="0.45">
      <c r="A1929" t="str">
        <f t="shared" si="132"/>
        <v>32801</v>
      </c>
      <c r="B1929" t="s">
        <v>1108</v>
      </c>
      <c r="C1929" t="str">
        <f>"33036"</f>
        <v>33036</v>
      </c>
      <c r="D1929" t="s">
        <v>4321</v>
      </c>
      <c r="E1929" t="str">
        <f>"2664"</f>
        <v>2664</v>
      </c>
      <c r="F1929" t="s">
        <v>10782</v>
      </c>
      <c r="G1929" t="s">
        <v>70</v>
      </c>
      <c r="H1929">
        <v>6</v>
      </c>
      <c r="I1929" t="s">
        <v>10783</v>
      </c>
      <c r="K1929" t="s">
        <v>4324</v>
      </c>
      <c r="L1929" t="s">
        <v>25</v>
      </c>
      <c r="M1929" t="s">
        <v>10784</v>
      </c>
      <c r="N1929" t="s">
        <v>10785</v>
      </c>
      <c r="O1929" t="s">
        <v>10786</v>
      </c>
      <c r="P1929" t="s">
        <v>10787</v>
      </c>
      <c r="Q1929" t="s">
        <v>30</v>
      </c>
      <c r="R1929" t="s">
        <v>31</v>
      </c>
      <c r="S1929" t="s">
        <v>32</v>
      </c>
    </row>
    <row r="1930" spans="1:19" x14ac:dyDescent="0.45">
      <c r="A1930" t="str">
        <f t="shared" si="132"/>
        <v>32801</v>
      </c>
      <c r="B1930" t="s">
        <v>1108</v>
      </c>
      <c r="C1930" t="str">
        <f>"33049"</f>
        <v>33049</v>
      </c>
      <c r="D1930" t="s">
        <v>2995</v>
      </c>
      <c r="E1930" t="str">
        <f>"2550"</f>
        <v>2550</v>
      </c>
      <c r="F1930" t="s">
        <v>10788</v>
      </c>
      <c r="G1930">
        <v>9</v>
      </c>
      <c r="H1930">
        <v>12</v>
      </c>
      <c r="I1930" t="s">
        <v>2997</v>
      </c>
      <c r="K1930" t="s">
        <v>2998</v>
      </c>
      <c r="L1930" t="s">
        <v>25</v>
      </c>
      <c r="M1930" t="s">
        <v>10789</v>
      </c>
      <c r="N1930" t="s">
        <v>10790</v>
      </c>
      <c r="O1930" t="s">
        <v>10791</v>
      </c>
      <c r="P1930" t="s">
        <v>10792</v>
      </c>
      <c r="Q1930" t="s">
        <v>30</v>
      </c>
      <c r="R1930" t="s">
        <v>31</v>
      </c>
      <c r="S1930" t="s">
        <v>68</v>
      </c>
    </row>
    <row r="1931" spans="1:19" x14ac:dyDescent="0.45">
      <c r="A1931" t="str">
        <f t="shared" si="132"/>
        <v>32801</v>
      </c>
      <c r="B1931" t="s">
        <v>1108</v>
      </c>
      <c r="C1931" t="str">
        <f>"33049"</f>
        <v>33049</v>
      </c>
      <c r="D1931" t="s">
        <v>2995</v>
      </c>
      <c r="E1931" t="str">
        <f>"4232"</f>
        <v>4232</v>
      </c>
      <c r="F1931" t="s">
        <v>10793</v>
      </c>
      <c r="G1931">
        <v>6</v>
      </c>
      <c r="H1931">
        <v>8</v>
      </c>
      <c r="I1931" t="s">
        <v>2997</v>
      </c>
      <c r="K1931" t="s">
        <v>2998</v>
      </c>
      <c r="L1931" t="s">
        <v>25</v>
      </c>
      <c r="M1931" t="s">
        <v>10794</v>
      </c>
      <c r="N1931" t="s">
        <v>10790</v>
      </c>
      <c r="O1931" t="s">
        <v>10791</v>
      </c>
      <c r="P1931" t="s">
        <v>10792</v>
      </c>
      <c r="Q1931" t="s">
        <v>30</v>
      </c>
      <c r="R1931" t="s">
        <v>31</v>
      </c>
      <c r="S1931" t="s">
        <v>104</v>
      </c>
    </row>
    <row r="1932" spans="1:19" x14ac:dyDescent="0.45">
      <c r="A1932" t="str">
        <f t="shared" si="132"/>
        <v>32801</v>
      </c>
      <c r="B1932" t="s">
        <v>1108</v>
      </c>
      <c r="C1932" t="str">
        <f>"33070"</f>
        <v>33070</v>
      </c>
      <c r="D1932" t="s">
        <v>2522</v>
      </c>
      <c r="E1932" t="str">
        <f>"2405"</f>
        <v>2405</v>
      </c>
      <c r="F1932" t="s">
        <v>10795</v>
      </c>
      <c r="G1932" t="s">
        <v>70</v>
      </c>
      <c r="H1932">
        <v>8</v>
      </c>
      <c r="I1932" t="s">
        <v>10796</v>
      </c>
      <c r="K1932" t="s">
        <v>2525</v>
      </c>
      <c r="L1932" t="s">
        <v>25</v>
      </c>
      <c r="M1932">
        <v>99181</v>
      </c>
      <c r="N1932" t="s">
        <v>10797</v>
      </c>
      <c r="O1932" t="s">
        <v>10798</v>
      </c>
      <c r="P1932" t="s">
        <v>10799</v>
      </c>
      <c r="Q1932" t="s">
        <v>30</v>
      </c>
      <c r="R1932" t="s">
        <v>31</v>
      </c>
      <c r="S1932" t="s">
        <v>159</v>
      </c>
    </row>
    <row r="1933" spans="1:19" x14ac:dyDescent="0.45">
      <c r="A1933" t="str">
        <f t="shared" si="132"/>
        <v>32801</v>
      </c>
      <c r="B1933" t="s">
        <v>1108</v>
      </c>
      <c r="C1933" t="str">
        <f>"33115"</f>
        <v>33115</v>
      </c>
      <c r="D1933" t="s">
        <v>4684</v>
      </c>
      <c r="E1933" t="str">
        <f>"1594"</f>
        <v>1594</v>
      </c>
      <c r="F1933" t="s">
        <v>10800</v>
      </c>
      <c r="G1933" t="s">
        <v>22</v>
      </c>
      <c r="H1933">
        <v>12</v>
      </c>
      <c r="I1933" t="s">
        <v>10801</v>
      </c>
      <c r="K1933" t="s">
        <v>4687</v>
      </c>
      <c r="L1933" t="s">
        <v>25</v>
      </c>
      <c r="M1933" t="s">
        <v>10802</v>
      </c>
      <c r="N1933" t="s">
        <v>4688</v>
      </c>
      <c r="O1933" t="s">
        <v>10803</v>
      </c>
      <c r="P1933" t="s">
        <v>10804</v>
      </c>
      <c r="Q1933" t="s">
        <v>157</v>
      </c>
      <c r="R1933" t="s">
        <v>158</v>
      </c>
      <c r="S1933" t="s">
        <v>159</v>
      </c>
    </row>
    <row r="1934" spans="1:19" x14ac:dyDescent="0.45">
      <c r="A1934" t="str">
        <f t="shared" si="132"/>
        <v>32801</v>
      </c>
      <c r="B1934" t="s">
        <v>1108</v>
      </c>
      <c r="C1934" t="str">
        <f>"33115"</f>
        <v>33115</v>
      </c>
      <c r="D1934" t="s">
        <v>4684</v>
      </c>
      <c r="E1934" t="str">
        <f>"2957"</f>
        <v>2957</v>
      </c>
      <c r="F1934" t="s">
        <v>10805</v>
      </c>
      <c r="G1934" t="s">
        <v>70</v>
      </c>
      <c r="H1934">
        <v>2</v>
      </c>
      <c r="I1934" t="s">
        <v>10806</v>
      </c>
      <c r="K1934" t="s">
        <v>4687</v>
      </c>
      <c r="L1934" t="s">
        <v>25</v>
      </c>
      <c r="M1934" t="s">
        <v>10807</v>
      </c>
      <c r="N1934" t="s">
        <v>10808</v>
      </c>
      <c r="O1934" t="s">
        <v>10809</v>
      </c>
      <c r="P1934" t="s">
        <v>10810</v>
      </c>
      <c r="Q1934" t="s">
        <v>30</v>
      </c>
      <c r="R1934" t="s">
        <v>31</v>
      </c>
      <c r="S1934" t="s">
        <v>32</v>
      </c>
    </row>
    <row r="1935" spans="1:19" x14ac:dyDescent="0.45">
      <c r="A1935" t="str">
        <f t="shared" si="132"/>
        <v>32801</v>
      </c>
      <c r="B1935" t="s">
        <v>1108</v>
      </c>
      <c r="C1935" t="str">
        <f>"33115"</f>
        <v>33115</v>
      </c>
      <c r="D1935" t="s">
        <v>4684</v>
      </c>
      <c r="E1935" t="str">
        <f>"3310"</f>
        <v>3310</v>
      </c>
      <c r="F1935" t="s">
        <v>10811</v>
      </c>
      <c r="G1935">
        <v>9</v>
      </c>
      <c r="H1935">
        <v>12</v>
      </c>
      <c r="I1935" t="s">
        <v>10812</v>
      </c>
      <c r="K1935" t="s">
        <v>4687</v>
      </c>
      <c r="L1935" t="s">
        <v>25</v>
      </c>
      <c r="M1935" t="s">
        <v>10813</v>
      </c>
      <c r="N1935" t="s">
        <v>10814</v>
      </c>
      <c r="O1935" t="s">
        <v>10803</v>
      </c>
      <c r="P1935" t="s">
        <v>10815</v>
      </c>
      <c r="Q1935" t="s">
        <v>30</v>
      </c>
      <c r="R1935" t="s">
        <v>31</v>
      </c>
      <c r="S1935" t="s">
        <v>58</v>
      </c>
    </row>
    <row r="1936" spans="1:19" x14ac:dyDescent="0.45">
      <c r="A1936" t="str">
        <f t="shared" si="132"/>
        <v>32801</v>
      </c>
      <c r="B1936" t="s">
        <v>1108</v>
      </c>
      <c r="C1936" t="str">
        <f>"33115"</f>
        <v>33115</v>
      </c>
      <c r="D1936" t="s">
        <v>4684</v>
      </c>
      <c r="E1936" t="str">
        <f>"3831"</f>
        <v>3831</v>
      </c>
      <c r="F1936" t="s">
        <v>10816</v>
      </c>
      <c r="G1936">
        <v>6</v>
      </c>
      <c r="H1936">
        <v>8</v>
      </c>
      <c r="I1936" t="s">
        <v>10817</v>
      </c>
      <c r="K1936" t="s">
        <v>4687</v>
      </c>
      <c r="L1936" t="s">
        <v>25</v>
      </c>
      <c r="M1936" t="s">
        <v>10818</v>
      </c>
      <c r="N1936" t="s">
        <v>10819</v>
      </c>
      <c r="O1936" t="s">
        <v>10820</v>
      </c>
      <c r="P1936" t="s">
        <v>10821</v>
      </c>
      <c r="Q1936" t="s">
        <v>30</v>
      </c>
      <c r="R1936" t="s">
        <v>31</v>
      </c>
      <c r="S1936" t="s">
        <v>104</v>
      </c>
    </row>
    <row r="1937" spans="1:19" x14ac:dyDescent="0.45">
      <c r="A1937" t="str">
        <f t="shared" si="132"/>
        <v>32801</v>
      </c>
      <c r="B1937" t="s">
        <v>1108</v>
      </c>
      <c r="C1937" t="str">
        <f>"33115"</f>
        <v>33115</v>
      </c>
      <c r="D1937" t="s">
        <v>4684</v>
      </c>
      <c r="E1937" t="str">
        <f>"4180"</f>
        <v>4180</v>
      </c>
      <c r="F1937" t="s">
        <v>10822</v>
      </c>
      <c r="G1937">
        <v>3</v>
      </c>
      <c r="H1937">
        <v>5</v>
      </c>
      <c r="I1937" t="s">
        <v>10823</v>
      </c>
      <c r="K1937" t="s">
        <v>4687</v>
      </c>
      <c r="L1937" t="s">
        <v>25</v>
      </c>
      <c r="M1937" t="s">
        <v>10824</v>
      </c>
      <c r="N1937" t="s">
        <v>10825</v>
      </c>
      <c r="O1937" t="s">
        <v>10826</v>
      </c>
      <c r="P1937" t="s">
        <v>10827</v>
      </c>
      <c r="Q1937" t="s">
        <v>30</v>
      </c>
      <c r="R1937" t="s">
        <v>31</v>
      </c>
      <c r="S1937" t="s">
        <v>32</v>
      </c>
    </row>
    <row r="1938" spans="1:19" x14ac:dyDescent="0.45">
      <c r="A1938" t="str">
        <f t="shared" si="132"/>
        <v>32801</v>
      </c>
      <c r="B1938" t="s">
        <v>1108</v>
      </c>
      <c r="C1938" t="str">
        <f>"33183"</f>
        <v>33183</v>
      </c>
      <c r="D1938" t="s">
        <v>10828</v>
      </c>
      <c r="E1938" t="str">
        <f>"2480"</f>
        <v>2480</v>
      </c>
      <c r="F1938" t="s">
        <v>10829</v>
      </c>
      <c r="G1938" t="s">
        <v>22</v>
      </c>
      <c r="H1938">
        <v>6</v>
      </c>
      <c r="I1938" t="s">
        <v>10830</v>
      </c>
      <c r="K1938" t="s">
        <v>10831</v>
      </c>
      <c r="L1938" t="s">
        <v>25</v>
      </c>
      <c r="M1938" t="s">
        <v>10832</v>
      </c>
      <c r="N1938" t="s">
        <v>10833</v>
      </c>
      <c r="O1938" t="s">
        <v>10834</v>
      </c>
      <c r="P1938" t="s">
        <v>10835</v>
      </c>
      <c r="Q1938" t="s">
        <v>30</v>
      </c>
      <c r="R1938" t="s">
        <v>31</v>
      </c>
      <c r="S1938" t="s">
        <v>32</v>
      </c>
    </row>
    <row r="1939" spans="1:19" x14ac:dyDescent="0.45">
      <c r="A1939" t="str">
        <f t="shared" si="132"/>
        <v>32801</v>
      </c>
      <c r="B1939" t="s">
        <v>1108</v>
      </c>
      <c r="C1939" t="str">
        <f>"33202"</f>
        <v>33202</v>
      </c>
      <c r="D1939" t="s">
        <v>10836</v>
      </c>
      <c r="E1939" t="str">
        <f>"4394"</f>
        <v>4394</v>
      </c>
      <c r="F1939" t="s">
        <v>10837</v>
      </c>
      <c r="G1939" t="s">
        <v>22</v>
      </c>
      <c r="H1939">
        <v>8</v>
      </c>
      <c r="I1939" t="s">
        <v>10838</v>
      </c>
      <c r="K1939" t="s">
        <v>10839</v>
      </c>
      <c r="L1939" t="s">
        <v>25</v>
      </c>
      <c r="M1939" t="s">
        <v>10840</v>
      </c>
      <c r="N1939" t="s">
        <v>10841</v>
      </c>
      <c r="O1939" t="s">
        <v>10842</v>
      </c>
      <c r="P1939" t="s">
        <v>10843</v>
      </c>
      <c r="Q1939" t="s">
        <v>30</v>
      </c>
      <c r="R1939" t="s">
        <v>31</v>
      </c>
      <c r="S1939" t="s">
        <v>159</v>
      </c>
    </row>
    <row r="1940" spans="1:19" x14ac:dyDescent="0.45">
      <c r="A1940" t="str">
        <f t="shared" si="132"/>
        <v>32801</v>
      </c>
      <c r="B1940" t="s">
        <v>1108</v>
      </c>
      <c r="C1940" t="str">
        <f>"33205"</f>
        <v>33205</v>
      </c>
      <c r="D1940" t="s">
        <v>10844</v>
      </c>
      <c r="E1940" t="str">
        <f>"3197"</f>
        <v>3197</v>
      </c>
      <c r="F1940" t="s">
        <v>10845</v>
      </c>
      <c r="G1940" t="s">
        <v>70</v>
      </c>
      <c r="H1940">
        <v>6</v>
      </c>
      <c r="I1940" t="s">
        <v>10846</v>
      </c>
      <c r="K1940" t="s">
        <v>10847</v>
      </c>
      <c r="L1940" t="s">
        <v>25</v>
      </c>
      <c r="M1940" t="s">
        <v>10848</v>
      </c>
      <c r="N1940" t="s">
        <v>10849</v>
      </c>
      <c r="P1940" t="s">
        <v>10850</v>
      </c>
      <c r="Q1940" t="s">
        <v>30</v>
      </c>
      <c r="R1940" t="s">
        <v>31</v>
      </c>
      <c r="S1940" t="s">
        <v>32</v>
      </c>
    </row>
    <row r="1941" spans="1:19" x14ac:dyDescent="0.45">
      <c r="A1941" t="str">
        <f t="shared" si="132"/>
        <v>32801</v>
      </c>
      <c r="B1941" t="s">
        <v>1108</v>
      </c>
      <c r="C1941" t="str">
        <f>"33206"</f>
        <v>33206</v>
      </c>
      <c r="D1941" t="s">
        <v>10851</v>
      </c>
      <c r="E1941" t="str">
        <f>"3508"</f>
        <v>3508</v>
      </c>
      <c r="F1941" t="s">
        <v>10852</v>
      </c>
      <c r="G1941" t="s">
        <v>22</v>
      </c>
      <c r="H1941">
        <v>12</v>
      </c>
      <c r="I1941" t="s">
        <v>10853</v>
      </c>
      <c r="K1941" t="s">
        <v>10854</v>
      </c>
      <c r="L1941" t="s">
        <v>25</v>
      </c>
      <c r="M1941" t="s">
        <v>10855</v>
      </c>
      <c r="N1941" t="s">
        <v>10856</v>
      </c>
      <c r="O1941" t="s">
        <v>10857</v>
      </c>
      <c r="P1941" t="s">
        <v>10858</v>
      </c>
      <c r="Q1941" t="s">
        <v>30</v>
      </c>
      <c r="R1941" t="s">
        <v>31</v>
      </c>
      <c r="S1941" t="s">
        <v>68</v>
      </c>
    </row>
    <row r="1942" spans="1:19" x14ac:dyDescent="0.45">
      <c r="A1942" t="str">
        <f t="shared" si="132"/>
        <v>32801</v>
      </c>
      <c r="B1942" t="s">
        <v>1108</v>
      </c>
      <c r="C1942" t="str">
        <f>"33207"</f>
        <v>33207</v>
      </c>
      <c r="D1942" t="s">
        <v>2916</v>
      </c>
      <c r="E1942" t="str">
        <f>"2297"</f>
        <v>2297</v>
      </c>
      <c r="F1942" t="s">
        <v>10859</v>
      </c>
      <c r="G1942" t="s">
        <v>22</v>
      </c>
      <c r="H1942">
        <v>6</v>
      </c>
      <c r="I1942" t="s">
        <v>2918</v>
      </c>
      <c r="K1942" t="s">
        <v>2919</v>
      </c>
      <c r="L1942" t="s">
        <v>25</v>
      </c>
      <c r="M1942" t="s">
        <v>10860</v>
      </c>
      <c r="N1942" t="s">
        <v>10861</v>
      </c>
      <c r="O1942" t="s">
        <v>10862</v>
      </c>
      <c r="P1942" t="s">
        <v>10863</v>
      </c>
      <c r="Q1942" t="s">
        <v>30</v>
      </c>
      <c r="R1942" t="s">
        <v>31</v>
      </c>
      <c r="S1942" t="s">
        <v>32</v>
      </c>
    </row>
    <row r="1943" spans="1:19" x14ac:dyDescent="0.45">
      <c r="A1943" t="str">
        <f t="shared" si="132"/>
        <v>32801</v>
      </c>
      <c r="B1943" t="s">
        <v>1108</v>
      </c>
      <c r="C1943" t="str">
        <f>"33207"</f>
        <v>33207</v>
      </c>
      <c r="D1943" t="s">
        <v>2916</v>
      </c>
      <c r="E1943" t="str">
        <f>"3311"</f>
        <v>3311</v>
      </c>
      <c r="F1943" t="s">
        <v>10864</v>
      </c>
      <c r="G1943">
        <v>9</v>
      </c>
      <c r="H1943">
        <v>12</v>
      </c>
      <c r="I1943" t="s">
        <v>2918</v>
      </c>
      <c r="K1943" t="s">
        <v>2919</v>
      </c>
      <c r="L1943" t="s">
        <v>25</v>
      </c>
      <c r="M1943" t="s">
        <v>10860</v>
      </c>
      <c r="N1943" t="s">
        <v>10865</v>
      </c>
      <c r="O1943" t="s">
        <v>10866</v>
      </c>
      <c r="P1943" t="s">
        <v>10867</v>
      </c>
      <c r="Q1943" t="s">
        <v>30</v>
      </c>
      <c r="R1943" t="s">
        <v>31</v>
      </c>
      <c r="S1943" t="s">
        <v>58</v>
      </c>
    </row>
    <row r="1944" spans="1:19" x14ac:dyDescent="0.45">
      <c r="A1944" t="str">
        <f t="shared" si="132"/>
        <v>32801</v>
      </c>
      <c r="B1944" t="s">
        <v>1108</v>
      </c>
      <c r="C1944" t="str">
        <f>"33207"</f>
        <v>33207</v>
      </c>
      <c r="D1944" t="s">
        <v>2916</v>
      </c>
      <c r="E1944" t="str">
        <f>"3894"</f>
        <v>3894</v>
      </c>
      <c r="F1944" t="s">
        <v>10868</v>
      </c>
      <c r="G1944">
        <v>6</v>
      </c>
      <c r="H1944">
        <v>8</v>
      </c>
      <c r="I1944" t="s">
        <v>2918</v>
      </c>
      <c r="K1944" t="s">
        <v>2919</v>
      </c>
      <c r="L1944" t="s">
        <v>25</v>
      </c>
      <c r="M1944" t="s">
        <v>10860</v>
      </c>
      <c r="N1944" t="s">
        <v>2920</v>
      </c>
      <c r="O1944" t="s">
        <v>2921</v>
      </c>
      <c r="P1944" t="s">
        <v>10867</v>
      </c>
      <c r="Q1944" t="s">
        <v>30</v>
      </c>
      <c r="R1944" t="s">
        <v>31</v>
      </c>
      <c r="S1944" t="s">
        <v>104</v>
      </c>
    </row>
    <row r="1945" spans="1:19" x14ac:dyDescent="0.45">
      <c r="A1945" t="str">
        <f t="shared" si="132"/>
        <v>32801</v>
      </c>
      <c r="B1945" t="s">
        <v>1108</v>
      </c>
      <c r="C1945" t="str">
        <f>"33211"</f>
        <v>33211</v>
      </c>
      <c r="D1945" t="s">
        <v>10869</v>
      </c>
      <c r="E1945" t="str">
        <f>"2062"</f>
        <v>2062</v>
      </c>
      <c r="F1945" t="s">
        <v>10870</v>
      </c>
      <c r="G1945" t="s">
        <v>70</v>
      </c>
      <c r="H1945">
        <v>8</v>
      </c>
      <c r="I1945" t="s">
        <v>10871</v>
      </c>
      <c r="K1945" t="s">
        <v>10872</v>
      </c>
      <c r="L1945" t="s">
        <v>25</v>
      </c>
      <c r="M1945" t="s">
        <v>10873</v>
      </c>
      <c r="N1945" t="s">
        <v>10874</v>
      </c>
      <c r="P1945" t="s">
        <v>10875</v>
      </c>
      <c r="Q1945" t="s">
        <v>30</v>
      </c>
      <c r="R1945" t="s">
        <v>31</v>
      </c>
      <c r="S1945" t="s">
        <v>159</v>
      </c>
    </row>
    <row r="1946" spans="1:19" x14ac:dyDescent="0.45">
      <c r="A1946" t="str">
        <f t="shared" si="132"/>
        <v>32801</v>
      </c>
      <c r="B1946" t="s">
        <v>1108</v>
      </c>
      <c r="C1946" t="str">
        <f>"33211"</f>
        <v>33211</v>
      </c>
      <c r="D1946" t="s">
        <v>10869</v>
      </c>
      <c r="E1946" t="str">
        <f>"2958"</f>
        <v>2958</v>
      </c>
      <c r="F1946" t="s">
        <v>10876</v>
      </c>
      <c r="G1946">
        <v>9</v>
      </c>
      <c r="H1946">
        <v>12</v>
      </c>
      <c r="I1946" t="s">
        <v>10871</v>
      </c>
      <c r="K1946" t="s">
        <v>10872</v>
      </c>
      <c r="L1946" t="s">
        <v>25</v>
      </c>
      <c r="M1946" t="s">
        <v>10873</v>
      </c>
      <c r="N1946" t="s">
        <v>10877</v>
      </c>
      <c r="O1946" t="s">
        <v>10878</v>
      </c>
      <c r="P1946" t="s">
        <v>10875</v>
      </c>
      <c r="Q1946" t="s">
        <v>30</v>
      </c>
      <c r="R1946" t="s">
        <v>31</v>
      </c>
      <c r="S1946" t="s">
        <v>58</v>
      </c>
    </row>
    <row r="1947" spans="1:19" x14ac:dyDescent="0.45">
      <c r="A1947" t="str">
        <f t="shared" si="132"/>
        <v>32801</v>
      </c>
      <c r="B1947" t="s">
        <v>1108</v>
      </c>
      <c r="C1947" t="str">
        <f>"33212"</f>
        <v>33212</v>
      </c>
      <c r="D1947" t="s">
        <v>4284</v>
      </c>
      <c r="E1947" t="str">
        <f>"2385"</f>
        <v>2385</v>
      </c>
      <c r="F1947" t="s">
        <v>10879</v>
      </c>
      <c r="G1947" t="s">
        <v>70</v>
      </c>
      <c r="H1947">
        <v>4</v>
      </c>
      <c r="I1947" t="s">
        <v>8813</v>
      </c>
      <c r="K1947" t="s">
        <v>10880</v>
      </c>
      <c r="L1947" t="s">
        <v>25</v>
      </c>
      <c r="M1947">
        <v>99141</v>
      </c>
      <c r="N1947" t="s">
        <v>10881</v>
      </c>
      <c r="O1947" t="s">
        <v>10882</v>
      </c>
      <c r="P1947" t="s">
        <v>10883</v>
      </c>
      <c r="Q1947" t="s">
        <v>30</v>
      </c>
      <c r="R1947" t="s">
        <v>31</v>
      </c>
      <c r="S1947" t="s">
        <v>32</v>
      </c>
    </row>
    <row r="1948" spans="1:19" x14ac:dyDescent="0.45">
      <c r="A1948" t="str">
        <f t="shared" si="132"/>
        <v>32801</v>
      </c>
      <c r="B1948" t="s">
        <v>1108</v>
      </c>
      <c r="C1948" t="str">
        <f>"33212"</f>
        <v>33212</v>
      </c>
      <c r="D1948" t="s">
        <v>4284</v>
      </c>
      <c r="E1948" t="str">
        <f>"3198"</f>
        <v>3198</v>
      </c>
      <c r="F1948" t="s">
        <v>10884</v>
      </c>
      <c r="G1948">
        <v>5</v>
      </c>
      <c r="H1948">
        <v>8</v>
      </c>
      <c r="I1948" t="s">
        <v>8813</v>
      </c>
      <c r="K1948" t="s">
        <v>10880</v>
      </c>
      <c r="L1948" t="s">
        <v>25</v>
      </c>
      <c r="M1948">
        <v>99141</v>
      </c>
      <c r="N1948" t="s">
        <v>10885</v>
      </c>
      <c r="O1948" t="s">
        <v>10886</v>
      </c>
      <c r="P1948" t="s">
        <v>10887</v>
      </c>
      <c r="Q1948" t="s">
        <v>30</v>
      </c>
      <c r="R1948" t="s">
        <v>31</v>
      </c>
      <c r="S1948" t="s">
        <v>104</v>
      </c>
    </row>
    <row r="1949" spans="1:19" x14ac:dyDescent="0.45">
      <c r="A1949" t="str">
        <f t="shared" si="132"/>
        <v>32801</v>
      </c>
      <c r="B1949" t="s">
        <v>1108</v>
      </c>
      <c r="C1949" t="str">
        <f>"33212"</f>
        <v>33212</v>
      </c>
      <c r="D1949" t="s">
        <v>4284</v>
      </c>
      <c r="E1949" t="str">
        <f>"4206"</f>
        <v>4206</v>
      </c>
      <c r="F1949" t="s">
        <v>10888</v>
      </c>
      <c r="G1949">
        <v>9</v>
      </c>
      <c r="H1949">
        <v>12</v>
      </c>
      <c r="I1949" t="s">
        <v>8813</v>
      </c>
      <c r="K1949" t="s">
        <v>10880</v>
      </c>
      <c r="L1949" t="s">
        <v>25</v>
      </c>
      <c r="M1949">
        <v>99141</v>
      </c>
      <c r="N1949" t="s">
        <v>10889</v>
      </c>
      <c r="O1949" t="s">
        <v>10890</v>
      </c>
      <c r="P1949" t="s">
        <v>4290</v>
      </c>
      <c r="Q1949" t="s">
        <v>30</v>
      </c>
      <c r="R1949" t="s">
        <v>31</v>
      </c>
      <c r="S1949" t="s">
        <v>58</v>
      </c>
    </row>
    <row r="1950" spans="1:19" x14ac:dyDescent="0.45">
      <c r="A1950" t="str">
        <f t="shared" ref="A1950:A1981" si="133">"34801"</f>
        <v>34801</v>
      </c>
      <c r="B1950" t="s">
        <v>2257</v>
      </c>
      <c r="C1950" t="str">
        <f t="shared" ref="C1950:C1957" si="134">"34002"</f>
        <v>34002</v>
      </c>
      <c r="D1950" t="s">
        <v>10891</v>
      </c>
      <c r="E1950" t="str">
        <f>"1627"</f>
        <v>1627</v>
      </c>
      <c r="F1950" t="s">
        <v>10892</v>
      </c>
      <c r="G1950">
        <v>9</v>
      </c>
      <c r="H1950">
        <v>12</v>
      </c>
      <c r="I1950" t="s">
        <v>10893</v>
      </c>
      <c r="K1950" t="s">
        <v>10894</v>
      </c>
      <c r="L1950" t="s">
        <v>25</v>
      </c>
      <c r="M1950" t="s">
        <v>10895</v>
      </c>
      <c r="N1950" t="s">
        <v>10896</v>
      </c>
      <c r="O1950" t="s">
        <v>10897</v>
      </c>
      <c r="P1950" t="s">
        <v>10898</v>
      </c>
      <c r="Q1950" t="s">
        <v>157</v>
      </c>
      <c r="R1950" t="s">
        <v>158</v>
      </c>
      <c r="S1950" t="s">
        <v>58</v>
      </c>
    </row>
    <row r="1951" spans="1:19" x14ac:dyDescent="0.45">
      <c r="A1951" t="str">
        <f t="shared" si="133"/>
        <v>34801</v>
      </c>
      <c r="B1951" t="s">
        <v>2257</v>
      </c>
      <c r="C1951" t="str">
        <f t="shared" si="134"/>
        <v>34002</v>
      </c>
      <c r="D1951" t="s">
        <v>10891</v>
      </c>
      <c r="E1951" t="str">
        <f>"2260"</f>
        <v>2260</v>
      </c>
      <c r="F1951" t="s">
        <v>10899</v>
      </c>
      <c r="G1951" t="s">
        <v>22</v>
      </c>
      <c r="H1951">
        <v>5</v>
      </c>
      <c r="I1951" t="s">
        <v>10893</v>
      </c>
      <c r="K1951" t="s">
        <v>10894</v>
      </c>
      <c r="L1951" t="s">
        <v>25</v>
      </c>
      <c r="M1951" t="s">
        <v>10895</v>
      </c>
      <c r="N1951" t="s">
        <v>10900</v>
      </c>
      <c r="O1951" t="s">
        <v>10901</v>
      </c>
      <c r="P1951" t="s">
        <v>10902</v>
      </c>
      <c r="Q1951" t="s">
        <v>30</v>
      </c>
      <c r="R1951" t="s">
        <v>31</v>
      </c>
      <c r="S1951" t="s">
        <v>32</v>
      </c>
    </row>
    <row r="1952" spans="1:19" x14ac:dyDescent="0.45">
      <c r="A1952" t="str">
        <f t="shared" si="133"/>
        <v>34801</v>
      </c>
      <c r="B1952" t="s">
        <v>2257</v>
      </c>
      <c r="C1952" t="str">
        <f t="shared" si="134"/>
        <v>34002</v>
      </c>
      <c r="D1952" t="s">
        <v>10891</v>
      </c>
      <c r="E1952" t="str">
        <f>"2481"</f>
        <v>2481</v>
      </c>
      <c r="F1952" t="s">
        <v>10903</v>
      </c>
      <c r="G1952">
        <v>6</v>
      </c>
      <c r="H1952">
        <v>8</v>
      </c>
      <c r="I1952" t="s">
        <v>10893</v>
      </c>
      <c r="K1952" t="s">
        <v>10894</v>
      </c>
      <c r="L1952" t="s">
        <v>25</v>
      </c>
      <c r="M1952" t="s">
        <v>10895</v>
      </c>
      <c r="N1952" t="s">
        <v>10904</v>
      </c>
      <c r="O1952" t="s">
        <v>10905</v>
      </c>
      <c r="P1952" t="s">
        <v>10906</v>
      </c>
      <c r="Q1952" t="s">
        <v>30</v>
      </c>
      <c r="R1952" t="s">
        <v>31</v>
      </c>
      <c r="S1952" t="s">
        <v>104</v>
      </c>
    </row>
    <row r="1953" spans="1:19" x14ac:dyDescent="0.45">
      <c r="A1953" t="str">
        <f t="shared" si="133"/>
        <v>34801</v>
      </c>
      <c r="B1953" t="s">
        <v>2257</v>
      </c>
      <c r="C1953" t="str">
        <f t="shared" si="134"/>
        <v>34002</v>
      </c>
      <c r="D1953" t="s">
        <v>10891</v>
      </c>
      <c r="E1953" t="str">
        <f>"2633"</f>
        <v>2633</v>
      </c>
      <c r="F1953" t="s">
        <v>10907</v>
      </c>
      <c r="G1953">
        <v>9</v>
      </c>
      <c r="H1953">
        <v>12</v>
      </c>
      <c r="I1953" t="s">
        <v>10893</v>
      </c>
      <c r="K1953" t="s">
        <v>10894</v>
      </c>
      <c r="L1953" t="s">
        <v>25</v>
      </c>
      <c r="M1953" t="s">
        <v>10895</v>
      </c>
      <c r="N1953" t="s">
        <v>10908</v>
      </c>
      <c r="O1953" t="s">
        <v>10909</v>
      </c>
      <c r="P1953" t="s">
        <v>10898</v>
      </c>
      <c r="Q1953" t="s">
        <v>30</v>
      </c>
      <c r="R1953" t="s">
        <v>31</v>
      </c>
      <c r="S1953" t="s">
        <v>58</v>
      </c>
    </row>
    <row r="1954" spans="1:19" x14ac:dyDescent="0.45">
      <c r="A1954" t="str">
        <f t="shared" si="133"/>
        <v>34801</v>
      </c>
      <c r="B1954" t="s">
        <v>2257</v>
      </c>
      <c r="C1954" t="str">
        <f t="shared" si="134"/>
        <v>34002</v>
      </c>
      <c r="D1954" t="s">
        <v>10891</v>
      </c>
      <c r="E1954" t="str">
        <f>"3848"</f>
        <v>3848</v>
      </c>
      <c r="F1954" t="s">
        <v>10910</v>
      </c>
      <c r="G1954" t="s">
        <v>22</v>
      </c>
      <c r="H1954">
        <v>5</v>
      </c>
      <c r="I1954" t="s">
        <v>10893</v>
      </c>
      <c r="K1954" t="s">
        <v>10894</v>
      </c>
      <c r="L1954" t="s">
        <v>25</v>
      </c>
      <c r="M1954" t="s">
        <v>10895</v>
      </c>
      <c r="N1954" t="s">
        <v>10911</v>
      </c>
      <c r="O1954" t="s">
        <v>10912</v>
      </c>
      <c r="P1954" t="s">
        <v>10913</v>
      </c>
      <c r="Q1954" t="s">
        <v>30</v>
      </c>
      <c r="R1954" t="s">
        <v>31</v>
      </c>
      <c r="S1954" t="s">
        <v>32</v>
      </c>
    </row>
    <row r="1955" spans="1:19" x14ac:dyDescent="0.45">
      <c r="A1955" t="str">
        <f t="shared" si="133"/>
        <v>34801</v>
      </c>
      <c r="B1955" t="s">
        <v>2257</v>
      </c>
      <c r="C1955" t="str">
        <f t="shared" si="134"/>
        <v>34002</v>
      </c>
      <c r="D1955" t="s">
        <v>10891</v>
      </c>
      <c r="E1955" t="str">
        <f>"4224"</f>
        <v>4224</v>
      </c>
      <c r="F1955" t="s">
        <v>10914</v>
      </c>
      <c r="G1955" t="s">
        <v>22</v>
      </c>
      <c r="H1955">
        <v>5</v>
      </c>
      <c r="I1955" t="s">
        <v>10915</v>
      </c>
      <c r="K1955" t="s">
        <v>10894</v>
      </c>
      <c r="L1955" t="s">
        <v>25</v>
      </c>
      <c r="M1955" t="s">
        <v>10916</v>
      </c>
      <c r="N1955" t="s">
        <v>10917</v>
      </c>
      <c r="O1955" t="s">
        <v>10918</v>
      </c>
      <c r="P1955" t="s">
        <v>10919</v>
      </c>
      <c r="Q1955" t="s">
        <v>30</v>
      </c>
      <c r="R1955" t="s">
        <v>31</v>
      </c>
      <c r="S1955" t="s">
        <v>32</v>
      </c>
    </row>
    <row r="1956" spans="1:19" x14ac:dyDescent="0.45">
      <c r="A1956" t="str">
        <f t="shared" si="133"/>
        <v>34801</v>
      </c>
      <c r="B1956" t="s">
        <v>2257</v>
      </c>
      <c r="C1956" t="str">
        <f t="shared" si="134"/>
        <v>34002</v>
      </c>
      <c r="D1956" t="s">
        <v>10891</v>
      </c>
      <c r="E1956" t="str">
        <f>"4346"</f>
        <v>4346</v>
      </c>
      <c r="F1956" t="s">
        <v>10920</v>
      </c>
      <c r="G1956" t="s">
        <v>22</v>
      </c>
      <c r="H1956">
        <v>5</v>
      </c>
      <c r="I1956" t="s">
        <v>10893</v>
      </c>
      <c r="K1956" t="s">
        <v>10894</v>
      </c>
      <c r="L1956" t="s">
        <v>25</v>
      </c>
      <c r="M1956" t="s">
        <v>10895</v>
      </c>
      <c r="N1956" t="s">
        <v>10921</v>
      </c>
      <c r="O1956" t="s">
        <v>10922</v>
      </c>
      <c r="P1956" t="s">
        <v>10923</v>
      </c>
      <c r="Q1956" t="s">
        <v>30</v>
      </c>
      <c r="R1956" t="s">
        <v>31</v>
      </c>
      <c r="S1956" t="s">
        <v>32</v>
      </c>
    </row>
    <row r="1957" spans="1:19" x14ac:dyDescent="0.45">
      <c r="A1957" t="str">
        <f t="shared" si="133"/>
        <v>34801</v>
      </c>
      <c r="B1957" t="s">
        <v>2257</v>
      </c>
      <c r="C1957" t="str">
        <f t="shared" si="134"/>
        <v>34002</v>
      </c>
      <c r="D1957" t="s">
        <v>10891</v>
      </c>
      <c r="E1957" t="str">
        <f>"4451"</f>
        <v>4451</v>
      </c>
      <c r="F1957" t="s">
        <v>10924</v>
      </c>
      <c r="G1957" t="s">
        <v>22</v>
      </c>
      <c r="H1957">
        <v>5</v>
      </c>
      <c r="I1957" t="s">
        <v>10893</v>
      </c>
      <c r="K1957" t="s">
        <v>10894</v>
      </c>
      <c r="L1957" t="s">
        <v>25</v>
      </c>
      <c r="M1957" t="s">
        <v>10895</v>
      </c>
      <c r="N1957" t="s">
        <v>10925</v>
      </c>
      <c r="O1957" t="s">
        <v>10926</v>
      </c>
      <c r="P1957" t="s">
        <v>10927</v>
      </c>
      <c r="Q1957" t="s">
        <v>30</v>
      </c>
      <c r="R1957" t="s">
        <v>31</v>
      </c>
      <c r="S1957" t="s">
        <v>32</v>
      </c>
    </row>
    <row r="1958" spans="1:19" x14ac:dyDescent="0.45">
      <c r="A1958" t="str">
        <f t="shared" si="133"/>
        <v>34801</v>
      </c>
      <c r="B1958" t="s">
        <v>2257</v>
      </c>
      <c r="C1958" t="str">
        <f t="shared" ref="C1958:C1976" si="135">"34003"</f>
        <v>34003</v>
      </c>
      <c r="D1958" t="s">
        <v>2953</v>
      </c>
      <c r="E1958" t="str">
        <f>"2754"</f>
        <v>2754</v>
      </c>
      <c r="F1958" t="s">
        <v>10928</v>
      </c>
      <c r="G1958" t="s">
        <v>22</v>
      </c>
      <c r="H1958">
        <v>5</v>
      </c>
      <c r="I1958" t="s">
        <v>10929</v>
      </c>
      <c r="K1958" t="s">
        <v>2956</v>
      </c>
      <c r="L1958" t="s">
        <v>25</v>
      </c>
      <c r="M1958" t="s">
        <v>10930</v>
      </c>
      <c r="N1958" t="s">
        <v>10931</v>
      </c>
      <c r="O1958" t="s">
        <v>10932</v>
      </c>
      <c r="P1958" t="s">
        <v>10933</v>
      </c>
      <c r="Q1958" t="s">
        <v>30</v>
      </c>
      <c r="R1958" t="s">
        <v>31</v>
      </c>
      <c r="S1958" t="s">
        <v>32</v>
      </c>
    </row>
    <row r="1959" spans="1:19" x14ac:dyDescent="0.45">
      <c r="A1959" t="str">
        <f t="shared" si="133"/>
        <v>34801</v>
      </c>
      <c r="B1959" t="s">
        <v>2257</v>
      </c>
      <c r="C1959" t="str">
        <f t="shared" si="135"/>
        <v>34003</v>
      </c>
      <c r="D1959" t="s">
        <v>2953</v>
      </c>
      <c r="E1959" t="str">
        <f>"3010"</f>
        <v>3010</v>
      </c>
      <c r="F1959" t="s">
        <v>10934</v>
      </c>
      <c r="G1959">
        <v>9</v>
      </c>
      <c r="H1959">
        <v>12</v>
      </c>
      <c r="I1959" t="s">
        <v>10935</v>
      </c>
      <c r="K1959" t="s">
        <v>2956</v>
      </c>
      <c r="L1959" t="s">
        <v>25</v>
      </c>
      <c r="M1959" t="s">
        <v>10936</v>
      </c>
      <c r="N1959" t="s">
        <v>10937</v>
      </c>
      <c r="O1959" t="s">
        <v>10938</v>
      </c>
      <c r="P1959" t="s">
        <v>10939</v>
      </c>
      <c r="Q1959" t="s">
        <v>30</v>
      </c>
      <c r="R1959" t="s">
        <v>31</v>
      </c>
      <c r="S1959" t="s">
        <v>58</v>
      </c>
    </row>
    <row r="1960" spans="1:19" x14ac:dyDescent="0.45">
      <c r="A1960" t="str">
        <f t="shared" si="133"/>
        <v>34801</v>
      </c>
      <c r="B1960" t="s">
        <v>2257</v>
      </c>
      <c r="C1960" t="str">
        <f t="shared" si="135"/>
        <v>34003</v>
      </c>
      <c r="D1960" t="s">
        <v>2953</v>
      </c>
      <c r="E1960" t="str">
        <f>"3130"</f>
        <v>3130</v>
      </c>
      <c r="F1960" t="s">
        <v>4049</v>
      </c>
      <c r="G1960" t="s">
        <v>22</v>
      </c>
      <c r="H1960">
        <v>5</v>
      </c>
      <c r="I1960" t="s">
        <v>10940</v>
      </c>
      <c r="K1960" t="s">
        <v>2956</v>
      </c>
      <c r="L1960" t="s">
        <v>25</v>
      </c>
      <c r="M1960" t="s">
        <v>10941</v>
      </c>
      <c r="N1960" t="s">
        <v>10942</v>
      </c>
      <c r="O1960" t="s">
        <v>10943</v>
      </c>
      <c r="P1960" t="s">
        <v>10944</v>
      </c>
      <c r="Q1960" t="s">
        <v>30</v>
      </c>
      <c r="R1960" t="s">
        <v>31</v>
      </c>
      <c r="S1960" t="s">
        <v>32</v>
      </c>
    </row>
    <row r="1961" spans="1:19" x14ac:dyDescent="0.45">
      <c r="A1961" t="str">
        <f t="shared" si="133"/>
        <v>34801</v>
      </c>
      <c r="B1961" t="s">
        <v>2257</v>
      </c>
      <c r="C1961" t="str">
        <f t="shared" si="135"/>
        <v>34003</v>
      </c>
      <c r="D1961" t="s">
        <v>2953</v>
      </c>
      <c r="E1961" t="str">
        <f>"3262"</f>
        <v>3262</v>
      </c>
      <c r="F1961" t="s">
        <v>10945</v>
      </c>
      <c r="G1961" t="s">
        <v>70</v>
      </c>
      <c r="H1961">
        <v>5</v>
      </c>
      <c r="I1961" t="s">
        <v>10946</v>
      </c>
      <c r="K1961" t="s">
        <v>2956</v>
      </c>
      <c r="L1961" t="s">
        <v>25</v>
      </c>
      <c r="M1961" t="s">
        <v>10947</v>
      </c>
      <c r="N1961" t="s">
        <v>10948</v>
      </c>
      <c r="O1961" t="s">
        <v>10949</v>
      </c>
      <c r="P1961" t="s">
        <v>10950</v>
      </c>
      <c r="Q1961" t="s">
        <v>30</v>
      </c>
      <c r="R1961" t="s">
        <v>31</v>
      </c>
      <c r="S1961" t="s">
        <v>32</v>
      </c>
    </row>
    <row r="1962" spans="1:19" x14ac:dyDescent="0.45">
      <c r="A1962" t="str">
        <f t="shared" si="133"/>
        <v>34801</v>
      </c>
      <c r="B1962" t="s">
        <v>2257</v>
      </c>
      <c r="C1962" t="str">
        <f t="shared" si="135"/>
        <v>34003</v>
      </c>
      <c r="D1962" t="s">
        <v>2953</v>
      </c>
      <c r="E1962" t="str">
        <f>"3361"</f>
        <v>3361</v>
      </c>
      <c r="F1962" t="s">
        <v>262</v>
      </c>
      <c r="G1962">
        <v>6</v>
      </c>
      <c r="H1962">
        <v>8</v>
      </c>
      <c r="I1962" t="s">
        <v>10951</v>
      </c>
      <c r="K1962" t="s">
        <v>2956</v>
      </c>
      <c r="L1962" t="s">
        <v>25</v>
      </c>
      <c r="M1962" t="s">
        <v>10952</v>
      </c>
      <c r="N1962" t="s">
        <v>10953</v>
      </c>
      <c r="O1962" t="s">
        <v>10954</v>
      </c>
      <c r="P1962" t="s">
        <v>10955</v>
      </c>
      <c r="Q1962" t="s">
        <v>30</v>
      </c>
      <c r="R1962" t="s">
        <v>31</v>
      </c>
      <c r="S1962" t="s">
        <v>104</v>
      </c>
    </row>
    <row r="1963" spans="1:19" x14ac:dyDescent="0.45">
      <c r="A1963" t="str">
        <f t="shared" si="133"/>
        <v>34801</v>
      </c>
      <c r="B1963" t="s">
        <v>2257</v>
      </c>
      <c r="C1963" t="str">
        <f t="shared" si="135"/>
        <v>34003</v>
      </c>
      <c r="D1963" t="s">
        <v>2953</v>
      </c>
      <c r="E1963" t="str">
        <f>"3539"</f>
        <v>3539</v>
      </c>
      <c r="F1963" t="s">
        <v>10956</v>
      </c>
      <c r="G1963" t="s">
        <v>70</v>
      </c>
      <c r="H1963">
        <v>5</v>
      </c>
      <c r="I1963" t="s">
        <v>10957</v>
      </c>
      <c r="K1963" t="s">
        <v>2956</v>
      </c>
      <c r="L1963" t="s">
        <v>25</v>
      </c>
      <c r="M1963" t="s">
        <v>10958</v>
      </c>
      <c r="N1963" t="s">
        <v>10959</v>
      </c>
      <c r="O1963" t="s">
        <v>10960</v>
      </c>
      <c r="P1963" t="s">
        <v>10961</v>
      </c>
      <c r="Q1963" t="s">
        <v>30</v>
      </c>
      <c r="R1963" t="s">
        <v>31</v>
      </c>
      <c r="S1963" t="s">
        <v>32</v>
      </c>
    </row>
    <row r="1964" spans="1:19" x14ac:dyDescent="0.45">
      <c r="A1964" t="str">
        <f t="shared" si="133"/>
        <v>34801</v>
      </c>
      <c r="B1964" t="s">
        <v>2257</v>
      </c>
      <c r="C1964" t="str">
        <f t="shared" si="135"/>
        <v>34003</v>
      </c>
      <c r="D1964" t="s">
        <v>2953</v>
      </c>
      <c r="E1964" t="str">
        <f>"3611"</f>
        <v>3611</v>
      </c>
      <c r="F1964" t="s">
        <v>10962</v>
      </c>
      <c r="G1964">
        <v>6</v>
      </c>
      <c r="H1964">
        <v>8</v>
      </c>
      <c r="I1964" t="s">
        <v>10963</v>
      </c>
      <c r="K1964" t="s">
        <v>2956</v>
      </c>
      <c r="L1964" t="s">
        <v>25</v>
      </c>
      <c r="M1964" t="s">
        <v>10964</v>
      </c>
      <c r="N1964" t="s">
        <v>10965</v>
      </c>
      <c r="O1964" t="s">
        <v>10966</v>
      </c>
      <c r="P1964" t="s">
        <v>10967</v>
      </c>
      <c r="Q1964" t="s">
        <v>30</v>
      </c>
      <c r="R1964" t="s">
        <v>31</v>
      </c>
      <c r="S1964" t="s">
        <v>104</v>
      </c>
    </row>
    <row r="1965" spans="1:19" x14ac:dyDescent="0.45">
      <c r="A1965" t="str">
        <f t="shared" si="133"/>
        <v>34801</v>
      </c>
      <c r="B1965" t="s">
        <v>2257</v>
      </c>
      <c r="C1965" t="str">
        <f t="shared" si="135"/>
        <v>34003</v>
      </c>
      <c r="D1965" t="s">
        <v>2953</v>
      </c>
      <c r="E1965" t="str">
        <f>"3653"</f>
        <v>3653</v>
      </c>
      <c r="F1965" t="s">
        <v>10968</v>
      </c>
      <c r="G1965" t="s">
        <v>70</v>
      </c>
      <c r="H1965">
        <v>5</v>
      </c>
      <c r="I1965" t="s">
        <v>10969</v>
      </c>
      <c r="K1965" t="s">
        <v>2956</v>
      </c>
      <c r="L1965" t="s">
        <v>25</v>
      </c>
      <c r="M1965" t="s">
        <v>10970</v>
      </c>
      <c r="N1965" t="s">
        <v>10971</v>
      </c>
      <c r="O1965" t="s">
        <v>10972</v>
      </c>
      <c r="P1965" t="s">
        <v>10973</v>
      </c>
      <c r="Q1965" t="s">
        <v>30</v>
      </c>
      <c r="R1965" t="s">
        <v>31</v>
      </c>
      <c r="S1965" t="s">
        <v>32</v>
      </c>
    </row>
    <row r="1966" spans="1:19" x14ac:dyDescent="0.45">
      <c r="A1966" t="str">
        <f t="shared" si="133"/>
        <v>34801</v>
      </c>
      <c r="B1966" t="s">
        <v>2257</v>
      </c>
      <c r="C1966" t="str">
        <f t="shared" si="135"/>
        <v>34003</v>
      </c>
      <c r="D1966" t="s">
        <v>2953</v>
      </c>
      <c r="E1966" t="str">
        <f>"3709"</f>
        <v>3709</v>
      </c>
      <c r="F1966" t="s">
        <v>10974</v>
      </c>
      <c r="G1966" t="s">
        <v>70</v>
      </c>
      <c r="H1966">
        <v>5</v>
      </c>
      <c r="I1966" t="s">
        <v>10975</v>
      </c>
      <c r="K1966" t="s">
        <v>2956</v>
      </c>
      <c r="L1966" t="s">
        <v>25</v>
      </c>
      <c r="M1966" t="s">
        <v>10976</v>
      </c>
      <c r="N1966" t="s">
        <v>10977</v>
      </c>
      <c r="O1966" t="s">
        <v>10978</v>
      </c>
      <c r="P1966" t="s">
        <v>10979</v>
      </c>
      <c r="Q1966" t="s">
        <v>30</v>
      </c>
      <c r="R1966" t="s">
        <v>31</v>
      </c>
      <c r="S1966" t="s">
        <v>32</v>
      </c>
    </row>
    <row r="1967" spans="1:19" x14ac:dyDescent="0.45">
      <c r="A1967" t="str">
        <f t="shared" si="133"/>
        <v>34801</v>
      </c>
      <c r="B1967" t="s">
        <v>2257</v>
      </c>
      <c r="C1967" t="str">
        <f t="shared" si="135"/>
        <v>34003</v>
      </c>
      <c r="D1967" t="s">
        <v>2953</v>
      </c>
      <c r="E1967" t="str">
        <f>"3710"</f>
        <v>3710</v>
      </c>
      <c r="F1967" t="s">
        <v>10980</v>
      </c>
      <c r="G1967">
        <v>9</v>
      </c>
      <c r="H1967">
        <v>12</v>
      </c>
      <c r="I1967" t="s">
        <v>10981</v>
      </c>
      <c r="K1967" t="s">
        <v>2956</v>
      </c>
      <c r="L1967" t="s">
        <v>25</v>
      </c>
      <c r="M1967" t="s">
        <v>10982</v>
      </c>
      <c r="N1967" t="s">
        <v>10983</v>
      </c>
      <c r="O1967" t="s">
        <v>10984</v>
      </c>
      <c r="P1967" t="s">
        <v>10985</v>
      </c>
      <c r="Q1967" t="s">
        <v>30</v>
      </c>
      <c r="R1967" t="s">
        <v>31</v>
      </c>
      <c r="S1967" t="s">
        <v>58</v>
      </c>
    </row>
    <row r="1968" spans="1:19" x14ac:dyDescent="0.45">
      <c r="A1968" t="str">
        <f t="shared" si="133"/>
        <v>34801</v>
      </c>
      <c r="B1968" t="s">
        <v>2257</v>
      </c>
      <c r="C1968" t="str">
        <f t="shared" si="135"/>
        <v>34003</v>
      </c>
      <c r="D1968" t="s">
        <v>2953</v>
      </c>
      <c r="E1968" t="str">
        <f>"4058"</f>
        <v>4058</v>
      </c>
      <c r="F1968" t="s">
        <v>10986</v>
      </c>
      <c r="G1968" t="s">
        <v>70</v>
      </c>
      <c r="H1968">
        <v>5</v>
      </c>
      <c r="I1968" t="s">
        <v>10987</v>
      </c>
      <c r="K1968" t="s">
        <v>2956</v>
      </c>
      <c r="L1968" t="s">
        <v>25</v>
      </c>
      <c r="M1968" t="s">
        <v>10988</v>
      </c>
      <c r="N1968" t="s">
        <v>10989</v>
      </c>
      <c r="O1968" t="s">
        <v>10990</v>
      </c>
      <c r="P1968" t="s">
        <v>10991</v>
      </c>
      <c r="Q1968" t="s">
        <v>30</v>
      </c>
      <c r="R1968" t="s">
        <v>31</v>
      </c>
      <c r="S1968" t="s">
        <v>32</v>
      </c>
    </row>
    <row r="1969" spans="1:19" x14ac:dyDescent="0.45">
      <c r="A1969" t="str">
        <f t="shared" si="133"/>
        <v>34801</v>
      </c>
      <c r="B1969" t="s">
        <v>2257</v>
      </c>
      <c r="C1969" t="str">
        <f t="shared" si="135"/>
        <v>34003</v>
      </c>
      <c r="D1969" t="s">
        <v>2953</v>
      </c>
      <c r="E1969" t="str">
        <f>"4122"</f>
        <v>4122</v>
      </c>
      <c r="F1969" t="s">
        <v>7681</v>
      </c>
      <c r="G1969" t="s">
        <v>70</v>
      </c>
      <c r="H1969">
        <v>5</v>
      </c>
      <c r="I1969" t="s">
        <v>10992</v>
      </c>
      <c r="K1969" t="s">
        <v>2956</v>
      </c>
      <c r="L1969" t="s">
        <v>25</v>
      </c>
      <c r="M1969" t="s">
        <v>10993</v>
      </c>
      <c r="N1969" t="s">
        <v>10994</v>
      </c>
      <c r="O1969" t="s">
        <v>10995</v>
      </c>
      <c r="P1969" t="s">
        <v>10996</v>
      </c>
      <c r="Q1969" t="s">
        <v>30</v>
      </c>
      <c r="R1969" t="s">
        <v>31</v>
      </c>
      <c r="S1969" t="s">
        <v>32</v>
      </c>
    </row>
    <row r="1970" spans="1:19" x14ac:dyDescent="0.45">
      <c r="A1970" t="str">
        <f t="shared" si="133"/>
        <v>34801</v>
      </c>
      <c r="B1970" t="s">
        <v>2257</v>
      </c>
      <c r="C1970" t="str">
        <f t="shared" si="135"/>
        <v>34003</v>
      </c>
      <c r="D1970" t="s">
        <v>2953</v>
      </c>
      <c r="E1970" t="str">
        <f>"4255"</f>
        <v>4255</v>
      </c>
      <c r="F1970" t="s">
        <v>10997</v>
      </c>
      <c r="G1970" t="s">
        <v>22</v>
      </c>
      <c r="H1970">
        <v>5</v>
      </c>
      <c r="I1970" t="s">
        <v>10998</v>
      </c>
      <c r="K1970" t="s">
        <v>2956</v>
      </c>
      <c r="L1970" t="s">
        <v>25</v>
      </c>
      <c r="M1970" t="s">
        <v>10999</v>
      </c>
      <c r="N1970" t="s">
        <v>11000</v>
      </c>
      <c r="O1970" t="s">
        <v>11001</v>
      </c>
      <c r="P1970" t="s">
        <v>11002</v>
      </c>
      <c r="Q1970" t="s">
        <v>30</v>
      </c>
      <c r="R1970" t="s">
        <v>31</v>
      </c>
      <c r="S1970" t="s">
        <v>32</v>
      </c>
    </row>
    <row r="1971" spans="1:19" x14ac:dyDescent="0.45">
      <c r="A1971" t="str">
        <f t="shared" si="133"/>
        <v>34801</v>
      </c>
      <c r="B1971" t="s">
        <v>2257</v>
      </c>
      <c r="C1971" t="str">
        <f t="shared" si="135"/>
        <v>34003</v>
      </c>
      <c r="D1971" t="s">
        <v>2953</v>
      </c>
      <c r="E1971" t="str">
        <f>"4271"</f>
        <v>4271</v>
      </c>
      <c r="F1971" t="s">
        <v>11003</v>
      </c>
      <c r="G1971" t="s">
        <v>70</v>
      </c>
      <c r="H1971">
        <v>5</v>
      </c>
      <c r="I1971" t="s">
        <v>11004</v>
      </c>
      <c r="K1971" t="s">
        <v>2956</v>
      </c>
      <c r="L1971" t="s">
        <v>25</v>
      </c>
      <c r="M1971" t="s">
        <v>11005</v>
      </c>
      <c r="N1971" t="s">
        <v>11006</v>
      </c>
      <c r="O1971" t="s">
        <v>11007</v>
      </c>
      <c r="P1971" t="s">
        <v>11008</v>
      </c>
      <c r="Q1971" t="s">
        <v>30</v>
      </c>
      <c r="R1971" t="s">
        <v>31</v>
      </c>
      <c r="S1971" t="s">
        <v>32</v>
      </c>
    </row>
    <row r="1972" spans="1:19" x14ac:dyDescent="0.45">
      <c r="A1972" t="str">
        <f t="shared" si="133"/>
        <v>34801</v>
      </c>
      <c r="B1972" t="s">
        <v>2257</v>
      </c>
      <c r="C1972" t="str">
        <f t="shared" si="135"/>
        <v>34003</v>
      </c>
      <c r="D1972" t="s">
        <v>2953</v>
      </c>
      <c r="E1972" t="str">
        <f>"4314"</f>
        <v>4314</v>
      </c>
      <c r="F1972" t="s">
        <v>11009</v>
      </c>
      <c r="G1972">
        <v>9</v>
      </c>
      <c r="H1972">
        <v>12</v>
      </c>
      <c r="I1972" t="s">
        <v>11010</v>
      </c>
      <c r="K1972" t="s">
        <v>2956</v>
      </c>
      <c r="L1972" t="s">
        <v>25</v>
      </c>
      <c r="M1972">
        <v>98516</v>
      </c>
      <c r="N1972" t="s">
        <v>11011</v>
      </c>
      <c r="O1972" t="s">
        <v>11012</v>
      </c>
      <c r="P1972" t="s">
        <v>11013</v>
      </c>
      <c r="Q1972" t="s">
        <v>157</v>
      </c>
      <c r="R1972" t="s">
        <v>158</v>
      </c>
      <c r="S1972" t="s">
        <v>58</v>
      </c>
    </row>
    <row r="1973" spans="1:19" x14ac:dyDescent="0.45">
      <c r="A1973" t="str">
        <f t="shared" si="133"/>
        <v>34801</v>
      </c>
      <c r="B1973" t="s">
        <v>2257</v>
      </c>
      <c r="C1973" t="str">
        <f t="shared" si="135"/>
        <v>34003</v>
      </c>
      <c r="D1973" t="s">
        <v>2953</v>
      </c>
      <c r="E1973" t="str">
        <f>"4368"</f>
        <v>4368</v>
      </c>
      <c r="F1973" t="s">
        <v>11014</v>
      </c>
      <c r="G1973" t="s">
        <v>22</v>
      </c>
      <c r="H1973">
        <v>5</v>
      </c>
      <c r="I1973" t="s">
        <v>11015</v>
      </c>
      <c r="K1973" t="s">
        <v>2956</v>
      </c>
      <c r="L1973" t="s">
        <v>25</v>
      </c>
      <c r="M1973" t="s">
        <v>11016</v>
      </c>
      <c r="N1973" t="s">
        <v>11017</v>
      </c>
      <c r="O1973" t="s">
        <v>11018</v>
      </c>
      <c r="P1973" t="s">
        <v>11019</v>
      </c>
      <c r="Q1973" t="s">
        <v>30</v>
      </c>
      <c r="R1973" t="s">
        <v>31</v>
      </c>
      <c r="S1973" t="s">
        <v>32</v>
      </c>
    </row>
    <row r="1974" spans="1:19" x14ac:dyDescent="0.45">
      <c r="A1974" t="str">
        <f t="shared" si="133"/>
        <v>34801</v>
      </c>
      <c r="B1974" t="s">
        <v>2257</v>
      </c>
      <c r="C1974" t="str">
        <f t="shared" si="135"/>
        <v>34003</v>
      </c>
      <c r="D1974" t="s">
        <v>2953</v>
      </c>
      <c r="E1974" t="str">
        <f>"4408"</f>
        <v>4408</v>
      </c>
      <c r="F1974" t="s">
        <v>11020</v>
      </c>
      <c r="G1974" t="s">
        <v>70</v>
      </c>
      <c r="H1974">
        <v>5</v>
      </c>
      <c r="I1974" t="s">
        <v>11021</v>
      </c>
      <c r="K1974" t="s">
        <v>2956</v>
      </c>
      <c r="L1974" t="s">
        <v>25</v>
      </c>
      <c r="M1974" t="s">
        <v>11022</v>
      </c>
      <c r="N1974" t="s">
        <v>11023</v>
      </c>
      <c r="O1974" t="s">
        <v>11024</v>
      </c>
      <c r="P1974" t="s">
        <v>11025</v>
      </c>
      <c r="Q1974" t="s">
        <v>30</v>
      </c>
      <c r="R1974" t="s">
        <v>31</v>
      </c>
      <c r="S1974" t="s">
        <v>32</v>
      </c>
    </row>
    <row r="1975" spans="1:19" x14ac:dyDescent="0.45">
      <c r="A1975" t="str">
        <f t="shared" si="133"/>
        <v>34801</v>
      </c>
      <c r="B1975" t="s">
        <v>2257</v>
      </c>
      <c r="C1975" t="str">
        <f t="shared" si="135"/>
        <v>34003</v>
      </c>
      <c r="D1975" t="s">
        <v>2953</v>
      </c>
      <c r="E1975" t="str">
        <f>"4409"</f>
        <v>4409</v>
      </c>
      <c r="F1975" t="s">
        <v>11026</v>
      </c>
      <c r="G1975">
        <v>6</v>
      </c>
      <c r="H1975">
        <v>8</v>
      </c>
      <c r="I1975" t="s">
        <v>11027</v>
      </c>
      <c r="K1975" t="s">
        <v>2956</v>
      </c>
      <c r="L1975" t="s">
        <v>25</v>
      </c>
      <c r="M1975" t="s">
        <v>11028</v>
      </c>
      <c r="N1975" t="s">
        <v>11029</v>
      </c>
      <c r="O1975" t="s">
        <v>11030</v>
      </c>
      <c r="P1975" t="s">
        <v>11031</v>
      </c>
      <c r="Q1975" t="s">
        <v>30</v>
      </c>
      <c r="R1975" t="s">
        <v>31</v>
      </c>
      <c r="S1975" t="s">
        <v>104</v>
      </c>
    </row>
    <row r="1976" spans="1:19" x14ac:dyDescent="0.45">
      <c r="A1976" t="str">
        <f t="shared" si="133"/>
        <v>34801</v>
      </c>
      <c r="B1976" t="s">
        <v>2257</v>
      </c>
      <c r="C1976" t="str">
        <f t="shared" si="135"/>
        <v>34003</v>
      </c>
      <c r="D1976" t="s">
        <v>2953</v>
      </c>
      <c r="E1976" t="str">
        <f>"4427"</f>
        <v>4427</v>
      </c>
      <c r="F1976" t="s">
        <v>11032</v>
      </c>
      <c r="G1976">
        <v>9</v>
      </c>
      <c r="H1976">
        <v>12</v>
      </c>
      <c r="I1976" t="s">
        <v>11033</v>
      </c>
      <c r="K1976" t="s">
        <v>2956</v>
      </c>
      <c r="L1976" t="s">
        <v>25</v>
      </c>
      <c r="M1976">
        <v>98513</v>
      </c>
      <c r="N1976" t="s">
        <v>11034</v>
      </c>
      <c r="O1976" t="s">
        <v>11035</v>
      </c>
      <c r="P1976" t="s">
        <v>11036</v>
      </c>
      <c r="Q1976" t="s">
        <v>30</v>
      </c>
      <c r="R1976" t="s">
        <v>31</v>
      </c>
      <c r="S1976" t="s">
        <v>58</v>
      </c>
    </row>
    <row r="1977" spans="1:19" x14ac:dyDescent="0.45">
      <c r="A1977" t="str">
        <f t="shared" si="133"/>
        <v>34801</v>
      </c>
      <c r="B1977" t="s">
        <v>2257</v>
      </c>
      <c r="C1977" t="str">
        <f t="shared" ref="C1977:C1989" si="136">"34033"</f>
        <v>34033</v>
      </c>
      <c r="D1977" t="s">
        <v>11037</v>
      </c>
      <c r="E1977" t="str">
        <f>"1713"</f>
        <v>1713</v>
      </c>
      <c r="F1977" t="s">
        <v>11038</v>
      </c>
      <c r="G1977">
        <v>8</v>
      </c>
      <c r="H1977">
        <v>12</v>
      </c>
      <c r="I1977" t="s">
        <v>11039</v>
      </c>
      <c r="K1977" t="s">
        <v>3164</v>
      </c>
      <c r="L1977" t="s">
        <v>25</v>
      </c>
      <c r="M1977" t="s">
        <v>11040</v>
      </c>
      <c r="N1977" t="s">
        <v>11041</v>
      </c>
      <c r="O1977" t="s">
        <v>11042</v>
      </c>
      <c r="P1977" t="s">
        <v>11043</v>
      </c>
      <c r="Q1977" t="s">
        <v>157</v>
      </c>
      <c r="R1977" t="s">
        <v>158</v>
      </c>
      <c r="S1977" t="s">
        <v>58</v>
      </c>
    </row>
    <row r="1978" spans="1:19" x14ac:dyDescent="0.45">
      <c r="A1978" t="str">
        <f t="shared" si="133"/>
        <v>34801</v>
      </c>
      <c r="B1978" t="s">
        <v>2257</v>
      </c>
      <c r="C1978" t="str">
        <f t="shared" si="136"/>
        <v>34033</v>
      </c>
      <c r="D1978" t="s">
        <v>11037</v>
      </c>
      <c r="E1978" t="str">
        <f>"2552"</f>
        <v>2552</v>
      </c>
      <c r="F1978" t="s">
        <v>11044</v>
      </c>
      <c r="G1978" t="s">
        <v>70</v>
      </c>
      <c r="H1978">
        <v>5</v>
      </c>
      <c r="I1978" t="s">
        <v>11045</v>
      </c>
      <c r="K1978" t="s">
        <v>2260</v>
      </c>
      <c r="L1978" t="s">
        <v>25</v>
      </c>
      <c r="M1978" t="s">
        <v>11040</v>
      </c>
      <c r="N1978" t="s">
        <v>11046</v>
      </c>
      <c r="O1978" t="s">
        <v>11047</v>
      </c>
      <c r="P1978" t="s">
        <v>11048</v>
      </c>
      <c r="Q1978" t="s">
        <v>30</v>
      </c>
      <c r="R1978" t="s">
        <v>31</v>
      </c>
      <c r="S1978" t="s">
        <v>32</v>
      </c>
    </row>
    <row r="1979" spans="1:19" x14ac:dyDescent="0.45">
      <c r="A1979" t="str">
        <f t="shared" si="133"/>
        <v>34801</v>
      </c>
      <c r="B1979" t="s">
        <v>2257</v>
      </c>
      <c r="C1979" t="str">
        <f t="shared" si="136"/>
        <v>34033</v>
      </c>
      <c r="D1979" t="s">
        <v>11037</v>
      </c>
      <c r="E1979" t="str">
        <f>"2816"</f>
        <v>2816</v>
      </c>
      <c r="F1979" t="s">
        <v>11049</v>
      </c>
      <c r="G1979" t="s">
        <v>70</v>
      </c>
      <c r="H1979">
        <v>5</v>
      </c>
      <c r="I1979" t="s">
        <v>11050</v>
      </c>
      <c r="K1979" t="s">
        <v>3164</v>
      </c>
      <c r="L1979" t="s">
        <v>25</v>
      </c>
      <c r="M1979" t="s">
        <v>11040</v>
      </c>
      <c r="N1979" t="s">
        <v>11051</v>
      </c>
      <c r="O1979" t="s">
        <v>11052</v>
      </c>
      <c r="P1979" t="s">
        <v>11053</v>
      </c>
      <c r="Q1979" t="s">
        <v>30</v>
      </c>
      <c r="R1979" t="s">
        <v>31</v>
      </c>
      <c r="S1979" t="s">
        <v>32</v>
      </c>
    </row>
    <row r="1980" spans="1:19" x14ac:dyDescent="0.45">
      <c r="A1980" t="str">
        <f t="shared" si="133"/>
        <v>34801</v>
      </c>
      <c r="B1980" t="s">
        <v>2257</v>
      </c>
      <c r="C1980" t="str">
        <f t="shared" si="136"/>
        <v>34033</v>
      </c>
      <c r="D1980" t="s">
        <v>11037</v>
      </c>
      <c r="E1980" t="str">
        <f>"3199"</f>
        <v>3199</v>
      </c>
      <c r="F1980" t="s">
        <v>11054</v>
      </c>
      <c r="G1980" t="s">
        <v>70</v>
      </c>
      <c r="H1980">
        <v>5</v>
      </c>
      <c r="I1980" t="s">
        <v>11055</v>
      </c>
      <c r="K1980" t="s">
        <v>2260</v>
      </c>
      <c r="L1980" t="s">
        <v>25</v>
      </c>
      <c r="M1980" t="s">
        <v>11056</v>
      </c>
      <c r="N1980" t="s">
        <v>11057</v>
      </c>
      <c r="O1980" t="s">
        <v>11058</v>
      </c>
      <c r="P1980" t="s">
        <v>11059</v>
      </c>
      <c r="Q1980" t="s">
        <v>30</v>
      </c>
      <c r="R1980" t="s">
        <v>31</v>
      </c>
      <c r="S1980" t="s">
        <v>32</v>
      </c>
    </row>
    <row r="1981" spans="1:19" x14ac:dyDescent="0.45">
      <c r="A1981" t="str">
        <f t="shared" si="133"/>
        <v>34801</v>
      </c>
      <c r="B1981" t="s">
        <v>2257</v>
      </c>
      <c r="C1981" t="str">
        <f t="shared" si="136"/>
        <v>34033</v>
      </c>
      <c r="D1981" t="s">
        <v>11037</v>
      </c>
      <c r="E1981" t="str">
        <f>"3362"</f>
        <v>3362</v>
      </c>
      <c r="F1981" t="s">
        <v>11060</v>
      </c>
      <c r="G1981">
        <v>9</v>
      </c>
      <c r="H1981">
        <v>12</v>
      </c>
      <c r="I1981" t="s">
        <v>11061</v>
      </c>
      <c r="K1981" t="s">
        <v>2260</v>
      </c>
      <c r="L1981" t="s">
        <v>25</v>
      </c>
      <c r="M1981" t="s">
        <v>11056</v>
      </c>
      <c r="N1981" t="s">
        <v>11062</v>
      </c>
      <c r="O1981" t="s">
        <v>11063</v>
      </c>
      <c r="P1981" t="s">
        <v>11064</v>
      </c>
      <c r="Q1981" t="s">
        <v>30</v>
      </c>
      <c r="R1981" t="s">
        <v>31</v>
      </c>
      <c r="S1981" t="s">
        <v>58</v>
      </c>
    </row>
    <row r="1982" spans="1:19" x14ac:dyDescent="0.45">
      <c r="A1982" t="str">
        <f t="shared" ref="A1982:A2013" si="137">"34801"</f>
        <v>34801</v>
      </c>
      <c r="B1982" t="s">
        <v>2257</v>
      </c>
      <c r="C1982" t="str">
        <f t="shared" si="136"/>
        <v>34033</v>
      </c>
      <c r="D1982" t="s">
        <v>11037</v>
      </c>
      <c r="E1982" t="str">
        <f>"3612"</f>
        <v>3612</v>
      </c>
      <c r="F1982" t="s">
        <v>11065</v>
      </c>
      <c r="G1982">
        <v>6</v>
      </c>
      <c r="H1982">
        <v>8</v>
      </c>
      <c r="I1982" t="s">
        <v>11066</v>
      </c>
      <c r="K1982" t="s">
        <v>2260</v>
      </c>
      <c r="L1982" t="s">
        <v>25</v>
      </c>
      <c r="M1982" t="s">
        <v>11040</v>
      </c>
      <c r="N1982" t="s">
        <v>11067</v>
      </c>
      <c r="O1982" t="s">
        <v>11068</v>
      </c>
      <c r="P1982" t="s">
        <v>11069</v>
      </c>
      <c r="Q1982" t="s">
        <v>30</v>
      </c>
      <c r="R1982" t="s">
        <v>31</v>
      </c>
      <c r="S1982" t="s">
        <v>104</v>
      </c>
    </row>
    <row r="1983" spans="1:19" x14ac:dyDescent="0.45">
      <c r="A1983" t="str">
        <f t="shared" si="137"/>
        <v>34801</v>
      </c>
      <c r="B1983" t="s">
        <v>2257</v>
      </c>
      <c r="C1983" t="str">
        <f t="shared" si="136"/>
        <v>34033</v>
      </c>
      <c r="D1983" t="s">
        <v>11037</v>
      </c>
      <c r="E1983" t="str">
        <f>"3925"</f>
        <v>3925</v>
      </c>
      <c r="F1983" t="s">
        <v>11070</v>
      </c>
      <c r="G1983">
        <v>6</v>
      </c>
      <c r="H1983">
        <v>12</v>
      </c>
      <c r="I1983" t="s">
        <v>11071</v>
      </c>
      <c r="K1983" t="s">
        <v>2260</v>
      </c>
      <c r="L1983" t="s">
        <v>25</v>
      </c>
      <c r="M1983" t="s">
        <v>11072</v>
      </c>
      <c r="N1983" t="s">
        <v>11073</v>
      </c>
      <c r="O1983" t="s">
        <v>11074</v>
      </c>
      <c r="P1983" t="s">
        <v>11075</v>
      </c>
      <c r="Q1983" t="s">
        <v>1312</v>
      </c>
      <c r="R1983" t="s">
        <v>1313</v>
      </c>
      <c r="S1983" t="s">
        <v>159</v>
      </c>
    </row>
    <row r="1984" spans="1:19" x14ac:dyDescent="0.45">
      <c r="A1984" t="str">
        <f t="shared" si="137"/>
        <v>34801</v>
      </c>
      <c r="B1984" t="s">
        <v>2257</v>
      </c>
      <c r="C1984" t="str">
        <f t="shared" si="136"/>
        <v>34033</v>
      </c>
      <c r="D1984" t="s">
        <v>11037</v>
      </c>
      <c r="E1984" t="str">
        <f>"4205"</f>
        <v>4205</v>
      </c>
      <c r="F1984" t="s">
        <v>11076</v>
      </c>
      <c r="G1984" t="s">
        <v>70</v>
      </c>
      <c r="H1984">
        <v>5</v>
      </c>
      <c r="I1984" t="s">
        <v>11077</v>
      </c>
      <c r="K1984" t="s">
        <v>3164</v>
      </c>
      <c r="L1984" t="s">
        <v>25</v>
      </c>
      <c r="M1984" t="s">
        <v>11040</v>
      </c>
      <c r="N1984" t="s">
        <v>11078</v>
      </c>
      <c r="O1984" t="s">
        <v>11079</v>
      </c>
      <c r="P1984" t="s">
        <v>11080</v>
      </c>
      <c r="Q1984" t="s">
        <v>30</v>
      </c>
      <c r="R1984" t="s">
        <v>31</v>
      </c>
      <c r="S1984" t="s">
        <v>32</v>
      </c>
    </row>
    <row r="1985" spans="1:19" x14ac:dyDescent="0.45">
      <c r="A1985" t="str">
        <f t="shared" si="137"/>
        <v>34801</v>
      </c>
      <c r="B1985" t="s">
        <v>2257</v>
      </c>
      <c r="C1985" t="str">
        <f t="shared" si="136"/>
        <v>34033</v>
      </c>
      <c r="D1985" t="s">
        <v>11037</v>
      </c>
      <c r="E1985" t="str">
        <f>"4225"</f>
        <v>4225</v>
      </c>
      <c r="F1985" t="s">
        <v>11081</v>
      </c>
      <c r="G1985">
        <v>11</v>
      </c>
      <c r="H1985">
        <v>12</v>
      </c>
      <c r="I1985" t="s">
        <v>11082</v>
      </c>
      <c r="K1985" t="s">
        <v>2260</v>
      </c>
      <c r="L1985" t="s">
        <v>25</v>
      </c>
      <c r="M1985" t="s">
        <v>11056</v>
      </c>
      <c r="N1985" t="s">
        <v>11083</v>
      </c>
      <c r="O1985" t="s">
        <v>11084</v>
      </c>
      <c r="P1985" t="s">
        <v>11085</v>
      </c>
      <c r="Q1985" t="s">
        <v>172</v>
      </c>
      <c r="R1985" t="s">
        <v>173</v>
      </c>
      <c r="S1985" t="s">
        <v>58</v>
      </c>
    </row>
    <row r="1986" spans="1:19" x14ac:dyDescent="0.45">
      <c r="A1986" t="str">
        <f t="shared" si="137"/>
        <v>34801</v>
      </c>
      <c r="B1986" t="s">
        <v>2257</v>
      </c>
      <c r="C1986" t="str">
        <f t="shared" si="136"/>
        <v>34033</v>
      </c>
      <c r="D1986" t="s">
        <v>11037</v>
      </c>
      <c r="E1986" t="str">
        <f>"4365"</f>
        <v>4365</v>
      </c>
      <c r="F1986" t="s">
        <v>11086</v>
      </c>
      <c r="G1986" t="s">
        <v>70</v>
      </c>
      <c r="H1986">
        <v>5</v>
      </c>
      <c r="I1986" t="s">
        <v>11087</v>
      </c>
      <c r="K1986" t="s">
        <v>3164</v>
      </c>
      <c r="L1986" t="s">
        <v>25</v>
      </c>
      <c r="M1986" t="s">
        <v>11056</v>
      </c>
      <c r="N1986" t="s">
        <v>11088</v>
      </c>
      <c r="O1986" t="s">
        <v>11089</v>
      </c>
      <c r="P1986" t="s">
        <v>11090</v>
      </c>
      <c r="Q1986" t="s">
        <v>30</v>
      </c>
      <c r="R1986" t="s">
        <v>31</v>
      </c>
      <c r="S1986" t="s">
        <v>32</v>
      </c>
    </row>
    <row r="1987" spans="1:19" x14ac:dyDescent="0.45">
      <c r="A1987" t="str">
        <f t="shared" si="137"/>
        <v>34801</v>
      </c>
      <c r="B1987" t="s">
        <v>2257</v>
      </c>
      <c r="C1987" t="str">
        <f t="shared" si="136"/>
        <v>34033</v>
      </c>
      <c r="D1987" t="s">
        <v>11037</v>
      </c>
      <c r="E1987" t="str">
        <f>"4373"</f>
        <v>4373</v>
      </c>
      <c r="F1987" t="s">
        <v>11091</v>
      </c>
      <c r="G1987" t="s">
        <v>70</v>
      </c>
      <c r="H1987">
        <v>5</v>
      </c>
      <c r="I1987" t="s">
        <v>11092</v>
      </c>
      <c r="K1987" t="s">
        <v>2260</v>
      </c>
      <c r="L1987" t="s">
        <v>25</v>
      </c>
      <c r="M1987" t="s">
        <v>11040</v>
      </c>
      <c r="N1987" t="s">
        <v>11093</v>
      </c>
      <c r="O1987" t="s">
        <v>11094</v>
      </c>
      <c r="P1987" t="s">
        <v>11095</v>
      </c>
      <c r="Q1987" t="s">
        <v>30</v>
      </c>
      <c r="R1987" t="s">
        <v>31</v>
      </c>
      <c r="S1987" t="s">
        <v>32</v>
      </c>
    </row>
    <row r="1988" spans="1:19" x14ac:dyDescent="0.45">
      <c r="A1988" t="str">
        <f t="shared" si="137"/>
        <v>34801</v>
      </c>
      <c r="B1988" t="s">
        <v>2257</v>
      </c>
      <c r="C1988" t="str">
        <f t="shared" si="136"/>
        <v>34033</v>
      </c>
      <c r="D1988" t="s">
        <v>11037</v>
      </c>
      <c r="E1988" t="str">
        <f>"4452"</f>
        <v>4452</v>
      </c>
      <c r="F1988" t="s">
        <v>11096</v>
      </c>
      <c r="G1988">
        <v>6</v>
      </c>
      <c r="H1988">
        <v>8</v>
      </c>
      <c r="I1988" t="s">
        <v>11097</v>
      </c>
      <c r="K1988" t="s">
        <v>2260</v>
      </c>
      <c r="L1988" t="s">
        <v>25</v>
      </c>
      <c r="M1988" t="s">
        <v>11040</v>
      </c>
      <c r="N1988" t="s">
        <v>11098</v>
      </c>
      <c r="O1988" t="s">
        <v>11099</v>
      </c>
      <c r="P1988" t="s">
        <v>11100</v>
      </c>
      <c r="Q1988" t="s">
        <v>30</v>
      </c>
      <c r="R1988" t="s">
        <v>31</v>
      </c>
      <c r="S1988" t="s">
        <v>104</v>
      </c>
    </row>
    <row r="1989" spans="1:19" x14ac:dyDescent="0.45">
      <c r="A1989" t="str">
        <f t="shared" si="137"/>
        <v>34801</v>
      </c>
      <c r="B1989" t="s">
        <v>2257</v>
      </c>
      <c r="C1989" t="str">
        <f t="shared" si="136"/>
        <v>34033</v>
      </c>
      <c r="D1989" t="s">
        <v>11037</v>
      </c>
      <c r="E1989" t="str">
        <f>"4500"</f>
        <v>4500</v>
      </c>
      <c r="F1989" t="s">
        <v>11101</v>
      </c>
      <c r="G1989">
        <v>9</v>
      </c>
      <c r="H1989">
        <v>12</v>
      </c>
      <c r="I1989" t="s">
        <v>11039</v>
      </c>
      <c r="K1989" t="s">
        <v>2260</v>
      </c>
      <c r="L1989" t="s">
        <v>25</v>
      </c>
      <c r="M1989" t="s">
        <v>11040</v>
      </c>
      <c r="N1989" t="s">
        <v>11102</v>
      </c>
      <c r="O1989" t="s">
        <v>11103</v>
      </c>
      <c r="P1989" t="s">
        <v>11104</v>
      </c>
      <c r="Q1989" t="s">
        <v>30</v>
      </c>
      <c r="R1989" t="s">
        <v>31</v>
      </c>
      <c r="S1989" t="s">
        <v>58</v>
      </c>
    </row>
    <row r="1990" spans="1:19" x14ac:dyDescent="0.45">
      <c r="A1990" t="str">
        <f t="shared" si="137"/>
        <v>34801</v>
      </c>
      <c r="B1990" t="s">
        <v>2257</v>
      </c>
      <c r="C1990" t="str">
        <f t="shared" ref="C1990:C2007" si="138">"34111"</f>
        <v>34111</v>
      </c>
      <c r="D1990" t="s">
        <v>11105</v>
      </c>
      <c r="E1990" t="str">
        <f>"1768"</f>
        <v>1768</v>
      </c>
      <c r="F1990" t="s">
        <v>11106</v>
      </c>
      <c r="G1990">
        <v>9</v>
      </c>
      <c r="H1990">
        <v>12</v>
      </c>
      <c r="I1990" t="s">
        <v>11107</v>
      </c>
      <c r="K1990" t="s">
        <v>11108</v>
      </c>
      <c r="L1990" t="s">
        <v>25</v>
      </c>
      <c r="M1990" t="s">
        <v>11109</v>
      </c>
      <c r="N1990" t="s">
        <v>11110</v>
      </c>
      <c r="O1990" t="s">
        <v>11111</v>
      </c>
      <c r="P1990" t="s">
        <v>11112</v>
      </c>
      <c r="Q1990" t="s">
        <v>157</v>
      </c>
      <c r="R1990" t="s">
        <v>158</v>
      </c>
      <c r="S1990" t="s">
        <v>58</v>
      </c>
    </row>
    <row r="1991" spans="1:19" x14ac:dyDescent="0.45">
      <c r="A1991" t="str">
        <f t="shared" si="137"/>
        <v>34801</v>
      </c>
      <c r="B1991" t="s">
        <v>2257</v>
      </c>
      <c r="C1991" t="str">
        <f t="shared" si="138"/>
        <v>34111</v>
      </c>
      <c r="D1991" t="s">
        <v>11105</v>
      </c>
      <c r="E1991" t="str">
        <f>"2342"</f>
        <v>2342</v>
      </c>
      <c r="F1991" t="s">
        <v>1344</v>
      </c>
      <c r="G1991" t="s">
        <v>70</v>
      </c>
      <c r="H1991">
        <v>5</v>
      </c>
      <c r="I1991" t="s">
        <v>11113</v>
      </c>
      <c r="K1991" t="s">
        <v>11108</v>
      </c>
      <c r="L1991" t="s">
        <v>25</v>
      </c>
      <c r="M1991" t="s">
        <v>11114</v>
      </c>
      <c r="N1991" t="s">
        <v>11115</v>
      </c>
      <c r="O1991" t="s">
        <v>11116</v>
      </c>
      <c r="P1991" t="s">
        <v>11117</v>
      </c>
      <c r="Q1991" t="s">
        <v>30</v>
      </c>
      <c r="R1991" t="s">
        <v>31</v>
      </c>
      <c r="S1991" t="s">
        <v>32</v>
      </c>
    </row>
    <row r="1992" spans="1:19" x14ac:dyDescent="0.45">
      <c r="A1992" t="str">
        <f t="shared" si="137"/>
        <v>34801</v>
      </c>
      <c r="B1992" t="s">
        <v>2257</v>
      </c>
      <c r="C1992" t="str">
        <f t="shared" si="138"/>
        <v>34111</v>
      </c>
      <c r="D1992" t="s">
        <v>11105</v>
      </c>
      <c r="E1992" t="str">
        <f>"2448"</f>
        <v>2448</v>
      </c>
      <c r="F1992" t="s">
        <v>9094</v>
      </c>
      <c r="G1992" t="s">
        <v>22</v>
      </c>
      <c r="H1992">
        <v>5</v>
      </c>
      <c r="I1992" t="s">
        <v>11118</v>
      </c>
      <c r="K1992" t="s">
        <v>11108</v>
      </c>
      <c r="L1992" t="s">
        <v>25</v>
      </c>
      <c r="M1992" t="s">
        <v>11119</v>
      </c>
      <c r="N1992" t="s">
        <v>11120</v>
      </c>
      <c r="O1992" t="s">
        <v>11121</v>
      </c>
      <c r="P1992" t="s">
        <v>11122</v>
      </c>
      <c r="Q1992" t="s">
        <v>30</v>
      </c>
      <c r="R1992" t="s">
        <v>31</v>
      </c>
      <c r="S1992" t="s">
        <v>32</v>
      </c>
    </row>
    <row r="1993" spans="1:19" x14ac:dyDescent="0.45">
      <c r="A1993" t="str">
        <f t="shared" si="137"/>
        <v>34801</v>
      </c>
      <c r="B1993" t="s">
        <v>2257</v>
      </c>
      <c r="C1993" t="str">
        <f t="shared" si="138"/>
        <v>34111</v>
      </c>
      <c r="D1993" t="s">
        <v>11105</v>
      </c>
      <c r="E1993" t="str">
        <f>"2487"</f>
        <v>2487</v>
      </c>
      <c r="F1993" t="s">
        <v>11123</v>
      </c>
      <c r="G1993" t="s">
        <v>22</v>
      </c>
      <c r="H1993">
        <v>5</v>
      </c>
      <c r="I1993" t="s">
        <v>11124</v>
      </c>
      <c r="K1993" t="s">
        <v>11108</v>
      </c>
      <c r="L1993" t="s">
        <v>25</v>
      </c>
      <c r="M1993" t="s">
        <v>11125</v>
      </c>
      <c r="N1993" t="s">
        <v>11126</v>
      </c>
      <c r="O1993" t="s">
        <v>11127</v>
      </c>
      <c r="P1993" t="s">
        <v>11128</v>
      </c>
      <c r="Q1993" t="s">
        <v>30</v>
      </c>
      <c r="R1993" t="s">
        <v>31</v>
      </c>
      <c r="S1993" t="s">
        <v>32</v>
      </c>
    </row>
    <row r="1994" spans="1:19" x14ac:dyDescent="0.45">
      <c r="A1994" t="str">
        <f t="shared" si="137"/>
        <v>34801</v>
      </c>
      <c r="B1994" t="s">
        <v>2257</v>
      </c>
      <c r="C1994" t="str">
        <f t="shared" si="138"/>
        <v>34111</v>
      </c>
      <c r="D1994" t="s">
        <v>11105</v>
      </c>
      <c r="E1994" t="str">
        <f>"2621"</f>
        <v>2621</v>
      </c>
      <c r="F1994" t="s">
        <v>11129</v>
      </c>
      <c r="G1994" t="s">
        <v>22</v>
      </c>
      <c r="H1994">
        <v>5</v>
      </c>
      <c r="I1994" t="s">
        <v>11130</v>
      </c>
      <c r="K1994" t="s">
        <v>11108</v>
      </c>
      <c r="L1994" t="s">
        <v>25</v>
      </c>
      <c r="M1994" t="s">
        <v>11131</v>
      </c>
      <c r="N1994" t="s">
        <v>11132</v>
      </c>
      <c r="O1994" t="s">
        <v>11133</v>
      </c>
      <c r="P1994" t="s">
        <v>11134</v>
      </c>
      <c r="Q1994" t="s">
        <v>30</v>
      </c>
      <c r="R1994" t="s">
        <v>31</v>
      </c>
      <c r="S1994" t="s">
        <v>32</v>
      </c>
    </row>
    <row r="1995" spans="1:19" x14ac:dyDescent="0.45">
      <c r="A1995" t="str">
        <f t="shared" si="137"/>
        <v>34801</v>
      </c>
      <c r="B1995" t="s">
        <v>2257</v>
      </c>
      <c r="C1995" t="str">
        <f t="shared" si="138"/>
        <v>34111</v>
      </c>
      <c r="D1995" t="s">
        <v>11105</v>
      </c>
      <c r="E1995" t="str">
        <f>"2778"</f>
        <v>2778</v>
      </c>
      <c r="F1995" t="s">
        <v>2077</v>
      </c>
      <c r="G1995" t="s">
        <v>70</v>
      </c>
      <c r="H1995">
        <v>5</v>
      </c>
      <c r="I1995" t="s">
        <v>11135</v>
      </c>
      <c r="K1995" t="s">
        <v>11108</v>
      </c>
      <c r="L1995" t="s">
        <v>25</v>
      </c>
      <c r="M1995" t="s">
        <v>11136</v>
      </c>
      <c r="N1995" t="s">
        <v>11137</v>
      </c>
      <c r="O1995" t="s">
        <v>11138</v>
      </c>
      <c r="P1995" t="s">
        <v>11139</v>
      </c>
      <c r="Q1995" t="s">
        <v>30</v>
      </c>
      <c r="R1995" t="s">
        <v>31</v>
      </c>
      <c r="S1995" t="s">
        <v>32</v>
      </c>
    </row>
    <row r="1996" spans="1:19" x14ac:dyDescent="0.45">
      <c r="A1996" t="str">
        <f t="shared" si="137"/>
        <v>34801</v>
      </c>
      <c r="B1996" t="s">
        <v>2257</v>
      </c>
      <c r="C1996" t="str">
        <f t="shared" si="138"/>
        <v>34111</v>
      </c>
      <c r="D1996" t="s">
        <v>11105</v>
      </c>
      <c r="E1996" t="str">
        <f>"3066"</f>
        <v>3066</v>
      </c>
      <c r="F1996" t="s">
        <v>11140</v>
      </c>
      <c r="G1996" t="s">
        <v>22</v>
      </c>
      <c r="H1996">
        <v>5</v>
      </c>
      <c r="I1996" t="s">
        <v>11141</v>
      </c>
      <c r="K1996" t="s">
        <v>11108</v>
      </c>
      <c r="L1996" t="s">
        <v>25</v>
      </c>
      <c r="M1996" t="s">
        <v>11142</v>
      </c>
      <c r="N1996" t="s">
        <v>11143</v>
      </c>
      <c r="O1996" t="s">
        <v>11144</v>
      </c>
      <c r="P1996" t="s">
        <v>11145</v>
      </c>
      <c r="Q1996" t="s">
        <v>30</v>
      </c>
      <c r="R1996" t="s">
        <v>31</v>
      </c>
      <c r="S1996" t="s">
        <v>32</v>
      </c>
    </row>
    <row r="1997" spans="1:19" x14ac:dyDescent="0.45">
      <c r="A1997" t="str">
        <f t="shared" si="137"/>
        <v>34801</v>
      </c>
      <c r="B1997" t="s">
        <v>2257</v>
      </c>
      <c r="C1997" t="str">
        <f t="shared" si="138"/>
        <v>34111</v>
      </c>
      <c r="D1997" t="s">
        <v>11105</v>
      </c>
      <c r="E1997" t="str">
        <f>"3132"</f>
        <v>3132</v>
      </c>
      <c r="F1997" t="s">
        <v>11146</v>
      </c>
      <c r="G1997">
        <v>9</v>
      </c>
      <c r="H1997">
        <v>12</v>
      </c>
      <c r="I1997" t="s">
        <v>11147</v>
      </c>
      <c r="K1997" t="s">
        <v>11108</v>
      </c>
      <c r="L1997" t="s">
        <v>25</v>
      </c>
      <c r="M1997" t="s">
        <v>11148</v>
      </c>
      <c r="N1997" t="s">
        <v>11149</v>
      </c>
      <c r="O1997" t="s">
        <v>11150</v>
      </c>
      <c r="P1997" t="s">
        <v>11151</v>
      </c>
      <c r="Q1997" t="s">
        <v>30</v>
      </c>
      <c r="R1997" t="s">
        <v>31</v>
      </c>
      <c r="S1997" t="s">
        <v>58</v>
      </c>
    </row>
    <row r="1998" spans="1:19" x14ac:dyDescent="0.45">
      <c r="A1998" t="str">
        <f t="shared" si="137"/>
        <v>34801</v>
      </c>
      <c r="B1998" t="s">
        <v>2257</v>
      </c>
      <c r="C1998" t="str">
        <f t="shared" si="138"/>
        <v>34111</v>
      </c>
      <c r="D1998" t="s">
        <v>11105</v>
      </c>
      <c r="E1998" t="str">
        <f>"3133"</f>
        <v>3133</v>
      </c>
      <c r="F1998" t="s">
        <v>11152</v>
      </c>
      <c r="G1998">
        <v>5</v>
      </c>
      <c r="H1998">
        <v>8</v>
      </c>
      <c r="I1998" t="s">
        <v>11153</v>
      </c>
      <c r="K1998" t="s">
        <v>11108</v>
      </c>
      <c r="L1998" t="s">
        <v>25</v>
      </c>
      <c r="M1998" t="s">
        <v>11154</v>
      </c>
      <c r="N1998" t="s">
        <v>11155</v>
      </c>
      <c r="O1998" t="s">
        <v>11156</v>
      </c>
      <c r="P1998" t="s">
        <v>11157</v>
      </c>
      <c r="Q1998" t="s">
        <v>30</v>
      </c>
      <c r="R1998" t="s">
        <v>31</v>
      </c>
      <c r="S1998" t="s">
        <v>104</v>
      </c>
    </row>
    <row r="1999" spans="1:19" x14ac:dyDescent="0.45">
      <c r="A1999" t="str">
        <f t="shared" si="137"/>
        <v>34801</v>
      </c>
      <c r="B1999" t="s">
        <v>2257</v>
      </c>
      <c r="C1999" t="str">
        <f t="shared" si="138"/>
        <v>34111</v>
      </c>
      <c r="D1999" t="s">
        <v>11105</v>
      </c>
      <c r="E1999" t="str">
        <f>"3540"</f>
        <v>3540</v>
      </c>
      <c r="F1999" t="s">
        <v>11158</v>
      </c>
      <c r="G1999" t="s">
        <v>70</v>
      </c>
      <c r="H1999">
        <v>5</v>
      </c>
      <c r="I1999" t="s">
        <v>11159</v>
      </c>
      <c r="K1999" t="s">
        <v>11108</v>
      </c>
      <c r="L1999" t="s">
        <v>25</v>
      </c>
      <c r="M1999" t="s">
        <v>11160</v>
      </c>
      <c r="N1999" t="s">
        <v>11161</v>
      </c>
      <c r="O1999" t="s">
        <v>11162</v>
      </c>
      <c r="P1999" t="s">
        <v>11163</v>
      </c>
      <c r="Q1999" t="s">
        <v>30</v>
      </c>
      <c r="R1999" t="s">
        <v>31</v>
      </c>
      <c r="S1999" t="s">
        <v>32</v>
      </c>
    </row>
    <row r="2000" spans="1:19" x14ac:dyDescent="0.45">
      <c r="A2000" t="str">
        <f t="shared" si="137"/>
        <v>34801</v>
      </c>
      <c r="B2000" t="s">
        <v>2257</v>
      </c>
      <c r="C2000" t="str">
        <f t="shared" si="138"/>
        <v>34111</v>
      </c>
      <c r="D2000" t="s">
        <v>11105</v>
      </c>
      <c r="E2000" t="str">
        <f>"3696"</f>
        <v>3696</v>
      </c>
      <c r="F2000" t="s">
        <v>11164</v>
      </c>
      <c r="G2000">
        <v>6</v>
      </c>
      <c r="H2000">
        <v>8</v>
      </c>
      <c r="I2000" t="s">
        <v>11165</v>
      </c>
      <c r="K2000" t="s">
        <v>11108</v>
      </c>
      <c r="L2000" t="s">
        <v>25</v>
      </c>
      <c r="M2000" t="s">
        <v>11166</v>
      </c>
      <c r="N2000" t="s">
        <v>11167</v>
      </c>
      <c r="O2000" t="s">
        <v>11168</v>
      </c>
      <c r="P2000" t="s">
        <v>11169</v>
      </c>
      <c r="Q2000" t="s">
        <v>30</v>
      </c>
      <c r="R2000" t="s">
        <v>31</v>
      </c>
      <c r="S2000" t="s">
        <v>104</v>
      </c>
    </row>
    <row r="2001" spans="1:19" x14ac:dyDescent="0.45">
      <c r="A2001" t="str">
        <f t="shared" si="137"/>
        <v>34801</v>
      </c>
      <c r="B2001" t="s">
        <v>2257</v>
      </c>
      <c r="C2001" t="str">
        <f t="shared" si="138"/>
        <v>34111</v>
      </c>
      <c r="D2001" t="s">
        <v>11105</v>
      </c>
      <c r="E2001" t="str">
        <f>"3697"</f>
        <v>3697</v>
      </c>
      <c r="F2001" t="s">
        <v>747</v>
      </c>
      <c r="G2001" t="s">
        <v>22</v>
      </c>
      <c r="H2001">
        <v>5</v>
      </c>
      <c r="I2001" t="s">
        <v>11170</v>
      </c>
      <c r="K2001" t="s">
        <v>11108</v>
      </c>
      <c r="L2001" t="s">
        <v>25</v>
      </c>
      <c r="M2001" t="s">
        <v>11171</v>
      </c>
      <c r="N2001" t="s">
        <v>11172</v>
      </c>
      <c r="O2001" t="s">
        <v>11173</v>
      </c>
      <c r="P2001" t="s">
        <v>11174</v>
      </c>
      <c r="Q2001" t="s">
        <v>30</v>
      </c>
      <c r="R2001" t="s">
        <v>31</v>
      </c>
      <c r="S2001" t="s">
        <v>32</v>
      </c>
    </row>
    <row r="2002" spans="1:19" x14ac:dyDescent="0.45">
      <c r="A2002" t="str">
        <f t="shared" si="137"/>
        <v>34801</v>
      </c>
      <c r="B2002" t="s">
        <v>2257</v>
      </c>
      <c r="C2002" t="str">
        <f t="shared" si="138"/>
        <v>34111</v>
      </c>
      <c r="D2002" t="s">
        <v>11105</v>
      </c>
      <c r="E2002" t="str">
        <f>"3711"</f>
        <v>3711</v>
      </c>
      <c r="F2002" t="s">
        <v>5544</v>
      </c>
      <c r="G2002">
        <v>6</v>
      </c>
      <c r="H2002">
        <v>8</v>
      </c>
      <c r="I2002" t="s">
        <v>11175</v>
      </c>
      <c r="K2002" t="s">
        <v>11108</v>
      </c>
      <c r="L2002" t="s">
        <v>25</v>
      </c>
      <c r="M2002" t="s">
        <v>11176</v>
      </c>
      <c r="N2002" t="s">
        <v>11177</v>
      </c>
      <c r="O2002" t="s">
        <v>11178</v>
      </c>
      <c r="P2002" t="s">
        <v>11179</v>
      </c>
      <c r="Q2002" t="s">
        <v>30</v>
      </c>
      <c r="R2002" t="s">
        <v>31</v>
      </c>
      <c r="S2002" t="s">
        <v>104</v>
      </c>
    </row>
    <row r="2003" spans="1:19" x14ac:dyDescent="0.45">
      <c r="A2003" t="str">
        <f t="shared" si="137"/>
        <v>34801</v>
      </c>
      <c r="B2003" t="s">
        <v>2257</v>
      </c>
      <c r="C2003" t="str">
        <f t="shared" si="138"/>
        <v>34111</v>
      </c>
      <c r="D2003" t="s">
        <v>11105</v>
      </c>
      <c r="E2003" t="str">
        <f>"3960"</f>
        <v>3960</v>
      </c>
      <c r="F2003" t="s">
        <v>11180</v>
      </c>
      <c r="G2003">
        <v>9</v>
      </c>
      <c r="H2003">
        <v>12</v>
      </c>
      <c r="I2003" t="s">
        <v>11181</v>
      </c>
      <c r="K2003" t="s">
        <v>11108</v>
      </c>
      <c r="L2003" t="s">
        <v>25</v>
      </c>
      <c r="M2003" t="s">
        <v>11182</v>
      </c>
      <c r="N2003" t="s">
        <v>11183</v>
      </c>
      <c r="O2003" t="s">
        <v>11184</v>
      </c>
      <c r="P2003" t="s">
        <v>11185</v>
      </c>
      <c r="Q2003" t="s">
        <v>30</v>
      </c>
      <c r="R2003" t="s">
        <v>31</v>
      </c>
      <c r="S2003" t="s">
        <v>58</v>
      </c>
    </row>
    <row r="2004" spans="1:19" x14ac:dyDescent="0.45">
      <c r="A2004" t="str">
        <f t="shared" si="137"/>
        <v>34801</v>
      </c>
      <c r="B2004" t="s">
        <v>2257</v>
      </c>
      <c r="C2004" t="str">
        <f t="shared" si="138"/>
        <v>34111</v>
      </c>
      <c r="D2004" t="s">
        <v>11105</v>
      </c>
      <c r="E2004" t="str">
        <f>"4367"</f>
        <v>4367</v>
      </c>
      <c r="F2004" t="s">
        <v>11186</v>
      </c>
      <c r="G2004" t="s">
        <v>22</v>
      </c>
      <c r="H2004">
        <v>5</v>
      </c>
      <c r="I2004" t="s">
        <v>11187</v>
      </c>
      <c r="K2004" t="s">
        <v>11108</v>
      </c>
      <c r="L2004" t="s">
        <v>25</v>
      </c>
      <c r="M2004" t="s">
        <v>11188</v>
      </c>
      <c r="N2004" t="s">
        <v>11189</v>
      </c>
      <c r="O2004" t="s">
        <v>11190</v>
      </c>
      <c r="P2004" t="s">
        <v>11145</v>
      </c>
      <c r="Q2004" t="s">
        <v>30</v>
      </c>
      <c r="R2004" t="s">
        <v>31</v>
      </c>
      <c r="S2004" t="s">
        <v>32</v>
      </c>
    </row>
    <row r="2005" spans="1:19" x14ac:dyDescent="0.45">
      <c r="A2005" t="str">
        <f t="shared" si="137"/>
        <v>34801</v>
      </c>
      <c r="B2005" t="s">
        <v>2257</v>
      </c>
      <c r="C2005" t="str">
        <f t="shared" si="138"/>
        <v>34111</v>
      </c>
      <c r="D2005" t="s">
        <v>11105</v>
      </c>
      <c r="E2005" t="str">
        <f>"4458"</f>
        <v>4458</v>
      </c>
      <c r="F2005" t="s">
        <v>11191</v>
      </c>
      <c r="G2005" t="s">
        <v>22</v>
      </c>
      <c r="H2005">
        <v>5</v>
      </c>
      <c r="I2005" t="s">
        <v>11192</v>
      </c>
      <c r="K2005" t="s">
        <v>11108</v>
      </c>
      <c r="L2005" t="s">
        <v>25</v>
      </c>
      <c r="M2005" t="s">
        <v>11193</v>
      </c>
      <c r="N2005" t="s">
        <v>11194</v>
      </c>
      <c r="O2005" t="s">
        <v>11195</v>
      </c>
      <c r="P2005" t="s">
        <v>11196</v>
      </c>
      <c r="Q2005" t="s">
        <v>30</v>
      </c>
      <c r="R2005" t="s">
        <v>31</v>
      </c>
      <c r="S2005" t="s">
        <v>32</v>
      </c>
    </row>
    <row r="2006" spans="1:19" x14ac:dyDescent="0.45">
      <c r="A2006" t="str">
        <f t="shared" si="137"/>
        <v>34801</v>
      </c>
      <c r="B2006" t="s">
        <v>2257</v>
      </c>
      <c r="C2006" t="str">
        <f t="shared" si="138"/>
        <v>34111</v>
      </c>
      <c r="D2006" t="s">
        <v>11105</v>
      </c>
      <c r="E2006" t="str">
        <f>"4472"</f>
        <v>4472</v>
      </c>
      <c r="F2006" t="s">
        <v>11197</v>
      </c>
      <c r="G2006" t="s">
        <v>22</v>
      </c>
      <c r="H2006">
        <v>5</v>
      </c>
      <c r="I2006" t="s">
        <v>11198</v>
      </c>
      <c r="K2006" t="s">
        <v>11108</v>
      </c>
      <c r="L2006" t="s">
        <v>25</v>
      </c>
      <c r="M2006" t="s">
        <v>11199</v>
      </c>
      <c r="N2006" t="s">
        <v>11200</v>
      </c>
      <c r="O2006" t="s">
        <v>11201</v>
      </c>
      <c r="P2006" t="s">
        <v>11202</v>
      </c>
      <c r="Q2006" t="s">
        <v>30</v>
      </c>
      <c r="R2006" t="s">
        <v>31</v>
      </c>
      <c r="S2006" t="s">
        <v>32</v>
      </c>
    </row>
    <row r="2007" spans="1:19" x14ac:dyDescent="0.45">
      <c r="A2007" t="str">
        <f t="shared" si="137"/>
        <v>34801</v>
      </c>
      <c r="B2007" t="s">
        <v>2257</v>
      </c>
      <c r="C2007" t="str">
        <f t="shared" si="138"/>
        <v>34111</v>
      </c>
      <c r="D2007" t="s">
        <v>11105</v>
      </c>
      <c r="E2007" t="str">
        <f>"4473"</f>
        <v>4473</v>
      </c>
      <c r="F2007" t="s">
        <v>11203</v>
      </c>
      <c r="G2007">
        <v>6</v>
      </c>
      <c r="H2007">
        <v>8</v>
      </c>
      <c r="I2007" t="s">
        <v>11204</v>
      </c>
      <c r="K2007" t="s">
        <v>11108</v>
      </c>
      <c r="L2007" t="s">
        <v>25</v>
      </c>
      <c r="M2007" t="s">
        <v>11205</v>
      </c>
      <c r="N2007" t="s">
        <v>11206</v>
      </c>
      <c r="O2007" t="s">
        <v>11207</v>
      </c>
      <c r="P2007" t="s">
        <v>11208</v>
      </c>
      <c r="Q2007" t="s">
        <v>30</v>
      </c>
      <c r="R2007" t="s">
        <v>31</v>
      </c>
      <c r="S2007" t="s">
        <v>104</v>
      </c>
    </row>
    <row r="2008" spans="1:19" x14ac:dyDescent="0.45">
      <c r="A2008" t="str">
        <f t="shared" si="137"/>
        <v>34801</v>
      </c>
      <c r="B2008" t="s">
        <v>2257</v>
      </c>
      <c r="C2008" t="str">
        <f>"34307"</f>
        <v>34307</v>
      </c>
      <c r="D2008" t="s">
        <v>11209</v>
      </c>
      <c r="E2008" t="str">
        <f>"2158"</f>
        <v>2158</v>
      </c>
      <c r="F2008" t="s">
        <v>795</v>
      </c>
      <c r="G2008">
        <v>6</v>
      </c>
      <c r="H2008">
        <v>8</v>
      </c>
      <c r="I2008" t="s">
        <v>11210</v>
      </c>
      <c r="K2008" t="s">
        <v>11211</v>
      </c>
      <c r="L2008" t="s">
        <v>25</v>
      </c>
      <c r="M2008" t="s">
        <v>11212</v>
      </c>
      <c r="N2008" t="s">
        <v>11213</v>
      </c>
      <c r="O2008" t="s">
        <v>11214</v>
      </c>
      <c r="P2008" t="s">
        <v>11215</v>
      </c>
      <c r="Q2008" t="s">
        <v>30</v>
      </c>
      <c r="R2008" t="s">
        <v>31</v>
      </c>
      <c r="S2008" t="s">
        <v>104</v>
      </c>
    </row>
    <row r="2009" spans="1:19" x14ac:dyDescent="0.45">
      <c r="A2009" t="str">
        <f t="shared" si="137"/>
        <v>34801</v>
      </c>
      <c r="B2009" t="s">
        <v>2257</v>
      </c>
      <c r="C2009" t="str">
        <f>"34307"</f>
        <v>34307</v>
      </c>
      <c r="D2009" t="s">
        <v>11209</v>
      </c>
      <c r="E2009" t="str">
        <f>"2468"</f>
        <v>2468</v>
      </c>
      <c r="F2009" t="s">
        <v>11216</v>
      </c>
      <c r="G2009">
        <v>9</v>
      </c>
      <c r="H2009">
        <v>12</v>
      </c>
      <c r="I2009" t="s">
        <v>11210</v>
      </c>
      <c r="K2009" t="s">
        <v>11211</v>
      </c>
      <c r="L2009" t="s">
        <v>25</v>
      </c>
      <c r="M2009" t="s">
        <v>11212</v>
      </c>
      <c r="N2009" t="s">
        <v>11213</v>
      </c>
      <c r="O2009" t="s">
        <v>11214</v>
      </c>
      <c r="P2009" t="s">
        <v>11217</v>
      </c>
      <c r="Q2009" t="s">
        <v>30</v>
      </c>
      <c r="R2009" t="s">
        <v>31</v>
      </c>
      <c r="S2009" t="s">
        <v>58</v>
      </c>
    </row>
    <row r="2010" spans="1:19" x14ac:dyDescent="0.45">
      <c r="A2010" t="str">
        <f t="shared" si="137"/>
        <v>34801</v>
      </c>
      <c r="B2010" t="s">
        <v>2257</v>
      </c>
      <c r="C2010" t="str">
        <f>"34307"</f>
        <v>34307</v>
      </c>
      <c r="D2010" t="s">
        <v>11209</v>
      </c>
      <c r="E2010" t="str">
        <f>"4486"</f>
        <v>4486</v>
      </c>
      <c r="F2010" t="s">
        <v>2573</v>
      </c>
      <c r="G2010" t="s">
        <v>22</v>
      </c>
      <c r="H2010">
        <v>5</v>
      </c>
      <c r="I2010" t="s">
        <v>11218</v>
      </c>
      <c r="K2010" t="s">
        <v>11211</v>
      </c>
      <c r="L2010" t="s">
        <v>25</v>
      </c>
      <c r="M2010" t="s">
        <v>11212</v>
      </c>
      <c r="N2010" t="s">
        <v>11219</v>
      </c>
      <c r="O2010" t="s">
        <v>11220</v>
      </c>
      <c r="P2010" t="s">
        <v>11221</v>
      </c>
      <c r="Q2010" t="s">
        <v>30</v>
      </c>
      <c r="R2010" t="s">
        <v>31</v>
      </c>
      <c r="S2010" t="s">
        <v>32</v>
      </c>
    </row>
    <row r="2011" spans="1:19" x14ac:dyDescent="0.45">
      <c r="A2011" t="str">
        <f t="shared" si="137"/>
        <v>34801</v>
      </c>
      <c r="B2011" t="s">
        <v>2257</v>
      </c>
      <c r="C2011" t="str">
        <f>"34324"</f>
        <v>34324</v>
      </c>
      <c r="D2011" t="s">
        <v>11222</v>
      </c>
      <c r="E2011" t="str">
        <f>"2406"</f>
        <v>2406</v>
      </c>
      <c r="F2011" t="s">
        <v>11223</v>
      </c>
      <c r="G2011" t="s">
        <v>22</v>
      </c>
      <c r="H2011">
        <v>8</v>
      </c>
      <c r="I2011" t="s">
        <v>11224</v>
      </c>
      <c r="K2011" t="s">
        <v>3164</v>
      </c>
      <c r="L2011" t="s">
        <v>25</v>
      </c>
      <c r="M2011" t="s">
        <v>11225</v>
      </c>
      <c r="N2011" t="s">
        <v>11226</v>
      </c>
      <c r="O2011" t="s">
        <v>11227</v>
      </c>
      <c r="P2011" t="s">
        <v>11228</v>
      </c>
      <c r="Q2011" t="s">
        <v>30</v>
      </c>
      <c r="R2011" t="s">
        <v>31</v>
      </c>
      <c r="S2011" t="s">
        <v>159</v>
      </c>
    </row>
    <row r="2012" spans="1:19" x14ac:dyDescent="0.45">
      <c r="A2012" t="str">
        <f t="shared" si="137"/>
        <v>34801</v>
      </c>
      <c r="B2012" t="s">
        <v>2257</v>
      </c>
      <c r="C2012" t="str">
        <f>"34401"</f>
        <v>34401</v>
      </c>
      <c r="D2012" t="s">
        <v>11229</v>
      </c>
      <c r="E2012" t="str">
        <f>"1735"</f>
        <v>1735</v>
      </c>
      <c r="F2012" t="s">
        <v>11230</v>
      </c>
      <c r="G2012">
        <v>9</v>
      </c>
      <c r="H2012">
        <v>12</v>
      </c>
      <c r="I2012" t="s">
        <v>11231</v>
      </c>
      <c r="K2012" t="s">
        <v>11232</v>
      </c>
      <c r="L2012" t="s">
        <v>25</v>
      </c>
      <c r="M2012" t="s">
        <v>11233</v>
      </c>
      <c r="N2012" t="s">
        <v>11234</v>
      </c>
      <c r="O2012" t="s">
        <v>11235</v>
      </c>
      <c r="P2012" t="s">
        <v>11236</v>
      </c>
      <c r="Q2012" t="s">
        <v>157</v>
      </c>
      <c r="R2012" t="s">
        <v>158</v>
      </c>
      <c r="S2012" t="s">
        <v>58</v>
      </c>
    </row>
    <row r="2013" spans="1:19" x14ac:dyDescent="0.45">
      <c r="A2013" t="str">
        <f t="shared" si="137"/>
        <v>34801</v>
      </c>
      <c r="B2013" t="s">
        <v>2257</v>
      </c>
      <c r="C2013" t="str">
        <f>"34401"</f>
        <v>34401</v>
      </c>
      <c r="D2013" t="s">
        <v>11229</v>
      </c>
      <c r="E2013" t="str">
        <f>"2527"</f>
        <v>2527</v>
      </c>
      <c r="F2013" t="s">
        <v>11237</v>
      </c>
      <c r="G2013" t="s">
        <v>22</v>
      </c>
      <c r="H2013">
        <v>2</v>
      </c>
      <c r="I2013" t="s">
        <v>11238</v>
      </c>
      <c r="K2013" t="s">
        <v>11232</v>
      </c>
      <c r="L2013" t="s">
        <v>25</v>
      </c>
      <c r="M2013" t="s">
        <v>11239</v>
      </c>
      <c r="N2013" t="s">
        <v>11240</v>
      </c>
      <c r="O2013" t="s">
        <v>11241</v>
      </c>
      <c r="P2013" t="s">
        <v>11242</v>
      </c>
      <c r="Q2013" t="s">
        <v>30</v>
      </c>
      <c r="R2013" t="s">
        <v>31</v>
      </c>
      <c r="S2013" t="s">
        <v>32</v>
      </c>
    </row>
    <row r="2014" spans="1:19" x14ac:dyDescent="0.45">
      <c r="A2014" t="str">
        <f t="shared" ref="A2014:A2020" si="139">"34801"</f>
        <v>34801</v>
      </c>
      <c r="B2014" t="s">
        <v>2257</v>
      </c>
      <c r="C2014" t="str">
        <f>"34401"</f>
        <v>34401</v>
      </c>
      <c r="D2014" t="s">
        <v>11229</v>
      </c>
      <c r="E2014" t="str">
        <f>"3067"</f>
        <v>3067</v>
      </c>
      <c r="F2014" t="s">
        <v>11243</v>
      </c>
      <c r="G2014">
        <v>6</v>
      </c>
      <c r="H2014">
        <v>8</v>
      </c>
      <c r="I2014" t="s">
        <v>11244</v>
      </c>
      <c r="K2014" t="s">
        <v>11232</v>
      </c>
      <c r="L2014" t="s">
        <v>25</v>
      </c>
      <c r="M2014" t="s">
        <v>11245</v>
      </c>
      <c r="N2014" t="s">
        <v>11246</v>
      </c>
      <c r="O2014" t="s">
        <v>11247</v>
      </c>
      <c r="P2014" t="s">
        <v>11248</v>
      </c>
      <c r="Q2014" t="s">
        <v>30</v>
      </c>
      <c r="R2014" t="s">
        <v>31</v>
      </c>
      <c r="S2014" t="s">
        <v>104</v>
      </c>
    </row>
    <row r="2015" spans="1:19" x14ac:dyDescent="0.45">
      <c r="A2015" t="str">
        <f t="shared" si="139"/>
        <v>34801</v>
      </c>
      <c r="B2015" t="s">
        <v>2257</v>
      </c>
      <c r="C2015" t="str">
        <f>"34401"</f>
        <v>34401</v>
      </c>
      <c r="D2015" t="s">
        <v>11229</v>
      </c>
      <c r="E2015" t="str">
        <f>"3801"</f>
        <v>3801</v>
      </c>
      <c r="F2015" t="s">
        <v>11249</v>
      </c>
      <c r="G2015">
        <v>3</v>
      </c>
      <c r="H2015">
        <v>5</v>
      </c>
      <c r="I2015" t="s">
        <v>11250</v>
      </c>
      <c r="K2015" t="s">
        <v>11232</v>
      </c>
      <c r="L2015" t="s">
        <v>25</v>
      </c>
      <c r="M2015" t="s">
        <v>11251</v>
      </c>
      <c r="N2015" t="s">
        <v>11252</v>
      </c>
      <c r="O2015" t="s">
        <v>11253</v>
      </c>
      <c r="P2015" t="s">
        <v>11254</v>
      </c>
      <c r="Q2015" t="s">
        <v>30</v>
      </c>
      <c r="R2015" t="s">
        <v>31</v>
      </c>
      <c r="S2015" t="s">
        <v>32</v>
      </c>
    </row>
    <row r="2016" spans="1:19" x14ac:dyDescent="0.45">
      <c r="A2016" t="str">
        <f t="shared" si="139"/>
        <v>34801</v>
      </c>
      <c r="B2016" t="s">
        <v>2257</v>
      </c>
      <c r="C2016" t="str">
        <f>"34401"</f>
        <v>34401</v>
      </c>
      <c r="D2016" t="s">
        <v>11229</v>
      </c>
      <c r="E2016" t="str">
        <f>"4326"</f>
        <v>4326</v>
      </c>
      <c r="F2016" t="s">
        <v>11255</v>
      </c>
      <c r="G2016">
        <v>9</v>
      </c>
      <c r="H2016">
        <v>12</v>
      </c>
      <c r="I2016" t="s">
        <v>11256</v>
      </c>
      <c r="K2016" t="s">
        <v>11232</v>
      </c>
      <c r="L2016" t="s">
        <v>25</v>
      </c>
      <c r="M2016" t="s">
        <v>11257</v>
      </c>
      <c r="N2016" t="s">
        <v>79</v>
      </c>
      <c r="Q2016" t="s">
        <v>30</v>
      </c>
      <c r="R2016" t="s">
        <v>31</v>
      </c>
      <c r="S2016" t="s">
        <v>58</v>
      </c>
    </row>
    <row r="2017" spans="1:19" x14ac:dyDescent="0.45">
      <c r="A2017" t="str">
        <f t="shared" si="139"/>
        <v>34801</v>
      </c>
      <c r="B2017" t="s">
        <v>2257</v>
      </c>
      <c r="C2017" t="str">
        <f>"34402"</f>
        <v>34402</v>
      </c>
      <c r="D2017" t="s">
        <v>11258</v>
      </c>
      <c r="E2017" t="str">
        <f>"2457"</f>
        <v>2457</v>
      </c>
      <c r="F2017" t="s">
        <v>303</v>
      </c>
      <c r="G2017" t="s">
        <v>22</v>
      </c>
      <c r="H2017">
        <v>2</v>
      </c>
      <c r="I2017" t="s">
        <v>11259</v>
      </c>
      <c r="K2017" t="s">
        <v>11260</v>
      </c>
      <c r="L2017" t="s">
        <v>25</v>
      </c>
      <c r="M2017" t="s">
        <v>11261</v>
      </c>
      <c r="N2017" t="s">
        <v>11262</v>
      </c>
      <c r="O2017" t="s">
        <v>11263</v>
      </c>
      <c r="P2017" t="s">
        <v>11264</v>
      </c>
      <c r="Q2017" t="s">
        <v>30</v>
      </c>
      <c r="R2017" t="s">
        <v>31</v>
      </c>
      <c r="S2017" t="s">
        <v>32</v>
      </c>
    </row>
    <row r="2018" spans="1:19" x14ac:dyDescent="0.45">
      <c r="A2018" t="str">
        <f t="shared" si="139"/>
        <v>34801</v>
      </c>
      <c r="B2018" t="s">
        <v>2257</v>
      </c>
      <c r="C2018" t="str">
        <f>"34402"</f>
        <v>34402</v>
      </c>
      <c r="D2018" t="s">
        <v>11258</v>
      </c>
      <c r="E2018" t="str">
        <f>"3509"</f>
        <v>3509</v>
      </c>
      <c r="F2018" t="s">
        <v>11265</v>
      </c>
      <c r="G2018">
        <v>9</v>
      </c>
      <c r="H2018">
        <v>12</v>
      </c>
      <c r="I2018" t="s">
        <v>11259</v>
      </c>
      <c r="K2018" t="s">
        <v>11260</v>
      </c>
      <c r="L2018" t="s">
        <v>25</v>
      </c>
      <c r="M2018" t="s">
        <v>11261</v>
      </c>
      <c r="N2018" t="s">
        <v>11266</v>
      </c>
      <c r="O2018" t="s">
        <v>11267</v>
      </c>
      <c r="P2018" t="s">
        <v>11268</v>
      </c>
      <c r="Q2018" t="s">
        <v>30</v>
      </c>
      <c r="R2018" t="s">
        <v>31</v>
      </c>
      <c r="S2018" t="s">
        <v>58</v>
      </c>
    </row>
    <row r="2019" spans="1:19" x14ac:dyDescent="0.45">
      <c r="A2019" t="str">
        <f t="shared" si="139"/>
        <v>34801</v>
      </c>
      <c r="B2019" t="s">
        <v>2257</v>
      </c>
      <c r="C2019" t="str">
        <f>"34402"</f>
        <v>34402</v>
      </c>
      <c r="D2019" t="s">
        <v>11258</v>
      </c>
      <c r="E2019" t="str">
        <f>"3795"</f>
        <v>3795</v>
      </c>
      <c r="F2019" t="s">
        <v>11269</v>
      </c>
      <c r="G2019">
        <v>6</v>
      </c>
      <c r="H2019">
        <v>8</v>
      </c>
      <c r="I2019" t="s">
        <v>11259</v>
      </c>
      <c r="K2019" t="s">
        <v>11260</v>
      </c>
      <c r="L2019" t="s">
        <v>25</v>
      </c>
      <c r="M2019" t="s">
        <v>11261</v>
      </c>
      <c r="N2019" t="s">
        <v>11270</v>
      </c>
      <c r="O2019" t="s">
        <v>11271</v>
      </c>
      <c r="P2019" t="s">
        <v>11272</v>
      </c>
      <c r="Q2019" t="s">
        <v>30</v>
      </c>
      <c r="R2019" t="s">
        <v>31</v>
      </c>
      <c r="S2019" t="s">
        <v>104</v>
      </c>
    </row>
    <row r="2020" spans="1:19" x14ac:dyDescent="0.45">
      <c r="A2020" t="str">
        <f t="shared" si="139"/>
        <v>34801</v>
      </c>
      <c r="B2020" t="s">
        <v>2257</v>
      </c>
      <c r="C2020" t="str">
        <f>"34402"</f>
        <v>34402</v>
      </c>
      <c r="D2020" t="s">
        <v>11258</v>
      </c>
      <c r="E2020" t="str">
        <f>"4238"</f>
        <v>4238</v>
      </c>
      <c r="F2020" t="s">
        <v>11273</v>
      </c>
      <c r="G2020">
        <v>3</v>
      </c>
      <c r="H2020">
        <v>5</v>
      </c>
      <c r="I2020" t="s">
        <v>11259</v>
      </c>
      <c r="K2020" t="s">
        <v>11260</v>
      </c>
      <c r="L2020" t="s">
        <v>25</v>
      </c>
      <c r="M2020" t="s">
        <v>11261</v>
      </c>
      <c r="N2020" t="s">
        <v>11274</v>
      </c>
      <c r="O2020" t="s">
        <v>11275</v>
      </c>
      <c r="P2020" t="s">
        <v>11276</v>
      </c>
      <c r="Q2020" t="s">
        <v>30</v>
      </c>
      <c r="R2020" t="s">
        <v>31</v>
      </c>
      <c r="S2020" t="s">
        <v>32</v>
      </c>
    </row>
    <row r="2021" spans="1:19" x14ac:dyDescent="0.45">
      <c r="A2021" t="str">
        <f>"06801"</f>
        <v>06801</v>
      </c>
      <c r="B2021" t="s">
        <v>1870</v>
      </c>
      <c r="C2021" t="str">
        <f>"35200"</f>
        <v>35200</v>
      </c>
      <c r="D2021" t="s">
        <v>11277</v>
      </c>
      <c r="E2021" t="str">
        <f>"2893"</f>
        <v>2893</v>
      </c>
      <c r="F2021" t="s">
        <v>11278</v>
      </c>
      <c r="G2021" t="s">
        <v>70</v>
      </c>
      <c r="H2021">
        <v>8</v>
      </c>
      <c r="I2021" t="s">
        <v>11279</v>
      </c>
      <c r="K2021" t="s">
        <v>11280</v>
      </c>
      <c r="L2021" t="s">
        <v>25</v>
      </c>
      <c r="M2021" t="s">
        <v>11281</v>
      </c>
      <c r="N2021" t="s">
        <v>11282</v>
      </c>
      <c r="O2021" t="s">
        <v>11283</v>
      </c>
      <c r="P2021" t="s">
        <v>11284</v>
      </c>
      <c r="Q2021" t="s">
        <v>30</v>
      </c>
      <c r="R2021" t="s">
        <v>31</v>
      </c>
      <c r="S2021" t="s">
        <v>159</v>
      </c>
    </row>
    <row r="2022" spans="1:19" x14ac:dyDescent="0.45">
      <c r="A2022" t="str">
        <f>"06801"</f>
        <v>06801</v>
      </c>
      <c r="B2022" t="s">
        <v>1870</v>
      </c>
      <c r="C2022" t="str">
        <f>"35200"</f>
        <v>35200</v>
      </c>
      <c r="D2022" t="s">
        <v>11277</v>
      </c>
      <c r="E2022" t="str">
        <f>"3467"</f>
        <v>3467</v>
      </c>
      <c r="F2022" t="s">
        <v>11285</v>
      </c>
      <c r="G2022">
        <v>9</v>
      </c>
      <c r="H2022">
        <v>12</v>
      </c>
      <c r="I2022" t="s">
        <v>11279</v>
      </c>
      <c r="K2022" t="s">
        <v>11280</v>
      </c>
      <c r="L2022" t="s">
        <v>25</v>
      </c>
      <c r="M2022" t="s">
        <v>11281</v>
      </c>
      <c r="N2022" t="s">
        <v>11286</v>
      </c>
      <c r="O2022" t="s">
        <v>11287</v>
      </c>
      <c r="P2022" t="s">
        <v>11288</v>
      </c>
      <c r="Q2022" t="s">
        <v>30</v>
      </c>
      <c r="R2022" t="s">
        <v>31</v>
      </c>
      <c r="S2022" t="s">
        <v>58</v>
      </c>
    </row>
    <row r="2023" spans="1:19" x14ac:dyDescent="0.45">
      <c r="A2023" t="str">
        <f t="shared" ref="A2023:A2028" si="140">"11801"</f>
        <v>11801</v>
      </c>
      <c r="B2023" t="s">
        <v>1122</v>
      </c>
      <c r="C2023" t="str">
        <f>"36101"</f>
        <v>36101</v>
      </c>
      <c r="D2023" t="s">
        <v>11289</v>
      </c>
      <c r="E2023" t="str">
        <f>"2278"</f>
        <v>2278</v>
      </c>
      <c r="F2023" t="s">
        <v>11290</v>
      </c>
      <c r="G2023" t="s">
        <v>22</v>
      </c>
      <c r="H2023">
        <v>5</v>
      </c>
      <c r="I2023" t="s">
        <v>11291</v>
      </c>
      <c r="K2023" t="s">
        <v>11292</v>
      </c>
      <c r="L2023" t="s">
        <v>25</v>
      </c>
      <c r="M2023" t="s">
        <v>11293</v>
      </c>
      <c r="N2023" t="s">
        <v>11294</v>
      </c>
      <c r="O2023" t="s">
        <v>11295</v>
      </c>
      <c r="P2023" t="s">
        <v>11296</v>
      </c>
      <c r="Q2023" t="s">
        <v>30</v>
      </c>
      <c r="R2023" t="s">
        <v>31</v>
      </c>
      <c r="S2023" t="s">
        <v>32</v>
      </c>
    </row>
    <row r="2024" spans="1:19" x14ac:dyDescent="0.45">
      <c r="A2024" t="str">
        <f t="shared" si="140"/>
        <v>11801</v>
      </c>
      <c r="B2024" t="s">
        <v>1122</v>
      </c>
      <c r="C2024" t="str">
        <f>"36140"</f>
        <v>36140</v>
      </c>
      <c r="D2024" t="s">
        <v>2414</v>
      </c>
      <c r="E2024" t="str">
        <f>"2074"</f>
        <v>2074</v>
      </c>
      <c r="F2024" t="s">
        <v>11297</v>
      </c>
      <c r="G2024" t="s">
        <v>70</v>
      </c>
      <c r="H2024">
        <v>5</v>
      </c>
      <c r="I2024" t="s">
        <v>11298</v>
      </c>
      <c r="K2024" t="s">
        <v>2417</v>
      </c>
      <c r="L2024" t="s">
        <v>25</v>
      </c>
      <c r="M2024" t="s">
        <v>11299</v>
      </c>
      <c r="N2024" t="s">
        <v>11300</v>
      </c>
      <c r="O2024" t="s">
        <v>11301</v>
      </c>
      <c r="P2024" t="s">
        <v>11302</v>
      </c>
      <c r="Q2024" t="s">
        <v>30</v>
      </c>
      <c r="R2024" t="s">
        <v>31</v>
      </c>
      <c r="S2024" t="s">
        <v>32</v>
      </c>
    </row>
    <row r="2025" spans="1:19" x14ac:dyDescent="0.45">
      <c r="A2025" t="str">
        <f t="shared" si="140"/>
        <v>11801</v>
      </c>
      <c r="B2025" t="s">
        <v>1122</v>
      </c>
      <c r="C2025" t="str">
        <f>"36140"</f>
        <v>36140</v>
      </c>
      <c r="D2025" t="s">
        <v>2414</v>
      </c>
      <c r="E2025" t="str">
        <f>"2078"</f>
        <v>2078</v>
      </c>
      <c r="F2025" t="s">
        <v>11303</v>
      </c>
      <c r="G2025" t="s">
        <v>70</v>
      </c>
      <c r="H2025">
        <v>5</v>
      </c>
      <c r="I2025" t="s">
        <v>11304</v>
      </c>
      <c r="K2025" t="s">
        <v>2417</v>
      </c>
      <c r="L2025" t="s">
        <v>25</v>
      </c>
      <c r="M2025" t="s">
        <v>11305</v>
      </c>
      <c r="N2025" t="s">
        <v>11306</v>
      </c>
      <c r="O2025" t="s">
        <v>11307</v>
      </c>
      <c r="P2025" t="s">
        <v>11308</v>
      </c>
      <c r="Q2025" t="s">
        <v>30</v>
      </c>
      <c r="R2025" t="s">
        <v>31</v>
      </c>
      <c r="S2025" t="s">
        <v>32</v>
      </c>
    </row>
    <row r="2026" spans="1:19" x14ac:dyDescent="0.45">
      <c r="A2026" t="str">
        <f t="shared" si="140"/>
        <v>11801</v>
      </c>
      <c r="B2026" t="s">
        <v>1122</v>
      </c>
      <c r="C2026" t="str">
        <f>"36140"</f>
        <v>36140</v>
      </c>
      <c r="D2026" t="s">
        <v>2414</v>
      </c>
      <c r="E2026" t="str">
        <f>"2159"</f>
        <v>2159</v>
      </c>
      <c r="F2026" t="s">
        <v>11309</v>
      </c>
      <c r="G2026" t="s">
        <v>70</v>
      </c>
      <c r="H2026">
        <v>5</v>
      </c>
      <c r="I2026" t="s">
        <v>11310</v>
      </c>
      <c r="K2026" t="s">
        <v>2417</v>
      </c>
      <c r="L2026" t="s">
        <v>25</v>
      </c>
      <c r="M2026" t="s">
        <v>11311</v>
      </c>
      <c r="N2026" t="s">
        <v>11312</v>
      </c>
      <c r="O2026" t="s">
        <v>11313</v>
      </c>
      <c r="P2026" t="s">
        <v>11314</v>
      </c>
      <c r="Q2026" t="s">
        <v>30</v>
      </c>
      <c r="R2026" t="s">
        <v>31</v>
      </c>
      <c r="S2026" t="s">
        <v>32</v>
      </c>
    </row>
    <row r="2027" spans="1:19" x14ac:dyDescent="0.45">
      <c r="A2027" t="str">
        <f t="shared" si="140"/>
        <v>11801</v>
      </c>
      <c r="B2027" t="s">
        <v>1122</v>
      </c>
      <c r="C2027" t="str">
        <f>"36140"</f>
        <v>36140</v>
      </c>
      <c r="D2027" t="s">
        <v>2414</v>
      </c>
      <c r="E2027" t="str">
        <f>"2528"</f>
        <v>2528</v>
      </c>
      <c r="F2027" t="s">
        <v>11315</v>
      </c>
      <c r="G2027" t="s">
        <v>70</v>
      </c>
      <c r="H2027">
        <v>5</v>
      </c>
      <c r="I2027" t="s">
        <v>11316</v>
      </c>
      <c r="K2027" t="s">
        <v>2417</v>
      </c>
      <c r="L2027" t="s">
        <v>25</v>
      </c>
      <c r="M2027" t="s">
        <v>11317</v>
      </c>
      <c r="N2027" t="s">
        <v>11318</v>
      </c>
      <c r="O2027" t="s">
        <v>11319</v>
      </c>
      <c r="P2027" t="s">
        <v>11320</v>
      </c>
      <c r="Q2027" t="s">
        <v>30</v>
      </c>
      <c r="R2027" t="s">
        <v>31</v>
      </c>
      <c r="S2027" t="s">
        <v>32</v>
      </c>
    </row>
    <row r="2028" spans="1:19" x14ac:dyDescent="0.45">
      <c r="A2028" t="str">
        <f t="shared" si="140"/>
        <v>11801</v>
      </c>
      <c r="B2028" t="s">
        <v>1122</v>
      </c>
      <c r="C2028" t="str">
        <f>"36140"</f>
        <v>36140</v>
      </c>
      <c r="D2028" t="s">
        <v>2414</v>
      </c>
      <c r="E2028" t="str">
        <f>"2780"</f>
        <v>2780</v>
      </c>
      <c r="F2028" t="s">
        <v>1706</v>
      </c>
      <c r="G2028">
        <v>6</v>
      </c>
      <c r="H2028">
        <v>8</v>
      </c>
      <c r="I2028" t="s">
        <v>11321</v>
      </c>
      <c r="K2028" t="s">
        <v>2417</v>
      </c>
      <c r="L2028" t="s">
        <v>25</v>
      </c>
      <c r="M2028" t="s">
        <v>11322</v>
      </c>
      <c r="N2028" t="s">
        <v>11323</v>
      </c>
      <c r="O2028" t="s">
        <v>11324</v>
      </c>
      <c r="P2028" t="s">
        <v>11325</v>
      </c>
      <c r="Q2028" t="s">
        <v>30</v>
      </c>
      <c r="R2028" t="s">
        <v>31</v>
      </c>
      <c r="S2028" t="s">
        <v>104</v>
      </c>
    </row>
    <row r="2029" spans="1:19" x14ac:dyDescent="0.45">
      <c r="A2029" t="str">
        <f>"OSPI"</f>
        <v>OSPI</v>
      </c>
      <c r="B2029" t="s">
        <v>1763</v>
      </c>
      <c r="C2029" t="str">
        <f>"11801"</f>
        <v>11801</v>
      </c>
      <c r="D2029" t="s">
        <v>1122</v>
      </c>
      <c r="E2029" t="str">
        <f>"3358"</f>
        <v>3358</v>
      </c>
      <c r="F2029" t="s">
        <v>11326</v>
      </c>
      <c r="G2029">
        <v>8</v>
      </c>
      <c r="H2029">
        <v>12</v>
      </c>
      <c r="I2029" t="s">
        <v>11327</v>
      </c>
      <c r="K2029" t="s">
        <v>2417</v>
      </c>
      <c r="L2029" t="s">
        <v>25</v>
      </c>
      <c r="M2029" t="s">
        <v>11328</v>
      </c>
      <c r="N2029" t="s">
        <v>11329</v>
      </c>
      <c r="P2029" t="s">
        <v>11330</v>
      </c>
      <c r="Q2029" t="s">
        <v>1312</v>
      </c>
      <c r="R2029" t="s">
        <v>1313</v>
      </c>
      <c r="S2029" t="s">
        <v>58</v>
      </c>
    </row>
    <row r="2030" spans="1:19" x14ac:dyDescent="0.45">
      <c r="A2030" t="str">
        <f t="shared" ref="A2030:A2045" si="141">"11801"</f>
        <v>11801</v>
      </c>
      <c r="B2030" t="s">
        <v>1122</v>
      </c>
      <c r="C2030" t="str">
        <f>"36140"</f>
        <v>36140</v>
      </c>
      <c r="D2030" t="s">
        <v>2414</v>
      </c>
      <c r="E2030" t="str">
        <f>"3468"</f>
        <v>3468</v>
      </c>
      <c r="F2030" t="s">
        <v>11331</v>
      </c>
      <c r="G2030">
        <v>9</v>
      </c>
      <c r="H2030">
        <v>12</v>
      </c>
      <c r="I2030" t="s">
        <v>11332</v>
      </c>
      <c r="K2030" t="s">
        <v>2417</v>
      </c>
      <c r="L2030" t="s">
        <v>25</v>
      </c>
      <c r="M2030" t="s">
        <v>11333</v>
      </c>
      <c r="N2030" t="s">
        <v>11334</v>
      </c>
      <c r="O2030" t="s">
        <v>11335</v>
      </c>
      <c r="P2030" t="s">
        <v>11336</v>
      </c>
      <c r="Q2030" t="s">
        <v>30</v>
      </c>
      <c r="R2030" t="s">
        <v>31</v>
      </c>
      <c r="S2030" t="s">
        <v>58</v>
      </c>
    </row>
    <row r="2031" spans="1:19" x14ac:dyDescent="0.45">
      <c r="A2031" t="str">
        <f t="shared" si="141"/>
        <v>11801</v>
      </c>
      <c r="B2031" t="s">
        <v>1122</v>
      </c>
      <c r="C2031" t="str">
        <f>"36140"</f>
        <v>36140</v>
      </c>
      <c r="D2031" t="s">
        <v>2414</v>
      </c>
      <c r="E2031" t="str">
        <f>"3510"</f>
        <v>3510</v>
      </c>
      <c r="F2031" t="s">
        <v>11337</v>
      </c>
      <c r="G2031">
        <v>6</v>
      </c>
      <c r="H2031">
        <v>8</v>
      </c>
      <c r="I2031" t="s">
        <v>11338</v>
      </c>
      <c r="K2031" t="s">
        <v>2417</v>
      </c>
      <c r="L2031" t="s">
        <v>25</v>
      </c>
      <c r="M2031" t="s">
        <v>11339</v>
      </c>
      <c r="N2031" t="s">
        <v>11340</v>
      </c>
      <c r="O2031" t="s">
        <v>11341</v>
      </c>
      <c r="P2031" t="s">
        <v>11342</v>
      </c>
      <c r="Q2031" t="s">
        <v>30</v>
      </c>
      <c r="R2031" t="s">
        <v>31</v>
      </c>
      <c r="S2031" t="s">
        <v>104</v>
      </c>
    </row>
    <row r="2032" spans="1:19" x14ac:dyDescent="0.45">
      <c r="A2032" t="str">
        <f t="shared" si="141"/>
        <v>11801</v>
      </c>
      <c r="B2032" t="s">
        <v>1122</v>
      </c>
      <c r="C2032" t="str">
        <f>"36140"</f>
        <v>36140</v>
      </c>
      <c r="D2032" t="s">
        <v>2414</v>
      </c>
      <c r="E2032" t="str">
        <f>"3728"</f>
        <v>3728</v>
      </c>
      <c r="F2032" t="s">
        <v>11343</v>
      </c>
      <c r="G2032" t="s">
        <v>70</v>
      </c>
      <c r="H2032">
        <v>5</v>
      </c>
      <c r="I2032" t="s">
        <v>11344</v>
      </c>
      <c r="K2032" t="s">
        <v>2417</v>
      </c>
      <c r="L2032" t="s">
        <v>25</v>
      </c>
      <c r="M2032" t="s">
        <v>11345</v>
      </c>
      <c r="N2032" t="s">
        <v>11346</v>
      </c>
      <c r="O2032" t="s">
        <v>11347</v>
      </c>
      <c r="P2032" t="s">
        <v>11348</v>
      </c>
      <c r="Q2032" t="s">
        <v>30</v>
      </c>
      <c r="R2032" t="s">
        <v>31</v>
      </c>
      <c r="S2032" t="s">
        <v>32</v>
      </c>
    </row>
    <row r="2033" spans="1:19" x14ac:dyDescent="0.45">
      <c r="A2033" t="str">
        <f t="shared" si="141"/>
        <v>11801</v>
      </c>
      <c r="B2033" t="s">
        <v>1122</v>
      </c>
      <c r="C2033" t="str">
        <f>"36140"</f>
        <v>36140</v>
      </c>
      <c r="D2033" t="s">
        <v>2414</v>
      </c>
      <c r="E2033" t="str">
        <f>"4071"</f>
        <v>4071</v>
      </c>
      <c r="F2033" t="s">
        <v>1775</v>
      </c>
      <c r="G2033">
        <v>9</v>
      </c>
      <c r="H2033">
        <v>12</v>
      </c>
      <c r="I2033" t="s">
        <v>11349</v>
      </c>
      <c r="K2033" t="s">
        <v>2417</v>
      </c>
      <c r="L2033" t="s">
        <v>25</v>
      </c>
      <c r="M2033" t="s">
        <v>11350</v>
      </c>
      <c r="N2033" t="s">
        <v>11351</v>
      </c>
      <c r="O2033" t="s">
        <v>11352</v>
      </c>
      <c r="P2033" t="s">
        <v>11353</v>
      </c>
      <c r="Q2033" t="s">
        <v>157</v>
      </c>
      <c r="R2033" t="s">
        <v>158</v>
      </c>
      <c r="S2033" t="s">
        <v>58</v>
      </c>
    </row>
    <row r="2034" spans="1:19" x14ac:dyDescent="0.45">
      <c r="A2034" t="str">
        <f t="shared" si="141"/>
        <v>11801</v>
      </c>
      <c r="B2034" t="s">
        <v>1122</v>
      </c>
      <c r="C2034" t="str">
        <f>"36140"</f>
        <v>36140</v>
      </c>
      <c r="D2034" t="s">
        <v>2414</v>
      </c>
      <c r="E2034" t="str">
        <f>"4193"</f>
        <v>4193</v>
      </c>
      <c r="F2034" t="s">
        <v>11354</v>
      </c>
      <c r="G2034" t="s">
        <v>22</v>
      </c>
      <c r="H2034">
        <v>5</v>
      </c>
      <c r="I2034" t="s">
        <v>11355</v>
      </c>
      <c r="K2034" t="s">
        <v>2417</v>
      </c>
      <c r="L2034" t="s">
        <v>25</v>
      </c>
      <c r="M2034" t="s">
        <v>11356</v>
      </c>
      <c r="N2034" t="s">
        <v>79</v>
      </c>
      <c r="Q2034" t="s">
        <v>30</v>
      </c>
      <c r="R2034" t="s">
        <v>31</v>
      </c>
      <c r="S2034" t="s">
        <v>32</v>
      </c>
    </row>
    <row r="2035" spans="1:19" x14ac:dyDescent="0.45">
      <c r="A2035" t="str">
        <f t="shared" si="141"/>
        <v>11801</v>
      </c>
      <c r="B2035" t="s">
        <v>1122</v>
      </c>
      <c r="C2035" t="str">
        <f>"36250"</f>
        <v>36250</v>
      </c>
      <c r="D2035" t="s">
        <v>2555</v>
      </c>
      <c r="E2035" t="str">
        <f>"2114"</f>
        <v>2114</v>
      </c>
      <c r="F2035" t="s">
        <v>11357</v>
      </c>
      <c r="G2035" t="s">
        <v>22</v>
      </c>
      <c r="H2035">
        <v>5</v>
      </c>
      <c r="I2035" t="s">
        <v>11358</v>
      </c>
      <c r="K2035" t="s">
        <v>11359</v>
      </c>
      <c r="L2035" t="s">
        <v>25</v>
      </c>
      <c r="M2035" t="s">
        <v>11360</v>
      </c>
      <c r="N2035" t="s">
        <v>11361</v>
      </c>
      <c r="O2035" t="s">
        <v>11362</v>
      </c>
      <c r="P2035" t="s">
        <v>11363</v>
      </c>
      <c r="Q2035" t="s">
        <v>30</v>
      </c>
      <c r="R2035" t="s">
        <v>31</v>
      </c>
      <c r="S2035" t="s">
        <v>32</v>
      </c>
    </row>
    <row r="2036" spans="1:19" x14ac:dyDescent="0.45">
      <c r="A2036" t="str">
        <f t="shared" si="141"/>
        <v>11801</v>
      </c>
      <c r="B2036" t="s">
        <v>1122</v>
      </c>
      <c r="C2036" t="str">
        <f>"36250"</f>
        <v>36250</v>
      </c>
      <c r="D2036" t="s">
        <v>2555</v>
      </c>
      <c r="E2036" t="str">
        <f>"3541"</f>
        <v>3541</v>
      </c>
      <c r="F2036" t="s">
        <v>11364</v>
      </c>
      <c r="G2036">
        <v>6</v>
      </c>
      <c r="H2036">
        <v>8</v>
      </c>
      <c r="I2036" t="s">
        <v>11365</v>
      </c>
      <c r="K2036" t="s">
        <v>11359</v>
      </c>
      <c r="L2036" t="s">
        <v>25</v>
      </c>
      <c r="M2036" t="s">
        <v>11360</v>
      </c>
      <c r="N2036" t="s">
        <v>11366</v>
      </c>
      <c r="O2036" t="s">
        <v>11367</v>
      </c>
      <c r="P2036" t="s">
        <v>11368</v>
      </c>
      <c r="Q2036" t="s">
        <v>30</v>
      </c>
      <c r="R2036" t="s">
        <v>31</v>
      </c>
      <c r="S2036" t="s">
        <v>104</v>
      </c>
    </row>
    <row r="2037" spans="1:19" x14ac:dyDescent="0.45">
      <c r="A2037" t="str">
        <f t="shared" si="141"/>
        <v>11801</v>
      </c>
      <c r="B2037" t="s">
        <v>1122</v>
      </c>
      <c r="C2037" t="str">
        <f>"36300"</f>
        <v>36300</v>
      </c>
      <c r="D2037" t="s">
        <v>11369</v>
      </c>
      <c r="E2037" t="str">
        <f>"2160"</f>
        <v>2160</v>
      </c>
      <c r="F2037" t="s">
        <v>11370</v>
      </c>
      <c r="G2037" t="s">
        <v>70</v>
      </c>
      <c r="H2037">
        <v>12</v>
      </c>
      <c r="I2037" t="s">
        <v>11371</v>
      </c>
      <c r="K2037" t="s">
        <v>11372</v>
      </c>
      <c r="L2037" t="s">
        <v>25</v>
      </c>
      <c r="M2037" t="s">
        <v>11373</v>
      </c>
      <c r="N2037" t="s">
        <v>11374</v>
      </c>
      <c r="O2037" t="s">
        <v>11375</v>
      </c>
      <c r="P2037" t="s">
        <v>11376</v>
      </c>
      <c r="Q2037" t="s">
        <v>30</v>
      </c>
      <c r="R2037" t="s">
        <v>31</v>
      </c>
      <c r="S2037" t="s">
        <v>330</v>
      </c>
    </row>
    <row r="2038" spans="1:19" x14ac:dyDescent="0.45">
      <c r="A2038" t="str">
        <f t="shared" si="141"/>
        <v>11801</v>
      </c>
      <c r="B2038" t="s">
        <v>1122</v>
      </c>
      <c r="C2038" t="str">
        <f>"36400"</f>
        <v>36400</v>
      </c>
      <c r="D2038" t="s">
        <v>11377</v>
      </c>
      <c r="E2038" t="str">
        <f>"3012"</f>
        <v>3012</v>
      </c>
      <c r="F2038" t="s">
        <v>11378</v>
      </c>
      <c r="G2038">
        <v>6</v>
      </c>
      <c r="H2038">
        <v>8</v>
      </c>
      <c r="I2038" t="s">
        <v>11379</v>
      </c>
      <c r="K2038" t="s">
        <v>11380</v>
      </c>
      <c r="L2038" t="s">
        <v>25</v>
      </c>
      <c r="M2038" t="s">
        <v>11381</v>
      </c>
      <c r="N2038" t="s">
        <v>11382</v>
      </c>
      <c r="O2038" t="s">
        <v>11383</v>
      </c>
      <c r="P2038" t="s">
        <v>11384</v>
      </c>
      <c r="Q2038" t="s">
        <v>30</v>
      </c>
      <c r="R2038" t="s">
        <v>31</v>
      </c>
      <c r="S2038" t="s">
        <v>104</v>
      </c>
    </row>
    <row r="2039" spans="1:19" x14ac:dyDescent="0.45">
      <c r="A2039" t="str">
        <f t="shared" si="141"/>
        <v>11801</v>
      </c>
      <c r="B2039" t="s">
        <v>1122</v>
      </c>
      <c r="C2039" t="str">
        <f>"36400"</f>
        <v>36400</v>
      </c>
      <c r="D2039" t="s">
        <v>11377</v>
      </c>
      <c r="E2039" t="str">
        <f>"3613"</f>
        <v>3613</v>
      </c>
      <c r="F2039" t="s">
        <v>9350</v>
      </c>
      <c r="G2039" t="s">
        <v>70</v>
      </c>
      <c r="H2039">
        <v>5</v>
      </c>
      <c r="I2039" t="s">
        <v>11379</v>
      </c>
      <c r="K2039" t="s">
        <v>11380</v>
      </c>
      <c r="L2039" t="s">
        <v>25</v>
      </c>
      <c r="M2039" t="s">
        <v>11381</v>
      </c>
      <c r="N2039" t="s">
        <v>11385</v>
      </c>
      <c r="O2039" t="s">
        <v>11386</v>
      </c>
      <c r="P2039" t="s">
        <v>11387</v>
      </c>
      <c r="Q2039" t="s">
        <v>30</v>
      </c>
      <c r="R2039" t="s">
        <v>31</v>
      </c>
      <c r="S2039" t="s">
        <v>32</v>
      </c>
    </row>
    <row r="2040" spans="1:19" x14ac:dyDescent="0.45">
      <c r="A2040" t="str">
        <f t="shared" si="141"/>
        <v>11801</v>
      </c>
      <c r="B2040" t="s">
        <v>1122</v>
      </c>
      <c r="C2040" t="str">
        <f>"36400"</f>
        <v>36400</v>
      </c>
      <c r="D2040" t="s">
        <v>11377</v>
      </c>
      <c r="E2040" t="str">
        <f>"4049"</f>
        <v>4049</v>
      </c>
      <c r="F2040" t="s">
        <v>6962</v>
      </c>
      <c r="G2040">
        <v>9</v>
      </c>
      <c r="H2040">
        <v>12</v>
      </c>
      <c r="I2040" t="s">
        <v>11379</v>
      </c>
      <c r="K2040" t="s">
        <v>11380</v>
      </c>
      <c r="L2040" t="s">
        <v>25</v>
      </c>
      <c r="M2040" t="s">
        <v>11381</v>
      </c>
      <c r="N2040" t="s">
        <v>11388</v>
      </c>
      <c r="O2040" t="s">
        <v>11389</v>
      </c>
      <c r="P2040" t="s">
        <v>11390</v>
      </c>
      <c r="Q2040" t="s">
        <v>30</v>
      </c>
      <c r="R2040" t="s">
        <v>31</v>
      </c>
      <c r="S2040" t="s">
        <v>58</v>
      </c>
    </row>
    <row r="2041" spans="1:19" x14ac:dyDescent="0.45">
      <c r="A2041" t="str">
        <f t="shared" si="141"/>
        <v>11801</v>
      </c>
      <c r="B2041" t="s">
        <v>1122</v>
      </c>
      <c r="C2041" t="str">
        <f>"36401"</f>
        <v>36401</v>
      </c>
      <c r="D2041" t="s">
        <v>11391</v>
      </c>
      <c r="E2041" t="str">
        <f>"2174"</f>
        <v>2174</v>
      </c>
      <c r="F2041" t="s">
        <v>11392</v>
      </c>
      <c r="G2041">
        <v>6</v>
      </c>
      <c r="H2041">
        <v>8</v>
      </c>
      <c r="I2041" t="s">
        <v>11393</v>
      </c>
      <c r="K2041" t="s">
        <v>11394</v>
      </c>
      <c r="L2041" t="s">
        <v>25</v>
      </c>
      <c r="M2041" t="s">
        <v>11395</v>
      </c>
      <c r="N2041" t="s">
        <v>11396</v>
      </c>
      <c r="O2041" t="s">
        <v>11397</v>
      </c>
      <c r="P2041" t="s">
        <v>11398</v>
      </c>
      <c r="Q2041" t="s">
        <v>30</v>
      </c>
      <c r="R2041" t="s">
        <v>31</v>
      </c>
      <c r="S2041" t="s">
        <v>104</v>
      </c>
    </row>
    <row r="2042" spans="1:19" x14ac:dyDescent="0.45">
      <c r="A2042" t="str">
        <f t="shared" si="141"/>
        <v>11801</v>
      </c>
      <c r="B2042" t="s">
        <v>1122</v>
      </c>
      <c r="C2042" t="str">
        <f>"36401"</f>
        <v>36401</v>
      </c>
      <c r="D2042" t="s">
        <v>11391</v>
      </c>
      <c r="E2042" t="str">
        <f>"2386"</f>
        <v>2386</v>
      </c>
      <c r="F2042" t="s">
        <v>11399</v>
      </c>
      <c r="G2042">
        <v>9</v>
      </c>
      <c r="H2042">
        <v>12</v>
      </c>
      <c r="I2042" t="s">
        <v>11393</v>
      </c>
      <c r="K2042" t="s">
        <v>11394</v>
      </c>
      <c r="L2042" t="s">
        <v>25</v>
      </c>
      <c r="M2042" t="s">
        <v>11395</v>
      </c>
      <c r="N2042" t="s">
        <v>11396</v>
      </c>
      <c r="O2042" t="s">
        <v>11397</v>
      </c>
      <c r="P2042" t="s">
        <v>11400</v>
      </c>
      <c r="Q2042" t="s">
        <v>30</v>
      </c>
      <c r="R2042" t="s">
        <v>31</v>
      </c>
      <c r="S2042" t="s">
        <v>58</v>
      </c>
    </row>
    <row r="2043" spans="1:19" x14ac:dyDescent="0.45">
      <c r="A2043" t="str">
        <f t="shared" si="141"/>
        <v>11801</v>
      </c>
      <c r="B2043" t="s">
        <v>1122</v>
      </c>
      <c r="C2043" t="str">
        <f>"36401"</f>
        <v>36401</v>
      </c>
      <c r="D2043" t="s">
        <v>11391</v>
      </c>
      <c r="E2043" t="str">
        <f>"2712"</f>
        <v>2712</v>
      </c>
      <c r="F2043" t="s">
        <v>11401</v>
      </c>
      <c r="G2043" t="s">
        <v>22</v>
      </c>
      <c r="H2043">
        <v>5</v>
      </c>
      <c r="I2043" t="s">
        <v>11393</v>
      </c>
      <c r="K2043" t="s">
        <v>11394</v>
      </c>
      <c r="L2043" t="s">
        <v>25</v>
      </c>
      <c r="M2043" t="s">
        <v>11395</v>
      </c>
      <c r="N2043" t="s">
        <v>11402</v>
      </c>
      <c r="O2043" t="s">
        <v>11403</v>
      </c>
      <c r="P2043" t="s">
        <v>11404</v>
      </c>
      <c r="Q2043" t="s">
        <v>30</v>
      </c>
      <c r="R2043" t="s">
        <v>31</v>
      </c>
      <c r="S2043" t="s">
        <v>32</v>
      </c>
    </row>
    <row r="2044" spans="1:19" x14ac:dyDescent="0.45">
      <c r="A2044" t="str">
        <f t="shared" si="141"/>
        <v>11801</v>
      </c>
      <c r="B2044" t="s">
        <v>1122</v>
      </c>
      <c r="C2044" t="str">
        <f>"36402"</f>
        <v>36402</v>
      </c>
      <c r="D2044" t="s">
        <v>11405</v>
      </c>
      <c r="E2044" t="str">
        <f>"3574"</f>
        <v>3574</v>
      </c>
      <c r="F2044" t="s">
        <v>11406</v>
      </c>
      <c r="G2044" t="s">
        <v>70</v>
      </c>
      <c r="H2044">
        <v>6</v>
      </c>
      <c r="I2044" t="s">
        <v>11407</v>
      </c>
      <c r="J2044" t="s">
        <v>11408</v>
      </c>
      <c r="K2044" t="s">
        <v>11409</v>
      </c>
      <c r="L2044" t="s">
        <v>25</v>
      </c>
      <c r="M2044" t="s">
        <v>11410</v>
      </c>
      <c r="N2044" t="s">
        <v>11411</v>
      </c>
      <c r="O2044" t="s">
        <v>11412</v>
      </c>
      <c r="P2044" t="s">
        <v>11413</v>
      </c>
      <c r="Q2044" t="s">
        <v>30</v>
      </c>
      <c r="R2044" t="s">
        <v>31</v>
      </c>
      <c r="S2044" t="s">
        <v>32</v>
      </c>
    </row>
    <row r="2045" spans="1:19" x14ac:dyDescent="0.45">
      <c r="A2045" t="str">
        <f t="shared" si="141"/>
        <v>11801</v>
      </c>
      <c r="B2045" t="s">
        <v>1122</v>
      </c>
      <c r="C2045" t="str">
        <f>"36402"</f>
        <v>36402</v>
      </c>
      <c r="D2045" t="s">
        <v>11405</v>
      </c>
      <c r="E2045" t="str">
        <f>"3575"</f>
        <v>3575</v>
      </c>
      <c r="F2045" t="s">
        <v>11414</v>
      </c>
      <c r="G2045">
        <v>7</v>
      </c>
      <c r="H2045">
        <v>12</v>
      </c>
      <c r="I2045" t="s">
        <v>11407</v>
      </c>
      <c r="J2045" t="s">
        <v>11415</v>
      </c>
      <c r="K2045" t="s">
        <v>11409</v>
      </c>
      <c r="L2045" t="s">
        <v>25</v>
      </c>
      <c r="M2045" t="s">
        <v>11410</v>
      </c>
      <c r="N2045" t="s">
        <v>11416</v>
      </c>
      <c r="O2045" t="s">
        <v>11412</v>
      </c>
      <c r="P2045" t="s">
        <v>11413</v>
      </c>
      <c r="Q2045" t="s">
        <v>30</v>
      </c>
      <c r="R2045" t="s">
        <v>31</v>
      </c>
      <c r="S2045" t="s">
        <v>159</v>
      </c>
    </row>
    <row r="2046" spans="1:19" x14ac:dyDescent="0.45">
      <c r="A2046" t="str">
        <f t="shared" ref="A2046:A2062" si="142">"29801"</f>
        <v>29801</v>
      </c>
      <c r="B2046" t="s">
        <v>2370</v>
      </c>
      <c r="C2046" t="str">
        <f t="shared" ref="C2046:C2062" si="143">"37501"</f>
        <v>37501</v>
      </c>
      <c r="D2046" t="s">
        <v>2437</v>
      </c>
      <c r="E2046" t="str">
        <f>"1647"</f>
        <v>1647</v>
      </c>
      <c r="F2046" t="s">
        <v>11417</v>
      </c>
      <c r="G2046">
        <v>9</v>
      </c>
      <c r="H2046">
        <v>12</v>
      </c>
      <c r="I2046" t="s">
        <v>11418</v>
      </c>
      <c r="K2046" t="s">
        <v>2440</v>
      </c>
      <c r="L2046" t="s">
        <v>25</v>
      </c>
      <c r="M2046" t="s">
        <v>11419</v>
      </c>
      <c r="N2046" t="s">
        <v>11420</v>
      </c>
      <c r="O2046" t="s">
        <v>11421</v>
      </c>
      <c r="P2046" t="s">
        <v>11422</v>
      </c>
      <c r="Q2046" t="s">
        <v>157</v>
      </c>
      <c r="R2046" t="s">
        <v>158</v>
      </c>
      <c r="S2046" t="s">
        <v>58</v>
      </c>
    </row>
    <row r="2047" spans="1:19" x14ac:dyDescent="0.45">
      <c r="A2047" t="str">
        <f t="shared" si="142"/>
        <v>29801</v>
      </c>
      <c r="B2047" t="s">
        <v>2370</v>
      </c>
      <c r="C2047" t="str">
        <f t="shared" si="143"/>
        <v>37501</v>
      </c>
      <c r="D2047" t="s">
        <v>2437</v>
      </c>
      <c r="E2047" t="str">
        <f>"1799"</f>
        <v>1799</v>
      </c>
      <c r="F2047" t="s">
        <v>11423</v>
      </c>
      <c r="G2047">
        <v>6</v>
      </c>
      <c r="H2047">
        <v>12</v>
      </c>
      <c r="I2047" t="s">
        <v>11424</v>
      </c>
      <c r="K2047" t="s">
        <v>2440</v>
      </c>
      <c r="L2047" t="s">
        <v>25</v>
      </c>
      <c r="M2047" t="s">
        <v>11419</v>
      </c>
      <c r="N2047" t="s">
        <v>11425</v>
      </c>
      <c r="O2047" t="s">
        <v>11426</v>
      </c>
      <c r="P2047" t="s">
        <v>11427</v>
      </c>
      <c r="Q2047" t="s">
        <v>157</v>
      </c>
      <c r="R2047" t="s">
        <v>158</v>
      </c>
      <c r="S2047" t="s">
        <v>159</v>
      </c>
    </row>
    <row r="2048" spans="1:19" x14ac:dyDescent="0.45">
      <c r="A2048" t="str">
        <f t="shared" si="142"/>
        <v>29801</v>
      </c>
      <c r="B2048" t="s">
        <v>2370</v>
      </c>
      <c r="C2048" t="str">
        <f t="shared" si="143"/>
        <v>37501</v>
      </c>
      <c r="D2048" t="s">
        <v>2437</v>
      </c>
      <c r="E2048" t="str">
        <f>"2066"</f>
        <v>2066</v>
      </c>
      <c r="F2048" t="s">
        <v>11428</v>
      </c>
      <c r="G2048">
        <v>6</v>
      </c>
      <c r="H2048">
        <v>8</v>
      </c>
      <c r="I2048" t="s">
        <v>11429</v>
      </c>
      <c r="K2048" t="s">
        <v>2440</v>
      </c>
      <c r="L2048" t="s">
        <v>25</v>
      </c>
      <c r="M2048" t="s">
        <v>11430</v>
      </c>
      <c r="N2048" t="s">
        <v>11431</v>
      </c>
      <c r="O2048" t="s">
        <v>11432</v>
      </c>
      <c r="P2048" t="s">
        <v>11433</v>
      </c>
      <c r="Q2048" t="s">
        <v>30</v>
      </c>
      <c r="R2048" t="s">
        <v>31</v>
      </c>
      <c r="S2048" t="s">
        <v>104</v>
      </c>
    </row>
    <row r="2049" spans="1:19" x14ac:dyDescent="0.45">
      <c r="A2049" t="str">
        <f t="shared" si="142"/>
        <v>29801</v>
      </c>
      <c r="B2049" t="s">
        <v>2370</v>
      </c>
      <c r="C2049" t="str">
        <f t="shared" si="143"/>
        <v>37501</v>
      </c>
      <c r="D2049" t="s">
        <v>2437</v>
      </c>
      <c r="E2049" t="str">
        <f>"2067"</f>
        <v>2067</v>
      </c>
      <c r="F2049" t="s">
        <v>2077</v>
      </c>
      <c r="G2049" t="s">
        <v>22</v>
      </c>
      <c r="H2049">
        <v>5</v>
      </c>
      <c r="I2049" t="s">
        <v>11434</v>
      </c>
      <c r="K2049" t="s">
        <v>2440</v>
      </c>
      <c r="L2049" t="s">
        <v>25</v>
      </c>
      <c r="M2049" t="s">
        <v>11435</v>
      </c>
      <c r="N2049" t="s">
        <v>11436</v>
      </c>
      <c r="O2049" t="s">
        <v>11437</v>
      </c>
      <c r="P2049" t="s">
        <v>11438</v>
      </c>
      <c r="Q2049" t="s">
        <v>30</v>
      </c>
      <c r="R2049" t="s">
        <v>31</v>
      </c>
      <c r="S2049" t="s">
        <v>32</v>
      </c>
    </row>
    <row r="2050" spans="1:19" x14ac:dyDescent="0.45">
      <c r="A2050" t="str">
        <f t="shared" si="142"/>
        <v>29801</v>
      </c>
      <c r="B2050" t="s">
        <v>2370</v>
      </c>
      <c r="C2050" t="str">
        <f t="shared" si="143"/>
        <v>37501</v>
      </c>
      <c r="D2050" t="s">
        <v>2437</v>
      </c>
      <c r="E2050" t="str">
        <f>"2075"</f>
        <v>2075</v>
      </c>
      <c r="F2050" t="s">
        <v>11439</v>
      </c>
      <c r="G2050">
        <v>6</v>
      </c>
      <c r="H2050">
        <v>8</v>
      </c>
      <c r="I2050" t="s">
        <v>11440</v>
      </c>
      <c r="K2050" t="s">
        <v>2440</v>
      </c>
      <c r="L2050" t="s">
        <v>25</v>
      </c>
      <c r="M2050" t="s">
        <v>11441</v>
      </c>
      <c r="N2050" t="s">
        <v>11442</v>
      </c>
      <c r="O2050" t="s">
        <v>11443</v>
      </c>
      <c r="P2050" t="s">
        <v>11444</v>
      </c>
      <c r="Q2050" t="s">
        <v>30</v>
      </c>
      <c r="R2050" t="s">
        <v>31</v>
      </c>
      <c r="S2050" t="s">
        <v>104</v>
      </c>
    </row>
    <row r="2051" spans="1:19" x14ac:dyDescent="0.45">
      <c r="A2051" t="str">
        <f t="shared" si="142"/>
        <v>29801</v>
      </c>
      <c r="B2051" t="s">
        <v>2370</v>
      </c>
      <c r="C2051" t="str">
        <f t="shared" si="143"/>
        <v>37501</v>
      </c>
      <c r="D2051" t="s">
        <v>2437</v>
      </c>
      <c r="E2051" t="str">
        <f>"2175"</f>
        <v>2175</v>
      </c>
      <c r="F2051" t="s">
        <v>11445</v>
      </c>
      <c r="G2051" t="s">
        <v>22</v>
      </c>
      <c r="H2051">
        <v>5</v>
      </c>
      <c r="I2051" t="s">
        <v>11446</v>
      </c>
      <c r="K2051" t="s">
        <v>2440</v>
      </c>
      <c r="L2051" t="s">
        <v>25</v>
      </c>
      <c r="M2051" t="s">
        <v>11447</v>
      </c>
      <c r="N2051" t="s">
        <v>11448</v>
      </c>
      <c r="O2051" t="s">
        <v>11449</v>
      </c>
      <c r="P2051" t="s">
        <v>11450</v>
      </c>
      <c r="Q2051" t="s">
        <v>30</v>
      </c>
      <c r="R2051" t="s">
        <v>31</v>
      </c>
      <c r="S2051" t="s">
        <v>32</v>
      </c>
    </row>
    <row r="2052" spans="1:19" x14ac:dyDescent="0.45">
      <c r="A2052" t="str">
        <f t="shared" si="142"/>
        <v>29801</v>
      </c>
      <c r="B2052" t="s">
        <v>2370</v>
      </c>
      <c r="C2052" t="str">
        <f t="shared" si="143"/>
        <v>37501</v>
      </c>
      <c r="D2052" t="s">
        <v>2437</v>
      </c>
      <c r="E2052" t="str">
        <f>"2225"</f>
        <v>2225</v>
      </c>
      <c r="F2052" t="s">
        <v>11451</v>
      </c>
      <c r="G2052" t="s">
        <v>22</v>
      </c>
      <c r="H2052">
        <v>5</v>
      </c>
      <c r="I2052" t="s">
        <v>11452</v>
      </c>
      <c r="K2052" t="s">
        <v>2440</v>
      </c>
      <c r="L2052" t="s">
        <v>25</v>
      </c>
      <c r="M2052" t="s">
        <v>11453</v>
      </c>
      <c r="N2052" t="s">
        <v>11454</v>
      </c>
      <c r="O2052" t="s">
        <v>11455</v>
      </c>
      <c r="P2052" t="s">
        <v>11456</v>
      </c>
      <c r="Q2052" t="s">
        <v>30</v>
      </c>
      <c r="R2052" t="s">
        <v>31</v>
      </c>
      <c r="S2052" t="s">
        <v>32</v>
      </c>
    </row>
    <row r="2053" spans="1:19" x14ac:dyDescent="0.45">
      <c r="A2053" t="str">
        <f t="shared" si="142"/>
        <v>29801</v>
      </c>
      <c r="B2053" t="s">
        <v>2370</v>
      </c>
      <c r="C2053" t="str">
        <f t="shared" si="143"/>
        <v>37501</v>
      </c>
      <c r="D2053" t="s">
        <v>2437</v>
      </c>
      <c r="E2053" t="str">
        <f>"2262"</f>
        <v>2262</v>
      </c>
      <c r="F2053" t="s">
        <v>11457</v>
      </c>
      <c r="G2053" t="s">
        <v>22</v>
      </c>
      <c r="H2053">
        <v>5</v>
      </c>
      <c r="I2053" t="s">
        <v>11458</v>
      </c>
      <c r="K2053" t="s">
        <v>2440</v>
      </c>
      <c r="L2053" t="s">
        <v>25</v>
      </c>
      <c r="M2053" t="s">
        <v>11459</v>
      </c>
      <c r="N2053" t="s">
        <v>11460</v>
      </c>
      <c r="O2053" t="s">
        <v>11461</v>
      </c>
      <c r="P2053" t="s">
        <v>11462</v>
      </c>
      <c r="Q2053" t="s">
        <v>30</v>
      </c>
      <c r="R2053" t="s">
        <v>31</v>
      </c>
      <c r="S2053" t="s">
        <v>32</v>
      </c>
    </row>
    <row r="2054" spans="1:19" x14ac:dyDescent="0.45">
      <c r="A2054" t="str">
        <f t="shared" si="142"/>
        <v>29801</v>
      </c>
      <c r="B2054" t="s">
        <v>2370</v>
      </c>
      <c r="C2054" t="str">
        <f t="shared" si="143"/>
        <v>37501</v>
      </c>
      <c r="D2054" t="s">
        <v>2437</v>
      </c>
      <c r="E2054" t="str">
        <f>"2365"</f>
        <v>2365</v>
      </c>
      <c r="F2054" t="s">
        <v>1682</v>
      </c>
      <c r="G2054" t="s">
        <v>22</v>
      </c>
      <c r="H2054">
        <v>5</v>
      </c>
      <c r="I2054" t="s">
        <v>11463</v>
      </c>
      <c r="K2054" t="s">
        <v>2440</v>
      </c>
      <c r="L2054" t="s">
        <v>25</v>
      </c>
      <c r="M2054" t="s">
        <v>11464</v>
      </c>
      <c r="N2054" t="s">
        <v>11465</v>
      </c>
      <c r="O2054" t="s">
        <v>11466</v>
      </c>
      <c r="P2054" t="s">
        <v>11467</v>
      </c>
      <c r="Q2054" t="s">
        <v>30</v>
      </c>
      <c r="R2054" t="s">
        <v>31</v>
      </c>
      <c r="S2054" t="s">
        <v>32</v>
      </c>
    </row>
    <row r="2055" spans="1:19" x14ac:dyDescent="0.45">
      <c r="A2055" t="str">
        <f t="shared" si="142"/>
        <v>29801</v>
      </c>
      <c r="B2055" t="s">
        <v>2370</v>
      </c>
      <c r="C2055" t="str">
        <f t="shared" si="143"/>
        <v>37501</v>
      </c>
      <c r="D2055" t="s">
        <v>2437</v>
      </c>
      <c r="E2055" t="str">
        <f>"2387"</f>
        <v>2387</v>
      </c>
      <c r="F2055" t="s">
        <v>11468</v>
      </c>
      <c r="G2055" t="s">
        <v>22</v>
      </c>
      <c r="H2055">
        <v>5</v>
      </c>
      <c r="I2055" t="s">
        <v>11469</v>
      </c>
      <c r="K2055" t="s">
        <v>2440</v>
      </c>
      <c r="L2055" t="s">
        <v>25</v>
      </c>
      <c r="M2055" t="s">
        <v>11470</v>
      </c>
      <c r="N2055" t="s">
        <v>11471</v>
      </c>
      <c r="O2055" t="s">
        <v>11472</v>
      </c>
      <c r="P2055" t="s">
        <v>11473</v>
      </c>
      <c r="Q2055" t="s">
        <v>30</v>
      </c>
      <c r="R2055" t="s">
        <v>31</v>
      </c>
      <c r="S2055" t="s">
        <v>32</v>
      </c>
    </row>
    <row r="2056" spans="1:19" x14ac:dyDescent="0.45">
      <c r="A2056" t="str">
        <f t="shared" si="142"/>
        <v>29801</v>
      </c>
      <c r="B2056" t="s">
        <v>2370</v>
      </c>
      <c r="C2056" t="str">
        <f t="shared" si="143"/>
        <v>37501</v>
      </c>
      <c r="D2056" t="s">
        <v>2437</v>
      </c>
      <c r="E2056" t="str">
        <f>"2431"</f>
        <v>2431</v>
      </c>
      <c r="F2056" t="s">
        <v>11474</v>
      </c>
      <c r="G2056" t="s">
        <v>22</v>
      </c>
      <c r="H2056">
        <v>5</v>
      </c>
      <c r="I2056" t="s">
        <v>11475</v>
      </c>
      <c r="K2056" t="s">
        <v>2440</v>
      </c>
      <c r="L2056" t="s">
        <v>25</v>
      </c>
      <c r="M2056" t="s">
        <v>11476</v>
      </c>
      <c r="N2056" t="s">
        <v>11477</v>
      </c>
      <c r="O2056" t="s">
        <v>11478</v>
      </c>
      <c r="P2056" t="s">
        <v>11473</v>
      </c>
      <c r="Q2056" t="s">
        <v>30</v>
      </c>
      <c r="R2056" t="s">
        <v>31</v>
      </c>
      <c r="S2056" t="s">
        <v>32</v>
      </c>
    </row>
    <row r="2057" spans="1:19" x14ac:dyDescent="0.45">
      <c r="A2057" t="str">
        <f t="shared" si="142"/>
        <v>29801</v>
      </c>
      <c r="B2057" t="s">
        <v>2370</v>
      </c>
      <c r="C2057" t="str">
        <f t="shared" si="143"/>
        <v>37501</v>
      </c>
      <c r="D2057" t="s">
        <v>2437</v>
      </c>
      <c r="E2057" t="str">
        <f>"2553"</f>
        <v>2553</v>
      </c>
      <c r="F2057" t="s">
        <v>11479</v>
      </c>
      <c r="G2057">
        <v>9</v>
      </c>
      <c r="H2057">
        <v>12</v>
      </c>
      <c r="I2057" t="s">
        <v>11480</v>
      </c>
      <c r="K2057" t="s">
        <v>2440</v>
      </c>
      <c r="L2057" t="s">
        <v>25</v>
      </c>
      <c r="M2057" t="s">
        <v>11481</v>
      </c>
      <c r="N2057" t="s">
        <v>11482</v>
      </c>
      <c r="O2057" t="s">
        <v>11483</v>
      </c>
      <c r="P2057" t="s">
        <v>11484</v>
      </c>
      <c r="Q2057" t="s">
        <v>30</v>
      </c>
      <c r="R2057" t="s">
        <v>31</v>
      </c>
      <c r="S2057" t="s">
        <v>58</v>
      </c>
    </row>
    <row r="2058" spans="1:19" x14ac:dyDescent="0.45">
      <c r="A2058" t="str">
        <f t="shared" si="142"/>
        <v>29801</v>
      </c>
      <c r="B2058" t="s">
        <v>2370</v>
      </c>
      <c r="C2058" t="str">
        <f t="shared" si="143"/>
        <v>37501</v>
      </c>
      <c r="D2058" t="s">
        <v>2437</v>
      </c>
      <c r="E2058" t="str">
        <f>"2817"</f>
        <v>2817</v>
      </c>
      <c r="F2058" t="s">
        <v>11485</v>
      </c>
      <c r="G2058" t="s">
        <v>22</v>
      </c>
      <c r="H2058">
        <v>5</v>
      </c>
      <c r="I2058" t="s">
        <v>11486</v>
      </c>
      <c r="K2058" t="s">
        <v>2440</v>
      </c>
      <c r="L2058" t="s">
        <v>25</v>
      </c>
      <c r="M2058" t="s">
        <v>11487</v>
      </c>
      <c r="N2058" t="s">
        <v>11488</v>
      </c>
      <c r="O2058" t="s">
        <v>11489</v>
      </c>
      <c r="P2058" t="s">
        <v>11490</v>
      </c>
      <c r="Q2058" t="s">
        <v>30</v>
      </c>
      <c r="R2058" t="s">
        <v>31</v>
      </c>
      <c r="S2058" t="s">
        <v>32</v>
      </c>
    </row>
    <row r="2059" spans="1:19" x14ac:dyDescent="0.45">
      <c r="A2059" t="str">
        <f t="shared" si="142"/>
        <v>29801</v>
      </c>
      <c r="B2059" t="s">
        <v>2370</v>
      </c>
      <c r="C2059" t="str">
        <f t="shared" si="143"/>
        <v>37501</v>
      </c>
      <c r="D2059" t="s">
        <v>2437</v>
      </c>
      <c r="E2059" t="str">
        <f>"3134"</f>
        <v>3134</v>
      </c>
      <c r="F2059" t="s">
        <v>11491</v>
      </c>
      <c r="G2059" t="s">
        <v>22</v>
      </c>
      <c r="H2059">
        <v>5</v>
      </c>
      <c r="I2059" t="s">
        <v>11492</v>
      </c>
      <c r="K2059" t="s">
        <v>2440</v>
      </c>
      <c r="L2059" t="s">
        <v>25</v>
      </c>
      <c r="M2059" t="s">
        <v>11493</v>
      </c>
      <c r="N2059" t="s">
        <v>11494</v>
      </c>
      <c r="O2059" t="s">
        <v>11495</v>
      </c>
      <c r="P2059" t="s">
        <v>11496</v>
      </c>
      <c r="Q2059" t="s">
        <v>30</v>
      </c>
      <c r="R2059" t="s">
        <v>31</v>
      </c>
      <c r="S2059" t="s">
        <v>32</v>
      </c>
    </row>
    <row r="2060" spans="1:19" x14ac:dyDescent="0.45">
      <c r="A2060" t="str">
        <f t="shared" si="142"/>
        <v>29801</v>
      </c>
      <c r="B2060" t="s">
        <v>2370</v>
      </c>
      <c r="C2060" t="str">
        <f t="shared" si="143"/>
        <v>37501</v>
      </c>
      <c r="D2060" t="s">
        <v>2437</v>
      </c>
      <c r="E2060" t="str">
        <f>"3200"</f>
        <v>3200</v>
      </c>
      <c r="F2060" t="s">
        <v>11497</v>
      </c>
      <c r="G2060" t="s">
        <v>22</v>
      </c>
      <c r="H2060">
        <v>5</v>
      </c>
      <c r="I2060" t="s">
        <v>11498</v>
      </c>
      <c r="K2060" t="s">
        <v>2440</v>
      </c>
      <c r="L2060" t="s">
        <v>25</v>
      </c>
      <c r="M2060" t="s">
        <v>11499</v>
      </c>
      <c r="N2060" t="s">
        <v>11500</v>
      </c>
      <c r="O2060" t="s">
        <v>11501</v>
      </c>
      <c r="P2060" t="s">
        <v>11502</v>
      </c>
      <c r="Q2060" t="s">
        <v>30</v>
      </c>
      <c r="R2060" t="s">
        <v>31</v>
      </c>
      <c r="S2060" t="s">
        <v>32</v>
      </c>
    </row>
    <row r="2061" spans="1:19" x14ac:dyDescent="0.45">
      <c r="A2061" t="str">
        <f t="shared" si="142"/>
        <v>29801</v>
      </c>
      <c r="B2061" t="s">
        <v>2370</v>
      </c>
      <c r="C2061" t="str">
        <f t="shared" si="143"/>
        <v>37501</v>
      </c>
      <c r="D2061" t="s">
        <v>2437</v>
      </c>
      <c r="E2061" t="str">
        <f>"3201"</f>
        <v>3201</v>
      </c>
      <c r="F2061" t="s">
        <v>11503</v>
      </c>
      <c r="G2061">
        <v>6</v>
      </c>
      <c r="H2061">
        <v>8</v>
      </c>
      <c r="I2061" t="s">
        <v>11504</v>
      </c>
      <c r="K2061" t="s">
        <v>2440</v>
      </c>
      <c r="L2061" t="s">
        <v>25</v>
      </c>
      <c r="M2061" t="s">
        <v>11505</v>
      </c>
      <c r="N2061" t="s">
        <v>11506</v>
      </c>
      <c r="O2061" t="s">
        <v>11507</v>
      </c>
      <c r="P2061" t="s">
        <v>11508</v>
      </c>
      <c r="Q2061" t="s">
        <v>30</v>
      </c>
      <c r="R2061" t="s">
        <v>31</v>
      </c>
      <c r="S2061" t="s">
        <v>104</v>
      </c>
    </row>
    <row r="2062" spans="1:19" x14ac:dyDescent="0.45">
      <c r="A2062" t="str">
        <f t="shared" si="142"/>
        <v>29801</v>
      </c>
      <c r="B2062" t="s">
        <v>2370</v>
      </c>
      <c r="C2062" t="str">
        <f t="shared" si="143"/>
        <v>37501</v>
      </c>
      <c r="D2062" t="s">
        <v>2437</v>
      </c>
      <c r="E2062" t="str">
        <f>"3202"</f>
        <v>3202</v>
      </c>
      <c r="F2062" t="s">
        <v>11509</v>
      </c>
      <c r="G2062" t="s">
        <v>22</v>
      </c>
      <c r="H2062">
        <v>5</v>
      </c>
      <c r="I2062" t="s">
        <v>11510</v>
      </c>
      <c r="K2062" t="s">
        <v>2440</v>
      </c>
      <c r="L2062" t="s">
        <v>25</v>
      </c>
      <c r="M2062" t="s">
        <v>11511</v>
      </c>
      <c r="N2062" t="s">
        <v>11512</v>
      </c>
      <c r="O2062" t="s">
        <v>11513</v>
      </c>
      <c r="P2062" t="s">
        <v>11514</v>
      </c>
      <c r="Q2062" t="s">
        <v>30</v>
      </c>
      <c r="R2062" t="s">
        <v>31</v>
      </c>
      <c r="S2062" t="s">
        <v>32</v>
      </c>
    </row>
    <row r="2063" spans="1:19" x14ac:dyDescent="0.45">
      <c r="A2063" t="str">
        <f>"OSPI"</f>
        <v>OSPI</v>
      </c>
      <c r="B2063" t="s">
        <v>1763</v>
      </c>
      <c r="C2063" t="str">
        <f>"29801"</f>
        <v>29801</v>
      </c>
      <c r="D2063" t="s">
        <v>2370</v>
      </c>
      <c r="E2063" t="str">
        <f>"3420"</f>
        <v>3420</v>
      </c>
      <c r="F2063" t="s">
        <v>11515</v>
      </c>
      <c r="G2063">
        <v>8</v>
      </c>
      <c r="H2063">
        <v>12</v>
      </c>
      <c r="I2063" t="s">
        <v>11516</v>
      </c>
      <c r="K2063" t="s">
        <v>11517</v>
      </c>
      <c r="L2063" t="s">
        <v>25</v>
      </c>
      <c r="M2063" t="s">
        <v>11518</v>
      </c>
      <c r="N2063" t="s">
        <v>9013</v>
      </c>
      <c r="O2063" t="s">
        <v>9014</v>
      </c>
      <c r="P2063" t="s">
        <v>3188</v>
      </c>
      <c r="Q2063" t="s">
        <v>1312</v>
      </c>
      <c r="R2063" t="s">
        <v>1313</v>
      </c>
      <c r="S2063" t="s">
        <v>58</v>
      </c>
    </row>
    <row r="2064" spans="1:19" x14ac:dyDescent="0.45">
      <c r="A2064" t="str">
        <f t="shared" ref="A2064:A2100" si="144">"29801"</f>
        <v>29801</v>
      </c>
      <c r="B2064" t="s">
        <v>2370</v>
      </c>
      <c r="C2064" t="str">
        <f>"37501"</f>
        <v>37501</v>
      </c>
      <c r="D2064" t="s">
        <v>2437</v>
      </c>
      <c r="E2064" t="str">
        <f>"3576"</f>
        <v>3576</v>
      </c>
      <c r="F2064" t="s">
        <v>11519</v>
      </c>
      <c r="G2064">
        <v>9</v>
      </c>
      <c r="H2064">
        <v>12</v>
      </c>
      <c r="I2064" t="s">
        <v>11520</v>
      </c>
      <c r="K2064" t="s">
        <v>2440</v>
      </c>
      <c r="L2064" t="s">
        <v>25</v>
      </c>
      <c r="M2064" t="s">
        <v>11419</v>
      </c>
      <c r="N2064" t="s">
        <v>11521</v>
      </c>
      <c r="O2064" t="s">
        <v>11522</v>
      </c>
      <c r="P2064" t="s">
        <v>11523</v>
      </c>
      <c r="Q2064" t="s">
        <v>30</v>
      </c>
      <c r="R2064" t="s">
        <v>31</v>
      </c>
      <c r="S2064" t="s">
        <v>58</v>
      </c>
    </row>
    <row r="2065" spans="1:19" x14ac:dyDescent="0.45">
      <c r="A2065" t="str">
        <f t="shared" si="144"/>
        <v>29801</v>
      </c>
      <c r="B2065" t="s">
        <v>2370</v>
      </c>
      <c r="C2065" t="str">
        <f>"37501"</f>
        <v>37501</v>
      </c>
      <c r="D2065" t="s">
        <v>2437</v>
      </c>
      <c r="E2065" t="str">
        <f>"4442"</f>
        <v>4442</v>
      </c>
      <c r="F2065" t="s">
        <v>11524</v>
      </c>
      <c r="G2065">
        <v>6</v>
      </c>
      <c r="H2065">
        <v>8</v>
      </c>
      <c r="I2065" t="s">
        <v>11525</v>
      </c>
      <c r="K2065" t="s">
        <v>2440</v>
      </c>
      <c r="L2065" t="s">
        <v>25</v>
      </c>
      <c r="M2065" t="s">
        <v>11526</v>
      </c>
      <c r="N2065" t="s">
        <v>11527</v>
      </c>
      <c r="O2065" t="s">
        <v>11528</v>
      </c>
      <c r="P2065" t="s">
        <v>11529</v>
      </c>
      <c r="Q2065" t="s">
        <v>30</v>
      </c>
      <c r="R2065" t="s">
        <v>31</v>
      </c>
      <c r="S2065" t="s">
        <v>104</v>
      </c>
    </row>
    <row r="2066" spans="1:19" x14ac:dyDescent="0.45">
      <c r="A2066" t="str">
        <f t="shared" si="144"/>
        <v>29801</v>
      </c>
      <c r="B2066" t="s">
        <v>2370</v>
      </c>
      <c r="C2066" t="str">
        <f>"37501"</f>
        <v>37501</v>
      </c>
      <c r="D2066" t="s">
        <v>2437</v>
      </c>
      <c r="E2066" t="str">
        <f>"4515"</f>
        <v>4515</v>
      </c>
      <c r="F2066" t="s">
        <v>11530</v>
      </c>
      <c r="G2066">
        <v>9</v>
      </c>
      <c r="H2066">
        <v>12</v>
      </c>
      <c r="I2066" t="s">
        <v>11531</v>
      </c>
      <c r="K2066" t="s">
        <v>2440</v>
      </c>
      <c r="L2066" t="s">
        <v>25</v>
      </c>
      <c r="M2066" t="s">
        <v>11532</v>
      </c>
      <c r="N2066" t="s">
        <v>11533</v>
      </c>
      <c r="O2066" t="s">
        <v>11534</v>
      </c>
      <c r="P2066" t="s">
        <v>11535</v>
      </c>
      <c r="Q2066" t="s">
        <v>30</v>
      </c>
      <c r="R2066" t="s">
        <v>31</v>
      </c>
      <c r="S2066" t="s">
        <v>58</v>
      </c>
    </row>
    <row r="2067" spans="1:19" x14ac:dyDescent="0.45">
      <c r="A2067" t="str">
        <f t="shared" si="144"/>
        <v>29801</v>
      </c>
      <c r="B2067" t="s">
        <v>2370</v>
      </c>
      <c r="C2067" t="str">
        <f>"37501"</f>
        <v>37501</v>
      </c>
      <c r="D2067" t="s">
        <v>2437</v>
      </c>
      <c r="E2067" t="str">
        <f>"4571"</f>
        <v>4571</v>
      </c>
      <c r="F2067" t="s">
        <v>11536</v>
      </c>
      <c r="G2067" t="s">
        <v>22</v>
      </c>
      <c r="H2067">
        <v>5</v>
      </c>
      <c r="I2067" t="s">
        <v>11537</v>
      </c>
      <c r="K2067" t="s">
        <v>2440</v>
      </c>
      <c r="L2067" t="s">
        <v>25</v>
      </c>
      <c r="M2067" t="s">
        <v>11538</v>
      </c>
      <c r="N2067" t="s">
        <v>11539</v>
      </c>
      <c r="O2067" t="s">
        <v>11540</v>
      </c>
      <c r="P2067" t="s">
        <v>11541</v>
      </c>
      <c r="Q2067" t="s">
        <v>30</v>
      </c>
      <c r="R2067" t="s">
        <v>31</v>
      </c>
      <c r="S2067" t="s">
        <v>32</v>
      </c>
    </row>
    <row r="2068" spans="1:19" x14ac:dyDescent="0.45">
      <c r="A2068" t="str">
        <f t="shared" si="144"/>
        <v>29801</v>
      </c>
      <c r="B2068" t="s">
        <v>2370</v>
      </c>
      <c r="C2068" t="str">
        <f t="shared" ref="C2068:C2075" si="145">"37502"</f>
        <v>37502</v>
      </c>
      <c r="D2068" t="s">
        <v>3011</v>
      </c>
      <c r="E2068" t="str">
        <f>"2263"</f>
        <v>2263</v>
      </c>
      <c r="F2068" t="s">
        <v>11542</v>
      </c>
      <c r="G2068" t="s">
        <v>70</v>
      </c>
      <c r="H2068">
        <v>5</v>
      </c>
      <c r="I2068" t="s">
        <v>11543</v>
      </c>
      <c r="K2068" t="s">
        <v>11544</v>
      </c>
      <c r="L2068" t="s">
        <v>25</v>
      </c>
      <c r="M2068" t="s">
        <v>11545</v>
      </c>
      <c r="N2068" t="s">
        <v>11546</v>
      </c>
      <c r="O2068" t="s">
        <v>11547</v>
      </c>
      <c r="P2068" t="s">
        <v>11548</v>
      </c>
      <c r="Q2068" t="s">
        <v>30</v>
      </c>
      <c r="R2068" t="s">
        <v>31</v>
      </c>
      <c r="S2068" t="s">
        <v>32</v>
      </c>
    </row>
    <row r="2069" spans="1:19" x14ac:dyDescent="0.45">
      <c r="A2069" t="str">
        <f t="shared" si="144"/>
        <v>29801</v>
      </c>
      <c r="B2069" t="s">
        <v>2370</v>
      </c>
      <c r="C2069" t="str">
        <f t="shared" si="145"/>
        <v>37502</v>
      </c>
      <c r="D2069" t="s">
        <v>3011</v>
      </c>
      <c r="E2069" t="str">
        <f>"2458"</f>
        <v>2458</v>
      </c>
      <c r="F2069" t="s">
        <v>9790</v>
      </c>
      <c r="G2069" t="s">
        <v>22</v>
      </c>
      <c r="H2069">
        <v>5</v>
      </c>
      <c r="I2069" t="s">
        <v>11549</v>
      </c>
      <c r="K2069" t="s">
        <v>3072</v>
      </c>
      <c r="L2069" t="s">
        <v>25</v>
      </c>
      <c r="M2069" t="s">
        <v>11550</v>
      </c>
      <c r="N2069" t="s">
        <v>11551</v>
      </c>
      <c r="O2069" t="s">
        <v>11552</v>
      </c>
      <c r="P2069" t="s">
        <v>11553</v>
      </c>
      <c r="Q2069" t="s">
        <v>30</v>
      </c>
      <c r="R2069" t="s">
        <v>31</v>
      </c>
      <c r="S2069" t="s">
        <v>32</v>
      </c>
    </row>
    <row r="2070" spans="1:19" x14ac:dyDescent="0.45">
      <c r="A2070" t="str">
        <f t="shared" si="144"/>
        <v>29801</v>
      </c>
      <c r="B2070" t="s">
        <v>2370</v>
      </c>
      <c r="C2070" t="str">
        <f t="shared" si="145"/>
        <v>37502</v>
      </c>
      <c r="D2070" t="s">
        <v>3011</v>
      </c>
      <c r="E2070" t="str">
        <f>"2488"</f>
        <v>2488</v>
      </c>
      <c r="F2070" t="s">
        <v>11554</v>
      </c>
      <c r="G2070">
        <v>9</v>
      </c>
      <c r="H2070">
        <v>12</v>
      </c>
      <c r="I2070" t="s">
        <v>11555</v>
      </c>
      <c r="K2070" t="s">
        <v>3072</v>
      </c>
      <c r="L2070" t="s">
        <v>25</v>
      </c>
      <c r="M2070" t="s">
        <v>11556</v>
      </c>
      <c r="N2070" t="s">
        <v>11557</v>
      </c>
      <c r="O2070" t="s">
        <v>11558</v>
      </c>
      <c r="P2070" t="s">
        <v>11559</v>
      </c>
      <c r="Q2070" t="s">
        <v>30</v>
      </c>
      <c r="R2070" t="s">
        <v>31</v>
      </c>
      <c r="S2070" t="s">
        <v>58</v>
      </c>
    </row>
    <row r="2071" spans="1:19" x14ac:dyDescent="0.45">
      <c r="A2071" t="str">
        <f t="shared" si="144"/>
        <v>29801</v>
      </c>
      <c r="B2071" t="s">
        <v>2370</v>
      </c>
      <c r="C2071" t="str">
        <f t="shared" si="145"/>
        <v>37502</v>
      </c>
      <c r="D2071" t="s">
        <v>3011</v>
      </c>
      <c r="E2071" t="str">
        <f>"2607"</f>
        <v>2607</v>
      </c>
      <c r="F2071" t="s">
        <v>11560</v>
      </c>
      <c r="G2071" t="s">
        <v>70</v>
      </c>
      <c r="H2071">
        <v>5</v>
      </c>
      <c r="I2071" t="s">
        <v>11561</v>
      </c>
      <c r="K2071" t="s">
        <v>11562</v>
      </c>
      <c r="L2071" t="s">
        <v>25</v>
      </c>
      <c r="M2071" t="s">
        <v>11563</v>
      </c>
      <c r="N2071" t="s">
        <v>11564</v>
      </c>
      <c r="O2071" t="s">
        <v>11565</v>
      </c>
      <c r="P2071" t="s">
        <v>11566</v>
      </c>
      <c r="Q2071" t="s">
        <v>30</v>
      </c>
      <c r="R2071" t="s">
        <v>31</v>
      </c>
      <c r="S2071" t="s">
        <v>32</v>
      </c>
    </row>
    <row r="2072" spans="1:19" x14ac:dyDescent="0.45">
      <c r="A2072" t="str">
        <f t="shared" si="144"/>
        <v>29801</v>
      </c>
      <c r="B2072" t="s">
        <v>2370</v>
      </c>
      <c r="C2072" t="str">
        <f t="shared" si="145"/>
        <v>37502</v>
      </c>
      <c r="D2072" t="s">
        <v>3011</v>
      </c>
      <c r="E2072" t="str">
        <f>"3762"</f>
        <v>3762</v>
      </c>
      <c r="F2072" t="s">
        <v>11567</v>
      </c>
      <c r="G2072">
        <v>6</v>
      </c>
      <c r="H2072">
        <v>8</v>
      </c>
      <c r="I2072" t="s">
        <v>11568</v>
      </c>
      <c r="K2072" t="s">
        <v>3072</v>
      </c>
      <c r="L2072" t="s">
        <v>25</v>
      </c>
      <c r="M2072" t="s">
        <v>11569</v>
      </c>
      <c r="N2072" t="s">
        <v>11570</v>
      </c>
      <c r="O2072" t="s">
        <v>11571</v>
      </c>
      <c r="P2072" t="s">
        <v>11572</v>
      </c>
      <c r="Q2072" t="s">
        <v>30</v>
      </c>
      <c r="R2072" t="s">
        <v>31</v>
      </c>
      <c r="S2072" t="s">
        <v>104</v>
      </c>
    </row>
    <row r="2073" spans="1:19" x14ac:dyDescent="0.45">
      <c r="A2073" t="str">
        <f t="shared" si="144"/>
        <v>29801</v>
      </c>
      <c r="B2073" t="s">
        <v>2370</v>
      </c>
      <c r="C2073" t="str">
        <f t="shared" si="145"/>
        <v>37502</v>
      </c>
      <c r="D2073" t="s">
        <v>3011</v>
      </c>
      <c r="E2073" t="str">
        <f>"4130"</f>
        <v>4130</v>
      </c>
      <c r="F2073" t="s">
        <v>11573</v>
      </c>
      <c r="G2073" t="s">
        <v>70</v>
      </c>
      <c r="H2073">
        <v>5</v>
      </c>
      <c r="I2073" t="s">
        <v>11574</v>
      </c>
      <c r="K2073" t="s">
        <v>3072</v>
      </c>
      <c r="L2073" t="s">
        <v>25</v>
      </c>
      <c r="M2073" t="s">
        <v>11550</v>
      </c>
      <c r="N2073" t="s">
        <v>11575</v>
      </c>
      <c r="O2073" t="s">
        <v>11576</v>
      </c>
      <c r="P2073" t="s">
        <v>11577</v>
      </c>
      <c r="Q2073" t="s">
        <v>30</v>
      </c>
      <c r="R2073" t="s">
        <v>31</v>
      </c>
      <c r="S2073" t="s">
        <v>32</v>
      </c>
    </row>
    <row r="2074" spans="1:19" x14ac:dyDescent="0.45">
      <c r="A2074" t="str">
        <f t="shared" si="144"/>
        <v>29801</v>
      </c>
      <c r="B2074" t="s">
        <v>2370</v>
      </c>
      <c r="C2074" t="str">
        <f t="shared" si="145"/>
        <v>37502</v>
      </c>
      <c r="D2074" t="s">
        <v>3011</v>
      </c>
      <c r="E2074" t="str">
        <f>"4482"</f>
        <v>4482</v>
      </c>
      <c r="F2074" t="s">
        <v>11578</v>
      </c>
      <c r="G2074" t="s">
        <v>70</v>
      </c>
      <c r="H2074">
        <v>5</v>
      </c>
      <c r="I2074" t="s">
        <v>11579</v>
      </c>
      <c r="K2074" t="s">
        <v>3072</v>
      </c>
      <c r="L2074" t="s">
        <v>25</v>
      </c>
      <c r="M2074" t="s">
        <v>11580</v>
      </c>
      <c r="N2074" t="s">
        <v>11581</v>
      </c>
      <c r="O2074" t="s">
        <v>11582</v>
      </c>
      <c r="P2074" t="s">
        <v>11583</v>
      </c>
      <c r="Q2074" t="s">
        <v>30</v>
      </c>
      <c r="R2074" t="s">
        <v>31</v>
      </c>
      <c r="S2074" t="s">
        <v>32</v>
      </c>
    </row>
    <row r="2075" spans="1:19" x14ac:dyDescent="0.45">
      <c r="A2075" t="str">
        <f t="shared" si="144"/>
        <v>29801</v>
      </c>
      <c r="B2075" t="s">
        <v>2370</v>
      </c>
      <c r="C2075" t="str">
        <f t="shared" si="145"/>
        <v>37502</v>
      </c>
      <c r="D2075" t="s">
        <v>3011</v>
      </c>
      <c r="E2075" t="str">
        <f>"4554"</f>
        <v>4554</v>
      </c>
      <c r="F2075" t="s">
        <v>10544</v>
      </c>
      <c r="G2075">
        <v>6</v>
      </c>
      <c r="H2075">
        <v>8</v>
      </c>
      <c r="I2075" t="s">
        <v>11584</v>
      </c>
      <c r="K2075" t="s">
        <v>3072</v>
      </c>
      <c r="L2075" t="s">
        <v>25</v>
      </c>
      <c r="M2075" t="s">
        <v>11580</v>
      </c>
      <c r="N2075" t="s">
        <v>11585</v>
      </c>
      <c r="O2075" t="s">
        <v>11586</v>
      </c>
      <c r="P2075" t="s">
        <v>11587</v>
      </c>
      <c r="Q2075" t="s">
        <v>30</v>
      </c>
      <c r="R2075" t="s">
        <v>31</v>
      </c>
      <c r="S2075" t="s">
        <v>104</v>
      </c>
    </row>
    <row r="2076" spans="1:19" x14ac:dyDescent="0.45">
      <c r="A2076" t="str">
        <f t="shared" si="144"/>
        <v>29801</v>
      </c>
      <c r="B2076" t="s">
        <v>2370</v>
      </c>
      <c r="C2076" t="str">
        <f>"37503"</f>
        <v>37503</v>
      </c>
      <c r="D2076" t="s">
        <v>3018</v>
      </c>
      <c r="E2076" t="str">
        <f>"2713"</f>
        <v>2713</v>
      </c>
      <c r="F2076" t="s">
        <v>11588</v>
      </c>
      <c r="G2076">
        <v>3</v>
      </c>
      <c r="H2076">
        <v>5</v>
      </c>
      <c r="I2076" t="s">
        <v>11589</v>
      </c>
      <c r="K2076" t="s">
        <v>11590</v>
      </c>
      <c r="L2076" t="s">
        <v>25</v>
      </c>
      <c r="M2076" t="s">
        <v>11591</v>
      </c>
      <c r="N2076" t="s">
        <v>11592</v>
      </c>
      <c r="O2076" t="s">
        <v>11593</v>
      </c>
      <c r="P2076" t="s">
        <v>11594</v>
      </c>
      <c r="Q2076" t="s">
        <v>30</v>
      </c>
      <c r="R2076" t="s">
        <v>31</v>
      </c>
      <c r="S2076" t="s">
        <v>32</v>
      </c>
    </row>
    <row r="2077" spans="1:19" x14ac:dyDescent="0.45">
      <c r="A2077" t="str">
        <f t="shared" si="144"/>
        <v>29801</v>
      </c>
      <c r="B2077" t="s">
        <v>2370</v>
      </c>
      <c r="C2077" t="str">
        <f>"37503"</f>
        <v>37503</v>
      </c>
      <c r="D2077" t="s">
        <v>3018</v>
      </c>
      <c r="E2077" t="str">
        <f>"3136"</f>
        <v>3136</v>
      </c>
      <c r="F2077" t="s">
        <v>11595</v>
      </c>
      <c r="G2077">
        <v>9</v>
      </c>
      <c r="H2077">
        <v>12</v>
      </c>
      <c r="I2077" t="s">
        <v>11596</v>
      </c>
      <c r="K2077" t="s">
        <v>11590</v>
      </c>
      <c r="L2077" t="s">
        <v>25</v>
      </c>
      <c r="M2077" t="s">
        <v>11591</v>
      </c>
      <c r="N2077" t="s">
        <v>3022</v>
      </c>
      <c r="O2077" t="s">
        <v>11597</v>
      </c>
      <c r="P2077" t="s">
        <v>3024</v>
      </c>
      <c r="Q2077" t="s">
        <v>30</v>
      </c>
      <c r="R2077" t="s">
        <v>31</v>
      </c>
      <c r="S2077" t="s">
        <v>58</v>
      </c>
    </row>
    <row r="2078" spans="1:19" x14ac:dyDescent="0.45">
      <c r="A2078" t="str">
        <f t="shared" si="144"/>
        <v>29801</v>
      </c>
      <c r="B2078" t="s">
        <v>2370</v>
      </c>
      <c r="C2078" t="str">
        <f>"37503"</f>
        <v>37503</v>
      </c>
      <c r="D2078" t="s">
        <v>3018</v>
      </c>
      <c r="E2078" t="str">
        <f>"3796"</f>
        <v>3796</v>
      </c>
      <c r="F2078" t="s">
        <v>11598</v>
      </c>
      <c r="G2078">
        <v>6</v>
      </c>
      <c r="H2078">
        <v>8</v>
      </c>
      <c r="I2078" t="s">
        <v>11599</v>
      </c>
      <c r="K2078" t="s">
        <v>11590</v>
      </c>
      <c r="L2078" t="s">
        <v>25</v>
      </c>
      <c r="M2078" t="s">
        <v>11591</v>
      </c>
      <c r="N2078" t="s">
        <v>11600</v>
      </c>
      <c r="O2078" t="s">
        <v>11601</v>
      </c>
      <c r="P2078" t="s">
        <v>11602</v>
      </c>
      <c r="Q2078" t="s">
        <v>30</v>
      </c>
      <c r="R2078" t="s">
        <v>31</v>
      </c>
      <c r="S2078" t="s">
        <v>104</v>
      </c>
    </row>
    <row r="2079" spans="1:19" x14ac:dyDescent="0.45">
      <c r="A2079" t="str">
        <f t="shared" si="144"/>
        <v>29801</v>
      </c>
      <c r="B2079" t="s">
        <v>2370</v>
      </c>
      <c r="C2079" t="str">
        <f>"37503"</f>
        <v>37503</v>
      </c>
      <c r="D2079" t="s">
        <v>3018</v>
      </c>
      <c r="E2079" t="str">
        <f>"4459"</f>
        <v>4459</v>
      </c>
      <c r="F2079" t="s">
        <v>11603</v>
      </c>
      <c r="G2079" t="s">
        <v>70</v>
      </c>
      <c r="H2079">
        <v>3</v>
      </c>
      <c r="I2079" t="s">
        <v>11604</v>
      </c>
      <c r="J2079" t="s">
        <v>11605</v>
      </c>
      <c r="K2079" t="s">
        <v>11606</v>
      </c>
      <c r="L2079" t="s">
        <v>25</v>
      </c>
      <c r="M2079" t="s">
        <v>11607</v>
      </c>
      <c r="N2079" t="s">
        <v>11608</v>
      </c>
      <c r="O2079" t="s">
        <v>11609</v>
      </c>
      <c r="P2079" t="s">
        <v>11610</v>
      </c>
      <c r="Q2079" t="s">
        <v>30</v>
      </c>
      <c r="R2079" t="s">
        <v>31</v>
      </c>
      <c r="S2079" t="s">
        <v>32</v>
      </c>
    </row>
    <row r="2080" spans="1:19" x14ac:dyDescent="0.45">
      <c r="A2080" t="str">
        <f t="shared" si="144"/>
        <v>29801</v>
      </c>
      <c r="B2080" t="s">
        <v>2370</v>
      </c>
      <c r="C2080" t="str">
        <f>"37503"</f>
        <v>37503</v>
      </c>
      <c r="D2080" t="s">
        <v>3018</v>
      </c>
      <c r="E2080" t="str">
        <f>"4476"</f>
        <v>4476</v>
      </c>
      <c r="F2080" t="s">
        <v>11611</v>
      </c>
      <c r="G2080" t="s">
        <v>22</v>
      </c>
      <c r="H2080">
        <v>2</v>
      </c>
      <c r="I2080" t="s">
        <v>11612</v>
      </c>
      <c r="K2080" t="s">
        <v>11590</v>
      </c>
      <c r="L2080" t="s">
        <v>25</v>
      </c>
      <c r="M2080" t="s">
        <v>11591</v>
      </c>
      <c r="N2080" t="s">
        <v>11613</v>
      </c>
      <c r="O2080" t="s">
        <v>11614</v>
      </c>
      <c r="P2080" t="s">
        <v>11615</v>
      </c>
      <c r="Q2080" t="s">
        <v>30</v>
      </c>
      <c r="R2080" t="s">
        <v>31</v>
      </c>
      <c r="S2080" t="s">
        <v>32</v>
      </c>
    </row>
    <row r="2081" spans="1:19" x14ac:dyDescent="0.45">
      <c r="A2081" t="str">
        <f t="shared" si="144"/>
        <v>29801</v>
      </c>
      <c r="B2081" t="s">
        <v>2370</v>
      </c>
      <c r="C2081" t="str">
        <f>"37504"</f>
        <v>37504</v>
      </c>
      <c r="D2081" t="s">
        <v>3025</v>
      </c>
      <c r="E2081" t="str">
        <f>"2219"</f>
        <v>2219</v>
      </c>
      <c r="F2081" t="s">
        <v>11616</v>
      </c>
      <c r="G2081">
        <v>6</v>
      </c>
      <c r="H2081">
        <v>8</v>
      </c>
      <c r="I2081" t="s">
        <v>11617</v>
      </c>
      <c r="K2081" t="s">
        <v>11618</v>
      </c>
      <c r="L2081" t="s">
        <v>25</v>
      </c>
      <c r="M2081" t="s">
        <v>11619</v>
      </c>
      <c r="N2081" t="s">
        <v>11620</v>
      </c>
      <c r="O2081" t="s">
        <v>11621</v>
      </c>
      <c r="P2081" t="s">
        <v>11622</v>
      </c>
      <c r="Q2081" t="s">
        <v>30</v>
      </c>
      <c r="R2081" t="s">
        <v>31</v>
      </c>
      <c r="S2081" t="s">
        <v>104</v>
      </c>
    </row>
    <row r="2082" spans="1:19" x14ac:dyDescent="0.45">
      <c r="A2082" t="str">
        <f t="shared" si="144"/>
        <v>29801</v>
      </c>
      <c r="B2082" t="s">
        <v>2370</v>
      </c>
      <c r="C2082" t="str">
        <f>"37504"</f>
        <v>37504</v>
      </c>
      <c r="D2082" t="s">
        <v>3025</v>
      </c>
      <c r="E2082" t="str">
        <f>"3417"</f>
        <v>3417</v>
      </c>
      <c r="F2082" t="s">
        <v>11623</v>
      </c>
      <c r="G2082" t="s">
        <v>70</v>
      </c>
      <c r="H2082">
        <v>5</v>
      </c>
      <c r="I2082" t="s">
        <v>11624</v>
      </c>
      <c r="K2082" t="s">
        <v>11618</v>
      </c>
      <c r="L2082" t="s">
        <v>25</v>
      </c>
      <c r="M2082" t="s">
        <v>11619</v>
      </c>
      <c r="N2082" t="s">
        <v>11625</v>
      </c>
      <c r="O2082" t="s">
        <v>11626</v>
      </c>
      <c r="P2082" t="s">
        <v>11627</v>
      </c>
      <c r="Q2082" t="s">
        <v>30</v>
      </c>
      <c r="R2082" t="s">
        <v>31</v>
      </c>
      <c r="S2082" t="s">
        <v>32</v>
      </c>
    </row>
    <row r="2083" spans="1:19" x14ac:dyDescent="0.45">
      <c r="A2083" t="str">
        <f t="shared" si="144"/>
        <v>29801</v>
      </c>
      <c r="B2083" t="s">
        <v>2370</v>
      </c>
      <c r="C2083" t="str">
        <f>"37504"</f>
        <v>37504</v>
      </c>
      <c r="D2083" t="s">
        <v>3025</v>
      </c>
      <c r="E2083" t="str">
        <f>"4201"</f>
        <v>4201</v>
      </c>
      <c r="F2083" t="s">
        <v>11628</v>
      </c>
      <c r="G2083">
        <v>9</v>
      </c>
      <c r="H2083">
        <v>12</v>
      </c>
      <c r="I2083" t="s">
        <v>11629</v>
      </c>
      <c r="K2083" t="s">
        <v>11618</v>
      </c>
      <c r="L2083" t="s">
        <v>25</v>
      </c>
      <c r="M2083" t="s">
        <v>11619</v>
      </c>
      <c r="N2083" t="s">
        <v>11630</v>
      </c>
      <c r="O2083" t="s">
        <v>11631</v>
      </c>
      <c r="P2083" t="s">
        <v>3031</v>
      </c>
      <c r="Q2083" t="s">
        <v>30</v>
      </c>
      <c r="R2083" t="s">
        <v>31</v>
      </c>
      <c r="S2083" t="s">
        <v>58</v>
      </c>
    </row>
    <row r="2084" spans="1:19" x14ac:dyDescent="0.45">
      <c r="A2084" t="str">
        <f t="shared" si="144"/>
        <v>29801</v>
      </c>
      <c r="B2084" t="s">
        <v>2370</v>
      </c>
      <c r="C2084" t="str">
        <f>"37504"</f>
        <v>37504</v>
      </c>
      <c r="D2084" t="s">
        <v>3025</v>
      </c>
      <c r="E2084" t="str">
        <f>"4324"</f>
        <v>4324</v>
      </c>
      <c r="F2084" t="s">
        <v>11632</v>
      </c>
      <c r="G2084" t="s">
        <v>70</v>
      </c>
      <c r="H2084">
        <v>5</v>
      </c>
      <c r="I2084" t="s">
        <v>11633</v>
      </c>
      <c r="K2084" t="s">
        <v>11618</v>
      </c>
      <c r="L2084" t="s">
        <v>25</v>
      </c>
      <c r="M2084" t="s">
        <v>11619</v>
      </c>
      <c r="N2084" t="s">
        <v>11634</v>
      </c>
      <c r="O2084" t="s">
        <v>11635</v>
      </c>
      <c r="P2084" t="s">
        <v>11636</v>
      </c>
      <c r="Q2084" t="s">
        <v>30</v>
      </c>
      <c r="R2084" t="s">
        <v>31</v>
      </c>
      <c r="S2084" t="s">
        <v>32</v>
      </c>
    </row>
    <row r="2085" spans="1:19" x14ac:dyDescent="0.45">
      <c r="A2085" t="str">
        <f t="shared" si="144"/>
        <v>29801</v>
      </c>
      <c r="B2085" t="s">
        <v>2370</v>
      </c>
      <c r="C2085" t="str">
        <f>"37504"</f>
        <v>37504</v>
      </c>
      <c r="D2085" t="s">
        <v>3025</v>
      </c>
      <c r="E2085" t="str">
        <f>"4517"</f>
        <v>4517</v>
      </c>
      <c r="F2085" t="s">
        <v>11637</v>
      </c>
      <c r="G2085" t="s">
        <v>70</v>
      </c>
      <c r="H2085">
        <v>5</v>
      </c>
      <c r="I2085" t="s">
        <v>11638</v>
      </c>
      <c r="K2085" t="s">
        <v>11618</v>
      </c>
      <c r="L2085" t="s">
        <v>25</v>
      </c>
      <c r="M2085" t="s">
        <v>11619</v>
      </c>
      <c r="N2085" t="s">
        <v>11639</v>
      </c>
      <c r="O2085" t="s">
        <v>11640</v>
      </c>
      <c r="P2085" t="s">
        <v>11641</v>
      </c>
      <c r="Q2085" t="s">
        <v>30</v>
      </c>
      <c r="R2085" t="s">
        <v>31</v>
      </c>
      <c r="S2085" t="s">
        <v>32</v>
      </c>
    </row>
    <row r="2086" spans="1:19" x14ac:dyDescent="0.45">
      <c r="A2086" t="str">
        <f t="shared" si="144"/>
        <v>29801</v>
      </c>
      <c r="B2086" t="s">
        <v>2370</v>
      </c>
      <c r="C2086" t="str">
        <f>"37505"</f>
        <v>37505</v>
      </c>
      <c r="D2086" t="s">
        <v>2928</v>
      </c>
      <c r="E2086" t="str">
        <f>"1743"</f>
        <v>1743</v>
      </c>
      <c r="F2086" t="s">
        <v>11642</v>
      </c>
      <c r="G2086" t="s">
        <v>22</v>
      </c>
      <c r="H2086" t="s">
        <v>22</v>
      </c>
      <c r="I2086" t="s">
        <v>11643</v>
      </c>
      <c r="K2086" t="s">
        <v>11517</v>
      </c>
      <c r="L2086" t="s">
        <v>25</v>
      </c>
      <c r="M2086" t="s">
        <v>11644</v>
      </c>
      <c r="N2086" t="s">
        <v>11645</v>
      </c>
      <c r="O2086" t="s">
        <v>11646</v>
      </c>
      <c r="P2086" t="s">
        <v>11647</v>
      </c>
      <c r="Q2086" t="s">
        <v>66</v>
      </c>
      <c r="R2086" t="s">
        <v>67</v>
      </c>
      <c r="S2086" t="s">
        <v>68</v>
      </c>
    </row>
    <row r="2087" spans="1:19" x14ac:dyDescent="0.45">
      <c r="A2087" t="str">
        <f t="shared" si="144"/>
        <v>29801</v>
      </c>
      <c r="B2087" t="s">
        <v>2370</v>
      </c>
      <c r="C2087" t="str">
        <f>"37505"</f>
        <v>37505</v>
      </c>
      <c r="D2087" t="s">
        <v>2928</v>
      </c>
      <c r="E2087" t="str">
        <f>"2554"</f>
        <v>2554</v>
      </c>
      <c r="F2087" t="s">
        <v>11648</v>
      </c>
      <c r="G2087">
        <v>9</v>
      </c>
      <c r="H2087">
        <v>12</v>
      </c>
      <c r="I2087" t="s">
        <v>11649</v>
      </c>
      <c r="K2087" t="s">
        <v>11517</v>
      </c>
      <c r="L2087" t="s">
        <v>25</v>
      </c>
      <c r="M2087" t="s">
        <v>11644</v>
      </c>
      <c r="N2087" t="s">
        <v>2930</v>
      </c>
      <c r="O2087" t="s">
        <v>2931</v>
      </c>
      <c r="P2087" t="s">
        <v>11650</v>
      </c>
      <c r="Q2087" t="s">
        <v>30</v>
      </c>
      <c r="R2087" t="s">
        <v>31</v>
      </c>
      <c r="S2087" t="s">
        <v>58</v>
      </c>
    </row>
    <row r="2088" spans="1:19" x14ac:dyDescent="0.45">
      <c r="A2088" t="str">
        <f t="shared" si="144"/>
        <v>29801</v>
      </c>
      <c r="B2088" t="s">
        <v>2370</v>
      </c>
      <c r="C2088" t="str">
        <f>"37505"</f>
        <v>37505</v>
      </c>
      <c r="D2088" t="s">
        <v>2928</v>
      </c>
      <c r="E2088" t="str">
        <f>"2584"</f>
        <v>2584</v>
      </c>
      <c r="F2088" t="s">
        <v>11651</v>
      </c>
      <c r="G2088" t="s">
        <v>22</v>
      </c>
      <c r="H2088">
        <v>5</v>
      </c>
      <c r="I2088" t="s">
        <v>11652</v>
      </c>
      <c r="K2088" t="s">
        <v>11653</v>
      </c>
      <c r="L2088" t="s">
        <v>25</v>
      </c>
      <c r="M2088" t="s">
        <v>11644</v>
      </c>
      <c r="N2088" t="s">
        <v>11654</v>
      </c>
      <c r="O2088" t="s">
        <v>11655</v>
      </c>
      <c r="P2088" t="s">
        <v>11656</v>
      </c>
      <c r="Q2088" t="s">
        <v>30</v>
      </c>
      <c r="R2088" t="s">
        <v>31</v>
      </c>
      <c r="S2088" t="s">
        <v>32</v>
      </c>
    </row>
    <row r="2089" spans="1:19" x14ac:dyDescent="0.45">
      <c r="A2089" t="str">
        <f t="shared" si="144"/>
        <v>29801</v>
      </c>
      <c r="B2089" t="s">
        <v>2370</v>
      </c>
      <c r="C2089" t="str">
        <f>"37505"</f>
        <v>37505</v>
      </c>
      <c r="D2089" t="s">
        <v>2928</v>
      </c>
      <c r="E2089" t="str">
        <f>"3930"</f>
        <v>3930</v>
      </c>
      <c r="F2089" t="s">
        <v>6060</v>
      </c>
      <c r="G2089">
        <v>6</v>
      </c>
      <c r="H2089">
        <v>8</v>
      </c>
      <c r="I2089" t="s">
        <v>11657</v>
      </c>
      <c r="K2089" t="s">
        <v>11618</v>
      </c>
      <c r="L2089" t="s">
        <v>25</v>
      </c>
      <c r="M2089" t="s">
        <v>11619</v>
      </c>
      <c r="N2089" t="s">
        <v>11658</v>
      </c>
      <c r="O2089" t="s">
        <v>11659</v>
      </c>
      <c r="P2089" t="s">
        <v>11660</v>
      </c>
      <c r="Q2089" t="s">
        <v>30</v>
      </c>
      <c r="R2089" t="s">
        <v>31</v>
      </c>
      <c r="S2089" t="s">
        <v>104</v>
      </c>
    </row>
    <row r="2090" spans="1:19" x14ac:dyDescent="0.45">
      <c r="A2090" t="str">
        <f t="shared" si="144"/>
        <v>29801</v>
      </c>
      <c r="B2090" t="s">
        <v>2370</v>
      </c>
      <c r="C2090" t="str">
        <f t="shared" ref="C2090:C2095" si="146">"37506"</f>
        <v>37506</v>
      </c>
      <c r="D2090" t="s">
        <v>4468</v>
      </c>
      <c r="E2090" t="str">
        <f>"1823"</f>
        <v>1823</v>
      </c>
      <c r="F2090" t="s">
        <v>11661</v>
      </c>
      <c r="G2090" t="s">
        <v>22</v>
      </c>
      <c r="H2090" t="s">
        <v>22</v>
      </c>
      <c r="I2090" t="s">
        <v>11662</v>
      </c>
      <c r="K2090" t="s">
        <v>11653</v>
      </c>
      <c r="L2090" t="s">
        <v>25</v>
      </c>
      <c r="M2090" t="s">
        <v>11663</v>
      </c>
      <c r="N2090" t="s">
        <v>11664</v>
      </c>
      <c r="O2090" t="s">
        <v>11665</v>
      </c>
      <c r="P2090" t="s">
        <v>11666</v>
      </c>
      <c r="Q2090" t="s">
        <v>66</v>
      </c>
      <c r="R2090" t="s">
        <v>67</v>
      </c>
      <c r="S2090" t="s">
        <v>1248</v>
      </c>
    </row>
    <row r="2091" spans="1:19" x14ac:dyDescent="0.45">
      <c r="A2091" t="str">
        <f t="shared" si="144"/>
        <v>29801</v>
      </c>
      <c r="B2091" t="s">
        <v>2370</v>
      </c>
      <c r="C2091" t="str">
        <f t="shared" si="146"/>
        <v>37506</v>
      </c>
      <c r="D2091" t="s">
        <v>4468</v>
      </c>
      <c r="E2091" t="str">
        <f>"2459"</f>
        <v>2459</v>
      </c>
      <c r="F2091" t="s">
        <v>11667</v>
      </c>
      <c r="G2091">
        <v>7</v>
      </c>
      <c r="H2091">
        <v>12</v>
      </c>
      <c r="I2091" t="s">
        <v>11668</v>
      </c>
      <c r="K2091" t="s">
        <v>11653</v>
      </c>
      <c r="L2091" t="s">
        <v>25</v>
      </c>
      <c r="M2091" t="s">
        <v>11663</v>
      </c>
      <c r="N2091" t="s">
        <v>4472</v>
      </c>
      <c r="O2091" t="s">
        <v>4473</v>
      </c>
      <c r="P2091" t="s">
        <v>4474</v>
      </c>
      <c r="Q2091" t="s">
        <v>30</v>
      </c>
      <c r="R2091" t="s">
        <v>31</v>
      </c>
      <c r="S2091" t="s">
        <v>159</v>
      </c>
    </row>
    <row r="2092" spans="1:19" x14ac:dyDescent="0.45">
      <c r="A2092" t="str">
        <f t="shared" si="144"/>
        <v>29801</v>
      </c>
      <c r="B2092" t="s">
        <v>2370</v>
      </c>
      <c r="C2092" t="str">
        <f t="shared" si="146"/>
        <v>37506</v>
      </c>
      <c r="D2092" t="s">
        <v>4468</v>
      </c>
      <c r="E2092" t="str">
        <f>"2489"</f>
        <v>2489</v>
      </c>
      <c r="F2092" t="s">
        <v>11669</v>
      </c>
      <c r="G2092" t="s">
        <v>22</v>
      </c>
      <c r="H2092">
        <v>5</v>
      </c>
      <c r="I2092" t="s">
        <v>11670</v>
      </c>
      <c r="K2092" t="s">
        <v>11671</v>
      </c>
      <c r="L2092" t="s">
        <v>25</v>
      </c>
      <c r="M2092" t="s">
        <v>11672</v>
      </c>
      <c r="N2092" t="s">
        <v>11673</v>
      </c>
      <c r="O2092" t="s">
        <v>11674</v>
      </c>
      <c r="P2092" t="s">
        <v>11675</v>
      </c>
      <c r="Q2092" t="s">
        <v>30</v>
      </c>
      <c r="R2092" t="s">
        <v>31</v>
      </c>
      <c r="S2092" t="s">
        <v>32</v>
      </c>
    </row>
    <row r="2093" spans="1:19" x14ac:dyDescent="0.45">
      <c r="A2093" t="str">
        <f t="shared" si="144"/>
        <v>29801</v>
      </c>
      <c r="B2093" t="s">
        <v>2370</v>
      </c>
      <c r="C2093" t="str">
        <f t="shared" si="146"/>
        <v>37506</v>
      </c>
      <c r="D2093" t="s">
        <v>4468</v>
      </c>
      <c r="E2093" t="str">
        <f>"2687"</f>
        <v>2687</v>
      </c>
      <c r="F2093" t="s">
        <v>11676</v>
      </c>
      <c r="G2093">
        <v>6</v>
      </c>
      <c r="H2093">
        <v>8</v>
      </c>
      <c r="I2093" t="s">
        <v>11677</v>
      </c>
      <c r="K2093" t="s">
        <v>11653</v>
      </c>
      <c r="L2093" t="s">
        <v>25</v>
      </c>
      <c r="M2093" t="s">
        <v>11663</v>
      </c>
      <c r="N2093" t="s">
        <v>11678</v>
      </c>
      <c r="O2093" t="s">
        <v>11679</v>
      </c>
      <c r="P2093" t="s">
        <v>11680</v>
      </c>
      <c r="Q2093" t="s">
        <v>30</v>
      </c>
      <c r="R2093" t="s">
        <v>31</v>
      </c>
      <c r="S2093" t="s">
        <v>6608</v>
      </c>
    </row>
    <row r="2094" spans="1:19" x14ac:dyDescent="0.45">
      <c r="A2094" t="str">
        <f t="shared" si="144"/>
        <v>29801</v>
      </c>
      <c r="B2094" t="s">
        <v>2370</v>
      </c>
      <c r="C2094" t="str">
        <f t="shared" si="146"/>
        <v>37506</v>
      </c>
      <c r="D2094" t="s">
        <v>4468</v>
      </c>
      <c r="E2094" t="str">
        <f>"4428"</f>
        <v>4428</v>
      </c>
      <c r="F2094" t="s">
        <v>11681</v>
      </c>
      <c r="G2094" t="s">
        <v>22</v>
      </c>
      <c r="H2094">
        <v>5</v>
      </c>
      <c r="I2094" t="s">
        <v>11682</v>
      </c>
      <c r="K2094" t="s">
        <v>11653</v>
      </c>
      <c r="L2094" t="s">
        <v>25</v>
      </c>
      <c r="M2094" t="s">
        <v>11663</v>
      </c>
      <c r="N2094" t="s">
        <v>11683</v>
      </c>
      <c r="O2094" t="s">
        <v>11684</v>
      </c>
      <c r="P2094" t="s">
        <v>11685</v>
      </c>
      <c r="Q2094" t="s">
        <v>30</v>
      </c>
      <c r="R2094" t="s">
        <v>31</v>
      </c>
      <c r="S2094" t="s">
        <v>32</v>
      </c>
    </row>
    <row r="2095" spans="1:19" x14ac:dyDescent="0.45">
      <c r="A2095" t="str">
        <f t="shared" si="144"/>
        <v>29801</v>
      </c>
      <c r="B2095" t="s">
        <v>2370</v>
      </c>
      <c r="C2095" t="str">
        <f t="shared" si="146"/>
        <v>37506</v>
      </c>
      <c r="D2095" t="s">
        <v>4468</v>
      </c>
      <c r="E2095" t="str">
        <f>"4525"</f>
        <v>4525</v>
      </c>
      <c r="F2095" t="s">
        <v>11686</v>
      </c>
      <c r="G2095" t="s">
        <v>22</v>
      </c>
      <c r="H2095">
        <v>5</v>
      </c>
      <c r="I2095" t="s">
        <v>11687</v>
      </c>
      <c r="K2095" t="s">
        <v>11653</v>
      </c>
      <c r="L2095" t="s">
        <v>25</v>
      </c>
      <c r="M2095" t="s">
        <v>11663</v>
      </c>
      <c r="N2095" t="s">
        <v>11688</v>
      </c>
      <c r="O2095" t="s">
        <v>11689</v>
      </c>
      <c r="P2095" t="s">
        <v>11690</v>
      </c>
      <c r="Q2095" t="s">
        <v>30</v>
      </c>
      <c r="R2095" t="s">
        <v>31</v>
      </c>
      <c r="S2095" t="s">
        <v>32</v>
      </c>
    </row>
    <row r="2096" spans="1:19" x14ac:dyDescent="0.45">
      <c r="A2096" t="str">
        <f t="shared" si="144"/>
        <v>29801</v>
      </c>
      <c r="B2096" t="s">
        <v>2370</v>
      </c>
      <c r="C2096" t="str">
        <f>"37507"</f>
        <v>37507</v>
      </c>
      <c r="D2096" t="s">
        <v>11691</v>
      </c>
      <c r="E2096" t="str">
        <f>"2343"</f>
        <v>2343</v>
      </c>
      <c r="F2096" t="s">
        <v>11692</v>
      </c>
      <c r="G2096">
        <v>9</v>
      </c>
      <c r="H2096">
        <v>12</v>
      </c>
      <c r="I2096" t="s">
        <v>11693</v>
      </c>
      <c r="J2096" t="s">
        <v>11694</v>
      </c>
      <c r="K2096" t="s">
        <v>11695</v>
      </c>
      <c r="L2096" t="s">
        <v>25</v>
      </c>
      <c r="M2096" t="s">
        <v>11696</v>
      </c>
      <c r="N2096" t="s">
        <v>11697</v>
      </c>
      <c r="O2096" t="s">
        <v>11698</v>
      </c>
      <c r="P2096" t="s">
        <v>11699</v>
      </c>
      <c r="Q2096" t="s">
        <v>30</v>
      </c>
      <c r="R2096" t="s">
        <v>31</v>
      </c>
      <c r="S2096" t="s">
        <v>58</v>
      </c>
    </row>
    <row r="2097" spans="1:19" x14ac:dyDescent="0.45">
      <c r="A2097" t="str">
        <f t="shared" si="144"/>
        <v>29801</v>
      </c>
      <c r="B2097" t="s">
        <v>2370</v>
      </c>
      <c r="C2097" t="str">
        <f>"37507"</f>
        <v>37507</v>
      </c>
      <c r="D2097" t="s">
        <v>11691</v>
      </c>
      <c r="E2097" t="str">
        <f>"2585"</f>
        <v>2585</v>
      </c>
      <c r="F2097" t="s">
        <v>11700</v>
      </c>
      <c r="G2097" t="s">
        <v>70</v>
      </c>
      <c r="H2097">
        <v>6</v>
      </c>
      <c r="I2097" t="s">
        <v>11701</v>
      </c>
      <c r="J2097" t="s">
        <v>11702</v>
      </c>
      <c r="K2097" t="s">
        <v>11703</v>
      </c>
      <c r="L2097" t="s">
        <v>25</v>
      </c>
      <c r="M2097" t="s">
        <v>11704</v>
      </c>
      <c r="N2097" t="s">
        <v>11705</v>
      </c>
      <c r="O2097" t="s">
        <v>11706</v>
      </c>
      <c r="P2097" t="s">
        <v>11707</v>
      </c>
      <c r="Q2097" t="s">
        <v>30</v>
      </c>
      <c r="R2097" t="s">
        <v>31</v>
      </c>
      <c r="S2097" t="s">
        <v>32</v>
      </c>
    </row>
    <row r="2098" spans="1:19" x14ac:dyDescent="0.45">
      <c r="A2098" t="str">
        <f t="shared" si="144"/>
        <v>29801</v>
      </c>
      <c r="B2098" t="s">
        <v>2370</v>
      </c>
      <c r="C2098" t="str">
        <f>"37507"</f>
        <v>37507</v>
      </c>
      <c r="D2098" t="s">
        <v>11691</v>
      </c>
      <c r="E2098" t="str">
        <f>"3003"</f>
        <v>3003</v>
      </c>
      <c r="F2098" t="s">
        <v>11708</v>
      </c>
      <c r="G2098">
        <v>7</v>
      </c>
      <c r="H2098">
        <v>8</v>
      </c>
      <c r="I2098" t="s">
        <v>11693</v>
      </c>
      <c r="J2098" t="s">
        <v>11694</v>
      </c>
      <c r="K2098" t="s">
        <v>11695</v>
      </c>
      <c r="L2098" t="s">
        <v>25</v>
      </c>
      <c r="M2098" t="s">
        <v>11696</v>
      </c>
      <c r="N2098" t="s">
        <v>11697</v>
      </c>
      <c r="O2098" t="s">
        <v>11698</v>
      </c>
      <c r="P2098" t="s">
        <v>11699</v>
      </c>
      <c r="Q2098" t="s">
        <v>30</v>
      </c>
      <c r="R2098" t="s">
        <v>31</v>
      </c>
      <c r="S2098" t="s">
        <v>104</v>
      </c>
    </row>
    <row r="2099" spans="1:19" x14ac:dyDescent="0.45">
      <c r="A2099" t="str">
        <f t="shared" si="144"/>
        <v>29801</v>
      </c>
      <c r="B2099" t="s">
        <v>2370</v>
      </c>
      <c r="C2099" t="str">
        <f>"37507"</f>
        <v>37507</v>
      </c>
      <c r="D2099" t="s">
        <v>11691</v>
      </c>
      <c r="E2099" t="str">
        <f>"3365"</f>
        <v>3365</v>
      </c>
      <c r="F2099" t="s">
        <v>11709</v>
      </c>
      <c r="G2099" t="s">
        <v>70</v>
      </c>
      <c r="H2099">
        <v>6</v>
      </c>
      <c r="I2099" t="s">
        <v>11710</v>
      </c>
      <c r="K2099" t="s">
        <v>11517</v>
      </c>
      <c r="L2099" t="s">
        <v>25</v>
      </c>
      <c r="M2099" t="s">
        <v>11644</v>
      </c>
      <c r="N2099" t="s">
        <v>11711</v>
      </c>
      <c r="O2099" t="s">
        <v>11712</v>
      </c>
      <c r="P2099" t="s">
        <v>11713</v>
      </c>
      <c r="Q2099" t="s">
        <v>30</v>
      </c>
      <c r="R2099" t="s">
        <v>31</v>
      </c>
      <c r="S2099" t="s">
        <v>32</v>
      </c>
    </row>
    <row r="2100" spans="1:19" x14ac:dyDescent="0.45">
      <c r="A2100" t="str">
        <f t="shared" si="144"/>
        <v>29801</v>
      </c>
      <c r="B2100" t="s">
        <v>2370</v>
      </c>
      <c r="C2100" t="str">
        <f>"37507"</f>
        <v>37507</v>
      </c>
      <c r="D2100" t="s">
        <v>11691</v>
      </c>
      <c r="E2100" t="str">
        <f>"4533"</f>
        <v>4533</v>
      </c>
      <c r="F2100" t="s">
        <v>11714</v>
      </c>
      <c r="G2100" t="s">
        <v>70</v>
      </c>
      <c r="H2100">
        <v>6</v>
      </c>
      <c r="I2100" t="s">
        <v>11715</v>
      </c>
      <c r="K2100" t="s">
        <v>11716</v>
      </c>
      <c r="L2100" t="s">
        <v>25</v>
      </c>
      <c r="M2100" t="s">
        <v>11717</v>
      </c>
      <c r="N2100" t="s">
        <v>11718</v>
      </c>
      <c r="O2100" t="s">
        <v>11719</v>
      </c>
      <c r="P2100" t="s">
        <v>11720</v>
      </c>
      <c r="Q2100" t="s">
        <v>30</v>
      </c>
      <c r="R2100" t="s">
        <v>31</v>
      </c>
      <c r="S2100" t="s">
        <v>32</v>
      </c>
    </row>
    <row r="2101" spans="1:19" x14ac:dyDescent="0.45">
      <c r="A2101" t="str">
        <f t="shared" ref="A2101:A2124" si="147">"32801"</f>
        <v>32801</v>
      </c>
      <c r="B2101" t="s">
        <v>1108</v>
      </c>
      <c r="C2101" t="str">
        <f>"38126"</f>
        <v>38126</v>
      </c>
      <c r="D2101" t="s">
        <v>11721</v>
      </c>
      <c r="E2101" t="str">
        <f>"2087"</f>
        <v>2087</v>
      </c>
      <c r="F2101" t="s">
        <v>11722</v>
      </c>
      <c r="G2101" t="s">
        <v>70</v>
      </c>
      <c r="H2101">
        <v>8</v>
      </c>
      <c r="I2101" t="s">
        <v>11723</v>
      </c>
      <c r="K2101" t="s">
        <v>11724</v>
      </c>
      <c r="L2101" t="s">
        <v>25</v>
      </c>
      <c r="M2101" t="s">
        <v>11725</v>
      </c>
      <c r="N2101" t="s">
        <v>11726</v>
      </c>
      <c r="O2101" t="s">
        <v>11727</v>
      </c>
      <c r="P2101" t="s">
        <v>11728</v>
      </c>
      <c r="Q2101" t="s">
        <v>30</v>
      </c>
      <c r="R2101" t="s">
        <v>31</v>
      </c>
      <c r="S2101" t="s">
        <v>159</v>
      </c>
    </row>
    <row r="2102" spans="1:19" x14ac:dyDescent="0.45">
      <c r="A2102" t="str">
        <f t="shared" si="147"/>
        <v>32801</v>
      </c>
      <c r="B2102" t="s">
        <v>1108</v>
      </c>
      <c r="C2102" t="str">
        <f>"38126"</f>
        <v>38126</v>
      </c>
      <c r="D2102" t="s">
        <v>11721</v>
      </c>
      <c r="E2102" t="str">
        <f>"2088"</f>
        <v>2088</v>
      </c>
      <c r="F2102" t="s">
        <v>11729</v>
      </c>
      <c r="G2102">
        <v>9</v>
      </c>
      <c r="H2102">
        <v>12</v>
      </c>
      <c r="I2102" t="s">
        <v>11730</v>
      </c>
      <c r="K2102" t="s">
        <v>11724</v>
      </c>
      <c r="L2102" t="s">
        <v>25</v>
      </c>
      <c r="M2102" t="s">
        <v>11731</v>
      </c>
      <c r="N2102" t="s">
        <v>11726</v>
      </c>
      <c r="O2102" t="s">
        <v>11732</v>
      </c>
      <c r="P2102" t="s">
        <v>11733</v>
      </c>
      <c r="Q2102" t="s">
        <v>30</v>
      </c>
      <c r="R2102" t="s">
        <v>31</v>
      </c>
      <c r="S2102" t="s">
        <v>58</v>
      </c>
    </row>
    <row r="2103" spans="1:19" x14ac:dyDescent="0.45">
      <c r="A2103" t="str">
        <f t="shared" si="147"/>
        <v>32801</v>
      </c>
      <c r="B2103" t="s">
        <v>1108</v>
      </c>
      <c r="C2103" t="str">
        <f>"38264"</f>
        <v>38264</v>
      </c>
      <c r="D2103" t="s">
        <v>11734</v>
      </c>
      <c r="E2103" t="str">
        <f>"3137"</f>
        <v>3137</v>
      </c>
      <c r="F2103" t="s">
        <v>11735</v>
      </c>
      <c r="G2103">
        <v>5</v>
      </c>
      <c r="H2103">
        <v>8</v>
      </c>
      <c r="I2103" t="s">
        <v>11736</v>
      </c>
      <c r="K2103" t="s">
        <v>11737</v>
      </c>
      <c r="L2103" t="s">
        <v>25</v>
      </c>
      <c r="M2103" t="s">
        <v>11738</v>
      </c>
      <c r="N2103" t="s">
        <v>11739</v>
      </c>
      <c r="O2103" t="s">
        <v>11740</v>
      </c>
      <c r="P2103" t="s">
        <v>11741</v>
      </c>
      <c r="Q2103" t="s">
        <v>30</v>
      </c>
      <c r="R2103" t="s">
        <v>31</v>
      </c>
      <c r="S2103" t="s">
        <v>104</v>
      </c>
    </row>
    <row r="2104" spans="1:19" x14ac:dyDescent="0.45">
      <c r="A2104" t="str">
        <f t="shared" si="147"/>
        <v>32801</v>
      </c>
      <c r="B2104" t="s">
        <v>1108</v>
      </c>
      <c r="C2104" t="str">
        <f>"38265"</f>
        <v>38265</v>
      </c>
      <c r="D2104" t="s">
        <v>11742</v>
      </c>
      <c r="E2104" t="str">
        <f>"2052"</f>
        <v>2052</v>
      </c>
      <c r="F2104" t="s">
        <v>11743</v>
      </c>
      <c r="G2104" t="s">
        <v>22</v>
      </c>
      <c r="H2104">
        <v>6</v>
      </c>
      <c r="I2104" t="s">
        <v>11744</v>
      </c>
      <c r="K2104" t="s">
        <v>11745</v>
      </c>
      <c r="L2104" t="s">
        <v>25</v>
      </c>
      <c r="M2104" t="s">
        <v>11746</v>
      </c>
      <c r="N2104" t="s">
        <v>11747</v>
      </c>
      <c r="O2104" t="s">
        <v>11748</v>
      </c>
      <c r="P2104" t="s">
        <v>11749</v>
      </c>
      <c r="Q2104" t="s">
        <v>30</v>
      </c>
      <c r="R2104" t="s">
        <v>31</v>
      </c>
      <c r="S2104" t="s">
        <v>32</v>
      </c>
    </row>
    <row r="2105" spans="1:19" x14ac:dyDescent="0.45">
      <c r="A2105" t="str">
        <f t="shared" si="147"/>
        <v>32801</v>
      </c>
      <c r="B2105" t="s">
        <v>1108</v>
      </c>
      <c r="C2105" t="str">
        <f>"38265"</f>
        <v>38265</v>
      </c>
      <c r="D2105" t="s">
        <v>11742</v>
      </c>
      <c r="E2105" t="str">
        <f>"3418"</f>
        <v>3418</v>
      </c>
      <c r="F2105" t="s">
        <v>11750</v>
      </c>
      <c r="G2105">
        <v>7</v>
      </c>
      <c r="H2105">
        <v>12</v>
      </c>
      <c r="I2105" t="s">
        <v>11744</v>
      </c>
      <c r="K2105" t="s">
        <v>11745</v>
      </c>
      <c r="L2105" t="s">
        <v>25</v>
      </c>
      <c r="M2105" t="s">
        <v>11746</v>
      </c>
      <c r="N2105" t="s">
        <v>11751</v>
      </c>
      <c r="O2105" t="s">
        <v>11752</v>
      </c>
      <c r="P2105" t="s">
        <v>11753</v>
      </c>
      <c r="Q2105" t="s">
        <v>30</v>
      </c>
      <c r="R2105" t="s">
        <v>31</v>
      </c>
      <c r="S2105" t="s">
        <v>159</v>
      </c>
    </row>
    <row r="2106" spans="1:19" x14ac:dyDescent="0.45">
      <c r="A2106" t="str">
        <f t="shared" si="147"/>
        <v>32801</v>
      </c>
      <c r="B2106" t="s">
        <v>1108</v>
      </c>
      <c r="C2106" t="str">
        <f>"38267"</f>
        <v>38267</v>
      </c>
      <c r="D2106" t="s">
        <v>4554</v>
      </c>
      <c r="E2106" t="str">
        <f>"2499"</f>
        <v>2499</v>
      </c>
      <c r="F2106" t="s">
        <v>11754</v>
      </c>
      <c r="G2106">
        <v>9</v>
      </c>
      <c r="H2106">
        <v>12</v>
      </c>
      <c r="I2106" t="s">
        <v>11755</v>
      </c>
      <c r="K2106" t="s">
        <v>4557</v>
      </c>
      <c r="L2106" t="s">
        <v>25</v>
      </c>
      <c r="M2106" t="s">
        <v>11756</v>
      </c>
      <c r="N2106" t="s">
        <v>11757</v>
      </c>
      <c r="O2106" t="s">
        <v>11758</v>
      </c>
      <c r="P2106" t="s">
        <v>11759</v>
      </c>
      <c r="Q2106" t="s">
        <v>30</v>
      </c>
      <c r="R2106" t="s">
        <v>31</v>
      </c>
      <c r="S2106" t="s">
        <v>58</v>
      </c>
    </row>
    <row r="2107" spans="1:19" x14ac:dyDescent="0.45">
      <c r="A2107" t="str">
        <f t="shared" si="147"/>
        <v>32801</v>
      </c>
      <c r="B2107" t="s">
        <v>1108</v>
      </c>
      <c r="C2107" t="str">
        <f>"38267"</f>
        <v>38267</v>
      </c>
      <c r="D2107" t="s">
        <v>4554</v>
      </c>
      <c r="E2107" t="str">
        <f>"2587"</f>
        <v>2587</v>
      </c>
      <c r="F2107" t="s">
        <v>1751</v>
      </c>
      <c r="G2107" t="s">
        <v>22</v>
      </c>
      <c r="H2107">
        <v>5</v>
      </c>
      <c r="I2107" t="s">
        <v>11760</v>
      </c>
      <c r="K2107" t="s">
        <v>4557</v>
      </c>
      <c r="L2107" t="s">
        <v>25</v>
      </c>
      <c r="M2107" t="s">
        <v>11761</v>
      </c>
      <c r="N2107" t="s">
        <v>79</v>
      </c>
      <c r="Q2107" t="s">
        <v>30</v>
      </c>
      <c r="R2107" t="s">
        <v>31</v>
      </c>
      <c r="S2107" t="s">
        <v>32</v>
      </c>
    </row>
    <row r="2108" spans="1:19" x14ac:dyDescent="0.45">
      <c r="A2108" t="str">
        <f t="shared" si="147"/>
        <v>32801</v>
      </c>
      <c r="B2108" t="s">
        <v>1108</v>
      </c>
      <c r="C2108" t="str">
        <f>"38267"</f>
        <v>38267</v>
      </c>
      <c r="D2108" t="s">
        <v>4554</v>
      </c>
      <c r="E2108" t="str">
        <f>"3203"</f>
        <v>3203</v>
      </c>
      <c r="F2108" t="s">
        <v>1470</v>
      </c>
      <c r="G2108" t="s">
        <v>22</v>
      </c>
      <c r="H2108">
        <v>5</v>
      </c>
      <c r="I2108" t="s">
        <v>11762</v>
      </c>
      <c r="K2108" t="s">
        <v>4557</v>
      </c>
      <c r="L2108" t="s">
        <v>25</v>
      </c>
      <c r="M2108" t="s">
        <v>11763</v>
      </c>
      <c r="N2108" t="s">
        <v>11764</v>
      </c>
      <c r="O2108" t="s">
        <v>11765</v>
      </c>
      <c r="P2108" t="s">
        <v>11766</v>
      </c>
      <c r="Q2108" t="s">
        <v>30</v>
      </c>
      <c r="R2108" t="s">
        <v>31</v>
      </c>
      <c r="S2108" t="s">
        <v>32</v>
      </c>
    </row>
    <row r="2109" spans="1:19" x14ac:dyDescent="0.45">
      <c r="A2109" t="str">
        <f t="shared" si="147"/>
        <v>32801</v>
      </c>
      <c r="B2109" t="s">
        <v>1108</v>
      </c>
      <c r="C2109" t="str">
        <f>"38267"</f>
        <v>38267</v>
      </c>
      <c r="D2109" t="s">
        <v>4554</v>
      </c>
      <c r="E2109" t="str">
        <f>"3419"</f>
        <v>3419</v>
      </c>
      <c r="F2109" t="s">
        <v>1190</v>
      </c>
      <c r="G2109">
        <v>6</v>
      </c>
      <c r="H2109">
        <v>8</v>
      </c>
      <c r="I2109" t="s">
        <v>11767</v>
      </c>
      <c r="K2109" t="s">
        <v>4557</v>
      </c>
      <c r="L2109" t="s">
        <v>25</v>
      </c>
      <c r="M2109" t="s">
        <v>11768</v>
      </c>
      <c r="N2109" t="s">
        <v>11769</v>
      </c>
      <c r="O2109" t="s">
        <v>11770</v>
      </c>
      <c r="P2109" t="s">
        <v>11771</v>
      </c>
      <c r="Q2109" t="s">
        <v>30</v>
      </c>
      <c r="R2109" t="s">
        <v>31</v>
      </c>
      <c r="S2109" t="s">
        <v>104</v>
      </c>
    </row>
    <row r="2110" spans="1:19" x14ac:dyDescent="0.45">
      <c r="A2110" t="str">
        <f t="shared" si="147"/>
        <v>32801</v>
      </c>
      <c r="B2110" t="s">
        <v>1108</v>
      </c>
      <c r="C2110" t="str">
        <f>"38267"</f>
        <v>38267</v>
      </c>
      <c r="D2110" t="s">
        <v>4554</v>
      </c>
      <c r="E2110" t="str">
        <f>"3614"</f>
        <v>3614</v>
      </c>
      <c r="F2110" t="s">
        <v>9666</v>
      </c>
      <c r="G2110" t="s">
        <v>22</v>
      </c>
      <c r="H2110">
        <v>5</v>
      </c>
      <c r="I2110" t="s">
        <v>11772</v>
      </c>
      <c r="K2110" t="s">
        <v>4557</v>
      </c>
      <c r="L2110" t="s">
        <v>25</v>
      </c>
      <c r="M2110" t="s">
        <v>11773</v>
      </c>
      <c r="N2110" t="s">
        <v>11774</v>
      </c>
      <c r="O2110" t="s">
        <v>11775</v>
      </c>
      <c r="P2110" t="s">
        <v>11776</v>
      </c>
      <c r="Q2110" t="s">
        <v>30</v>
      </c>
      <c r="R2110" t="s">
        <v>31</v>
      </c>
      <c r="S2110" t="s">
        <v>32</v>
      </c>
    </row>
    <row r="2111" spans="1:19" x14ac:dyDescent="0.45">
      <c r="A2111" t="str">
        <f t="shared" si="147"/>
        <v>32801</v>
      </c>
      <c r="B2111" t="s">
        <v>1108</v>
      </c>
      <c r="C2111" t="str">
        <f>"38300"</f>
        <v>38300</v>
      </c>
      <c r="D2111" t="s">
        <v>11777</v>
      </c>
      <c r="E2111" t="str">
        <f>"2894"</f>
        <v>2894</v>
      </c>
      <c r="F2111" t="s">
        <v>11778</v>
      </c>
      <c r="G2111" t="s">
        <v>70</v>
      </c>
      <c r="H2111">
        <v>6</v>
      </c>
      <c r="I2111" t="s">
        <v>11779</v>
      </c>
      <c r="K2111" t="s">
        <v>11780</v>
      </c>
      <c r="L2111" t="s">
        <v>25</v>
      </c>
      <c r="M2111" t="s">
        <v>11781</v>
      </c>
      <c r="N2111" t="s">
        <v>11782</v>
      </c>
      <c r="O2111" t="s">
        <v>11783</v>
      </c>
      <c r="P2111" t="s">
        <v>11784</v>
      </c>
      <c r="Q2111" t="s">
        <v>30</v>
      </c>
      <c r="R2111" t="s">
        <v>31</v>
      </c>
      <c r="S2111" t="s">
        <v>159</v>
      </c>
    </row>
    <row r="2112" spans="1:19" x14ac:dyDescent="0.45">
      <c r="A2112" t="str">
        <f t="shared" si="147"/>
        <v>32801</v>
      </c>
      <c r="B2112" t="s">
        <v>1108</v>
      </c>
      <c r="C2112" t="str">
        <f>"38300"</f>
        <v>38300</v>
      </c>
      <c r="D2112" t="s">
        <v>11777</v>
      </c>
      <c r="E2112" t="str">
        <f>"3366"</f>
        <v>3366</v>
      </c>
      <c r="F2112" t="s">
        <v>11785</v>
      </c>
      <c r="G2112">
        <v>7</v>
      </c>
      <c r="H2112">
        <v>12</v>
      </c>
      <c r="I2112" t="s">
        <v>11786</v>
      </c>
      <c r="K2112" t="s">
        <v>11780</v>
      </c>
      <c r="L2112" t="s">
        <v>25</v>
      </c>
      <c r="M2112" t="s">
        <v>11781</v>
      </c>
      <c r="N2112" t="s">
        <v>11787</v>
      </c>
      <c r="O2112" t="s">
        <v>11788</v>
      </c>
      <c r="P2112" t="s">
        <v>11789</v>
      </c>
      <c r="Q2112" t="s">
        <v>30</v>
      </c>
      <c r="R2112" t="s">
        <v>31</v>
      </c>
      <c r="S2112" t="s">
        <v>58</v>
      </c>
    </row>
    <row r="2113" spans="1:19" x14ac:dyDescent="0.45">
      <c r="A2113" t="str">
        <f t="shared" si="147"/>
        <v>32801</v>
      </c>
      <c r="B2113" t="s">
        <v>1108</v>
      </c>
      <c r="C2113" t="str">
        <f>"38301"</f>
        <v>38301</v>
      </c>
      <c r="D2113" t="s">
        <v>11790</v>
      </c>
      <c r="E2113" t="str">
        <f>"2622"</f>
        <v>2622</v>
      </c>
      <c r="F2113" t="s">
        <v>11791</v>
      </c>
      <c r="G2113" t="s">
        <v>22</v>
      </c>
      <c r="H2113">
        <v>5</v>
      </c>
      <c r="I2113" t="s">
        <v>11792</v>
      </c>
      <c r="K2113" t="s">
        <v>11793</v>
      </c>
      <c r="L2113" t="s">
        <v>25</v>
      </c>
      <c r="M2113" t="s">
        <v>11794</v>
      </c>
      <c r="N2113" t="s">
        <v>11795</v>
      </c>
      <c r="O2113" t="s">
        <v>11796</v>
      </c>
      <c r="P2113" t="s">
        <v>11797</v>
      </c>
      <c r="Q2113" t="s">
        <v>30</v>
      </c>
      <c r="R2113" t="s">
        <v>31</v>
      </c>
      <c r="S2113" t="s">
        <v>32</v>
      </c>
    </row>
    <row r="2114" spans="1:19" x14ac:dyDescent="0.45">
      <c r="A2114" t="str">
        <f t="shared" si="147"/>
        <v>32801</v>
      </c>
      <c r="B2114" t="s">
        <v>1108</v>
      </c>
      <c r="C2114" t="str">
        <f>"38301"</f>
        <v>38301</v>
      </c>
      <c r="D2114" t="s">
        <v>11790</v>
      </c>
      <c r="E2114" t="str">
        <f>"2634"</f>
        <v>2634</v>
      </c>
      <c r="F2114" t="s">
        <v>11798</v>
      </c>
      <c r="G2114">
        <v>9</v>
      </c>
      <c r="H2114">
        <v>12</v>
      </c>
      <c r="I2114" t="s">
        <v>11799</v>
      </c>
      <c r="K2114" t="s">
        <v>11793</v>
      </c>
      <c r="L2114" t="s">
        <v>25</v>
      </c>
      <c r="M2114" t="s">
        <v>11794</v>
      </c>
      <c r="N2114" t="s">
        <v>11795</v>
      </c>
      <c r="O2114" t="s">
        <v>11796</v>
      </c>
      <c r="P2114" t="s">
        <v>11797</v>
      </c>
      <c r="Q2114" t="s">
        <v>30</v>
      </c>
      <c r="R2114" t="s">
        <v>31</v>
      </c>
      <c r="S2114" t="s">
        <v>58</v>
      </c>
    </row>
    <row r="2115" spans="1:19" x14ac:dyDescent="0.45">
      <c r="A2115" t="str">
        <f t="shared" si="147"/>
        <v>32801</v>
      </c>
      <c r="B2115" t="s">
        <v>1108</v>
      </c>
      <c r="C2115" t="str">
        <f>"38302"</f>
        <v>38302</v>
      </c>
      <c r="D2115" t="s">
        <v>11800</v>
      </c>
      <c r="E2115" t="str">
        <f>"2895"</f>
        <v>2895</v>
      </c>
      <c r="F2115" t="s">
        <v>10256</v>
      </c>
      <c r="G2115" t="s">
        <v>22</v>
      </c>
      <c r="H2115">
        <v>5</v>
      </c>
      <c r="I2115" t="s">
        <v>11801</v>
      </c>
      <c r="K2115" t="s">
        <v>11802</v>
      </c>
      <c r="L2115" t="s">
        <v>25</v>
      </c>
      <c r="M2115" t="s">
        <v>11803</v>
      </c>
      <c r="N2115" t="s">
        <v>11804</v>
      </c>
      <c r="O2115" t="s">
        <v>11805</v>
      </c>
      <c r="P2115" t="s">
        <v>11806</v>
      </c>
      <c r="Q2115" t="s">
        <v>30</v>
      </c>
      <c r="R2115" t="s">
        <v>31</v>
      </c>
      <c r="S2115" t="s">
        <v>32</v>
      </c>
    </row>
    <row r="2116" spans="1:19" x14ac:dyDescent="0.45">
      <c r="A2116" t="str">
        <f t="shared" si="147"/>
        <v>32801</v>
      </c>
      <c r="B2116" t="s">
        <v>1108</v>
      </c>
      <c r="C2116" t="str">
        <f>"38302"</f>
        <v>38302</v>
      </c>
      <c r="D2116" t="s">
        <v>11800</v>
      </c>
      <c r="E2116" t="str">
        <f>"2896"</f>
        <v>2896</v>
      </c>
      <c r="F2116" t="s">
        <v>11807</v>
      </c>
      <c r="G2116">
        <v>6</v>
      </c>
      <c r="H2116">
        <v>8</v>
      </c>
      <c r="I2116" t="s">
        <v>11801</v>
      </c>
      <c r="K2116" t="s">
        <v>11802</v>
      </c>
      <c r="L2116" t="s">
        <v>25</v>
      </c>
      <c r="M2116" t="s">
        <v>11803</v>
      </c>
      <c r="N2116" t="s">
        <v>11804</v>
      </c>
      <c r="O2116" t="s">
        <v>11805</v>
      </c>
      <c r="P2116" t="s">
        <v>11806</v>
      </c>
      <c r="Q2116" t="s">
        <v>30</v>
      </c>
      <c r="R2116" t="s">
        <v>31</v>
      </c>
      <c r="S2116" t="s">
        <v>104</v>
      </c>
    </row>
    <row r="2117" spans="1:19" x14ac:dyDescent="0.45">
      <c r="A2117" t="str">
        <f t="shared" si="147"/>
        <v>32801</v>
      </c>
      <c r="B2117" t="s">
        <v>1108</v>
      </c>
      <c r="C2117" t="str">
        <f>"38304"</f>
        <v>38304</v>
      </c>
      <c r="D2117" t="s">
        <v>11808</v>
      </c>
      <c r="E2117" t="str">
        <f>"2115"</f>
        <v>2115</v>
      </c>
      <c r="F2117" t="s">
        <v>11809</v>
      </c>
      <c r="G2117" t="s">
        <v>22</v>
      </c>
      <c r="H2117">
        <v>8</v>
      </c>
      <c r="I2117" t="s">
        <v>11810</v>
      </c>
      <c r="K2117" t="s">
        <v>11811</v>
      </c>
      <c r="L2117" t="s">
        <v>25</v>
      </c>
      <c r="M2117" t="s">
        <v>11812</v>
      </c>
      <c r="N2117" t="s">
        <v>11813</v>
      </c>
      <c r="O2117" t="s">
        <v>11814</v>
      </c>
      <c r="P2117" t="s">
        <v>11815</v>
      </c>
      <c r="Q2117" t="s">
        <v>30</v>
      </c>
      <c r="R2117" t="s">
        <v>31</v>
      </c>
      <c r="S2117" t="s">
        <v>159</v>
      </c>
    </row>
    <row r="2118" spans="1:19" x14ac:dyDescent="0.45">
      <c r="A2118" t="str">
        <f t="shared" si="147"/>
        <v>32801</v>
      </c>
      <c r="B2118" t="s">
        <v>1108</v>
      </c>
      <c r="C2118" t="str">
        <f>"38306"</f>
        <v>38306</v>
      </c>
      <c r="D2118" t="s">
        <v>11816</v>
      </c>
      <c r="E2118" t="str">
        <f>"2588"</f>
        <v>2588</v>
      </c>
      <c r="F2118" t="s">
        <v>11817</v>
      </c>
      <c r="G2118" t="s">
        <v>22</v>
      </c>
      <c r="H2118">
        <v>12</v>
      </c>
      <c r="I2118" t="s">
        <v>11818</v>
      </c>
      <c r="K2118" t="s">
        <v>11819</v>
      </c>
      <c r="L2118" t="s">
        <v>25</v>
      </c>
      <c r="M2118" t="s">
        <v>11820</v>
      </c>
      <c r="N2118" t="s">
        <v>11821</v>
      </c>
      <c r="O2118" t="s">
        <v>11822</v>
      </c>
      <c r="P2118" t="s">
        <v>11823</v>
      </c>
      <c r="Q2118" t="s">
        <v>30</v>
      </c>
      <c r="R2118" t="s">
        <v>31</v>
      </c>
      <c r="S2118" t="s">
        <v>68</v>
      </c>
    </row>
    <row r="2119" spans="1:19" x14ac:dyDescent="0.45">
      <c r="A2119" t="str">
        <f t="shared" si="147"/>
        <v>32801</v>
      </c>
      <c r="B2119" t="s">
        <v>1108</v>
      </c>
      <c r="C2119" t="str">
        <f>"38308"</f>
        <v>38308</v>
      </c>
      <c r="D2119" t="s">
        <v>11824</v>
      </c>
      <c r="E2119" t="str">
        <f>"2207"</f>
        <v>2207</v>
      </c>
      <c r="F2119" t="s">
        <v>11825</v>
      </c>
      <c r="G2119" t="s">
        <v>22</v>
      </c>
      <c r="H2119">
        <v>8</v>
      </c>
      <c r="I2119" t="s">
        <v>11826</v>
      </c>
      <c r="K2119" t="s">
        <v>11827</v>
      </c>
      <c r="L2119" t="s">
        <v>25</v>
      </c>
      <c r="M2119" t="s">
        <v>11828</v>
      </c>
      <c r="N2119" t="s">
        <v>11829</v>
      </c>
      <c r="O2119" t="s">
        <v>11830</v>
      </c>
      <c r="P2119" t="s">
        <v>11831</v>
      </c>
      <c r="Q2119" t="s">
        <v>30</v>
      </c>
      <c r="R2119" t="s">
        <v>31</v>
      </c>
      <c r="S2119" t="s">
        <v>159</v>
      </c>
    </row>
    <row r="2120" spans="1:19" x14ac:dyDescent="0.45">
      <c r="A2120" t="str">
        <f t="shared" si="147"/>
        <v>32801</v>
      </c>
      <c r="B2120" t="s">
        <v>1108</v>
      </c>
      <c r="C2120" t="str">
        <f>"38320"</f>
        <v>38320</v>
      </c>
      <c r="D2120" t="s">
        <v>11832</v>
      </c>
      <c r="E2120" t="str">
        <f>"3204"</f>
        <v>3204</v>
      </c>
      <c r="F2120" t="s">
        <v>11833</v>
      </c>
      <c r="G2120" t="s">
        <v>22</v>
      </c>
      <c r="H2120">
        <v>12</v>
      </c>
      <c r="I2120" t="s">
        <v>11834</v>
      </c>
      <c r="K2120" t="s">
        <v>11835</v>
      </c>
      <c r="L2120" t="s">
        <v>25</v>
      </c>
      <c r="M2120">
        <v>99170</v>
      </c>
      <c r="N2120" t="s">
        <v>11836</v>
      </c>
      <c r="O2120" t="s">
        <v>11837</v>
      </c>
      <c r="P2120" t="s">
        <v>11838</v>
      </c>
      <c r="Q2120" t="s">
        <v>30</v>
      </c>
      <c r="R2120" t="s">
        <v>31</v>
      </c>
      <c r="S2120" t="s">
        <v>68</v>
      </c>
    </row>
    <row r="2121" spans="1:19" x14ac:dyDescent="0.45">
      <c r="A2121" t="str">
        <f t="shared" si="147"/>
        <v>32801</v>
      </c>
      <c r="B2121" t="s">
        <v>1108</v>
      </c>
      <c r="C2121" t="str">
        <f>"38322"</f>
        <v>38322</v>
      </c>
      <c r="D2121" t="s">
        <v>11839</v>
      </c>
      <c r="E2121" t="str">
        <f>"3068"</f>
        <v>3068</v>
      </c>
      <c r="F2121" t="s">
        <v>11840</v>
      </c>
      <c r="G2121">
        <v>9</v>
      </c>
      <c r="H2121">
        <v>12</v>
      </c>
      <c r="I2121" t="s">
        <v>11841</v>
      </c>
      <c r="K2121" t="s">
        <v>11842</v>
      </c>
      <c r="L2121" t="s">
        <v>25</v>
      </c>
      <c r="M2121" t="s">
        <v>11843</v>
      </c>
      <c r="N2121" t="s">
        <v>11844</v>
      </c>
      <c r="O2121" t="s">
        <v>11845</v>
      </c>
      <c r="P2121" t="s">
        <v>11846</v>
      </c>
      <c r="Q2121" t="s">
        <v>30</v>
      </c>
      <c r="R2121" t="s">
        <v>31</v>
      </c>
      <c r="S2121" t="s">
        <v>58</v>
      </c>
    </row>
    <row r="2122" spans="1:19" x14ac:dyDescent="0.45">
      <c r="A2122" t="str">
        <f t="shared" si="147"/>
        <v>32801</v>
      </c>
      <c r="B2122" t="s">
        <v>1108</v>
      </c>
      <c r="C2122" t="str">
        <f>"38322"</f>
        <v>38322</v>
      </c>
      <c r="D2122" t="s">
        <v>11839</v>
      </c>
      <c r="E2122" t="str">
        <f>"3069"</f>
        <v>3069</v>
      </c>
      <c r="F2122" t="s">
        <v>11847</v>
      </c>
      <c r="G2122" t="s">
        <v>22</v>
      </c>
      <c r="H2122">
        <v>5</v>
      </c>
      <c r="I2122" t="s">
        <v>11841</v>
      </c>
      <c r="K2122" t="s">
        <v>11842</v>
      </c>
      <c r="L2122" t="s">
        <v>25</v>
      </c>
      <c r="M2122" t="s">
        <v>11843</v>
      </c>
      <c r="N2122" t="s">
        <v>11844</v>
      </c>
      <c r="O2122" t="s">
        <v>11845</v>
      </c>
      <c r="P2122" t="s">
        <v>11846</v>
      </c>
      <c r="Q2122" t="s">
        <v>30</v>
      </c>
      <c r="R2122" t="s">
        <v>31</v>
      </c>
      <c r="S2122" t="s">
        <v>32</v>
      </c>
    </row>
    <row r="2123" spans="1:19" x14ac:dyDescent="0.45">
      <c r="A2123" t="str">
        <f t="shared" si="147"/>
        <v>32801</v>
      </c>
      <c r="B2123" t="s">
        <v>1108</v>
      </c>
      <c r="C2123" t="str">
        <f>"38324"</f>
        <v>38324</v>
      </c>
      <c r="D2123" t="s">
        <v>11848</v>
      </c>
      <c r="E2123" t="str">
        <f>"2432"</f>
        <v>2432</v>
      </c>
      <c r="F2123" t="s">
        <v>11849</v>
      </c>
      <c r="G2123">
        <v>6</v>
      </c>
      <c r="H2123">
        <v>12</v>
      </c>
      <c r="I2123" t="s">
        <v>11850</v>
      </c>
      <c r="K2123" t="s">
        <v>11851</v>
      </c>
      <c r="L2123" t="s">
        <v>25</v>
      </c>
      <c r="M2123" t="s">
        <v>11852</v>
      </c>
      <c r="N2123" t="s">
        <v>11853</v>
      </c>
      <c r="O2123" t="s">
        <v>11854</v>
      </c>
      <c r="P2123" t="s">
        <v>11855</v>
      </c>
      <c r="Q2123" t="s">
        <v>30</v>
      </c>
      <c r="R2123" t="s">
        <v>31</v>
      </c>
      <c r="S2123" t="s">
        <v>159</v>
      </c>
    </row>
    <row r="2124" spans="1:19" x14ac:dyDescent="0.45">
      <c r="A2124" t="str">
        <f t="shared" si="147"/>
        <v>32801</v>
      </c>
      <c r="B2124" t="s">
        <v>1108</v>
      </c>
      <c r="C2124" t="str">
        <f>"38324"</f>
        <v>38324</v>
      </c>
      <c r="D2124" t="s">
        <v>11848</v>
      </c>
      <c r="E2124" t="str">
        <f>"3205"</f>
        <v>3205</v>
      </c>
      <c r="F2124" t="s">
        <v>11856</v>
      </c>
      <c r="G2124" t="s">
        <v>22</v>
      </c>
      <c r="H2124">
        <v>5</v>
      </c>
      <c r="I2124" t="s">
        <v>11850</v>
      </c>
      <c r="K2124" t="s">
        <v>11851</v>
      </c>
      <c r="L2124" t="s">
        <v>25</v>
      </c>
      <c r="M2124" t="s">
        <v>11852</v>
      </c>
      <c r="N2124" t="s">
        <v>11853</v>
      </c>
      <c r="O2124" t="s">
        <v>11854</v>
      </c>
      <c r="P2124" t="s">
        <v>11855</v>
      </c>
      <c r="Q2124" t="s">
        <v>30</v>
      </c>
      <c r="R2124" t="s">
        <v>31</v>
      </c>
      <c r="S2124" t="s">
        <v>32</v>
      </c>
    </row>
    <row r="2125" spans="1:19" x14ac:dyDescent="0.45">
      <c r="A2125" t="str">
        <f t="shared" ref="A2125:A2156" si="148">"39801"</f>
        <v>39801</v>
      </c>
      <c r="B2125" t="s">
        <v>2395</v>
      </c>
      <c r="C2125" t="str">
        <f>"39002"</f>
        <v>39002</v>
      </c>
      <c r="D2125" t="s">
        <v>11857</v>
      </c>
      <c r="E2125" t="str">
        <f>"2714"</f>
        <v>2714</v>
      </c>
      <c r="F2125" t="s">
        <v>11858</v>
      </c>
      <c r="G2125" t="s">
        <v>22</v>
      </c>
      <c r="H2125">
        <v>8</v>
      </c>
      <c r="I2125" t="s">
        <v>11859</v>
      </c>
      <c r="K2125" t="s">
        <v>11860</v>
      </c>
      <c r="L2125" t="s">
        <v>25</v>
      </c>
      <c r="M2125" t="s">
        <v>11861</v>
      </c>
      <c r="N2125" t="s">
        <v>11862</v>
      </c>
      <c r="O2125" t="s">
        <v>11863</v>
      </c>
      <c r="P2125" t="s">
        <v>11864</v>
      </c>
      <c r="Q2125" t="s">
        <v>30</v>
      </c>
      <c r="R2125" t="s">
        <v>31</v>
      </c>
      <c r="S2125" t="s">
        <v>159</v>
      </c>
    </row>
    <row r="2126" spans="1:19" x14ac:dyDescent="0.45">
      <c r="A2126" t="str">
        <f t="shared" si="148"/>
        <v>39801</v>
      </c>
      <c r="B2126" t="s">
        <v>2395</v>
      </c>
      <c r="C2126" t="str">
        <f>"39003"</f>
        <v>39003</v>
      </c>
      <c r="D2126" t="s">
        <v>2946</v>
      </c>
      <c r="E2126" t="str">
        <f>"2591"</f>
        <v>2591</v>
      </c>
      <c r="F2126" t="s">
        <v>11865</v>
      </c>
      <c r="G2126">
        <v>9</v>
      </c>
      <c r="H2126">
        <v>12</v>
      </c>
      <c r="I2126" t="s">
        <v>2918</v>
      </c>
      <c r="K2126" t="s">
        <v>2949</v>
      </c>
      <c r="L2126" t="s">
        <v>25</v>
      </c>
      <c r="M2126" t="s">
        <v>11866</v>
      </c>
      <c r="N2126" t="s">
        <v>11867</v>
      </c>
      <c r="O2126" t="s">
        <v>11868</v>
      </c>
      <c r="P2126" t="s">
        <v>11869</v>
      </c>
      <c r="Q2126" t="s">
        <v>30</v>
      </c>
      <c r="R2126" t="s">
        <v>31</v>
      </c>
      <c r="S2126" t="s">
        <v>58</v>
      </c>
    </row>
    <row r="2127" spans="1:19" x14ac:dyDescent="0.45">
      <c r="A2127" t="str">
        <f t="shared" si="148"/>
        <v>39801</v>
      </c>
      <c r="B2127" t="s">
        <v>2395</v>
      </c>
      <c r="C2127" t="str">
        <f>"39003"</f>
        <v>39003</v>
      </c>
      <c r="D2127" t="s">
        <v>2946</v>
      </c>
      <c r="E2127" t="str">
        <f>"2898"</f>
        <v>2898</v>
      </c>
      <c r="F2127" t="s">
        <v>11870</v>
      </c>
      <c r="G2127">
        <v>5</v>
      </c>
      <c r="H2127">
        <v>8</v>
      </c>
      <c r="I2127" t="s">
        <v>2831</v>
      </c>
      <c r="K2127" t="s">
        <v>2949</v>
      </c>
      <c r="L2127" t="s">
        <v>25</v>
      </c>
      <c r="M2127" t="s">
        <v>11866</v>
      </c>
      <c r="N2127" t="s">
        <v>11871</v>
      </c>
      <c r="O2127" t="s">
        <v>11872</v>
      </c>
      <c r="P2127" t="s">
        <v>11873</v>
      </c>
      <c r="Q2127" t="s">
        <v>30</v>
      </c>
      <c r="R2127" t="s">
        <v>31</v>
      </c>
      <c r="S2127" t="s">
        <v>104</v>
      </c>
    </row>
    <row r="2128" spans="1:19" x14ac:dyDescent="0.45">
      <c r="A2128" t="str">
        <f t="shared" si="148"/>
        <v>39801</v>
      </c>
      <c r="B2128" t="s">
        <v>2395</v>
      </c>
      <c r="C2128" t="str">
        <f t="shared" ref="C2128:C2149" si="149">"39007"</f>
        <v>39007</v>
      </c>
      <c r="D2128" t="s">
        <v>2508</v>
      </c>
      <c r="E2128" t="str">
        <f>"2116"</f>
        <v>2116</v>
      </c>
      <c r="F2128" t="s">
        <v>11874</v>
      </c>
      <c r="G2128">
        <v>9</v>
      </c>
      <c r="H2128">
        <v>12</v>
      </c>
      <c r="I2128" t="s">
        <v>11875</v>
      </c>
      <c r="K2128" t="s">
        <v>2512</v>
      </c>
      <c r="L2128" t="s">
        <v>25</v>
      </c>
      <c r="M2128" t="s">
        <v>11876</v>
      </c>
      <c r="N2128" t="s">
        <v>11877</v>
      </c>
      <c r="O2128" t="s">
        <v>11878</v>
      </c>
      <c r="P2128" t="s">
        <v>11879</v>
      </c>
      <c r="Q2128" t="s">
        <v>30</v>
      </c>
      <c r="R2128" t="s">
        <v>31</v>
      </c>
      <c r="S2128" t="s">
        <v>58</v>
      </c>
    </row>
    <row r="2129" spans="1:19" x14ac:dyDescent="0.45">
      <c r="A2129" t="str">
        <f t="shared" si="148"/>
        <v>39801</v>
      </c>
      <c r="B2129" t="s">
        <v>2395</v>
      </c>
      <c r="C2129" t="str">
        <f t="shared" si="149"/>
        <v>39007</v>
      </c>
      <c r="D2129" t="s">
        <v>2508</v>
      </c>
      <c r="E2129" t="str">
        <f>"2176"</f>
        <v>2176</v>
      </c>
      <c r="F2129" t="s">
        <v>9094</v>
      </c>
      <c r="G2129" t="s">
        <v>70</v>
      </c>
      <c r="H2129">
        <v>5</v>
      </c>
      <c r="I2129" t="s">
        <v>11880</v>
      </c>
      <c r="K2129" t="s">
        <v>2512</v>
      </c>
      <c r="L2129" t="s">
        <v>25</v>
      </c>
      <c r="M2129" t="s">
        <v>11881</v>
      </c>
      <c r="N2129" t="s">
        <v>11882</v>
      </c>
      <c r="O2129" t="s">
        <v>11883</v>
      </c>
      <c r="P2129" t="s">
        <v>11884</v>
      </c>
      <c r="Q2129" t="s">
        <v>30</v>
      </c>
      <c r="R2129" t="s">
        <v>31</v>
      </c>
      <c r="S2129" t="s">
        <v>32</v>
      </c>
    </row>
    <row r="2130" spans="1:19" x14ac:dyDescent="0.45">
      <c r="A2130" t="str">
        <f t="shared" si="148"/>
        <v>39801</v>
      </c>
      <c r="B2130" t="s">
        <v>2395</v>
      </c>
      <c r="C2130" t="str">
        <f t="shared" si="149"/>
        <v>39007</v>
      </c>
      <c r="D2130" t="s">
        <v>2508</v>
      </c>
      <c r="E2130" t="str">
        <f>"2177"</f>
        <v>2177</v>
      </c>
      <c r="F2130" t="s">
        <v>11885</v>
      </c>
      <c r="G2130" t="s">
        <v>70</v>
      </c>
      <c r="H2130">
        <v>5</v>
      </c>
      <c r="I2130" t="s">
        <v>11886</v>
      </c>
      <c r="K2130" t="s">
        <v>2512</v>
      </c>
      <c r="L2130" t="s">
        <v>25</v>
      </c>
      <c r="M2130" t="s">
        <v>11887</v>
      </c>
      <c r="N2130" t="s">
        <v>11888</v>
      </c>
      <c r="O2130" t="s">
        <v>11889</v>
      </c>
      <c r="P2130" t="s">
        <v>11890</v>
      </c>
      <c r="Q2130" t="s">
        <v>30</v>
      </c>
      <c r="R2130" t="s">
        <v>31</v>
      </c>
      <c r="S2130" t="s">
        <v>32</v>
      </c>
    </row>
    <row r="2131" spans="1:19" x14ac:dyDescent="0.45">
      <c r="A2131" t="str">
        <f t="shared" si="148"/>
        <v>39801</v>
      </c>
      <c r="B2131" t="s">
        <v>2395</v>
      </c>
      <c r="C2131" t="str">
        <f t="shared" si="149"/>
        <v>39007</v>
      </c>
      <c r="D2131" t="s">
        <v>2508</v>
      </c>
      <c r="E2131" t="str">
        <f>"2314"</f>
        <v>2314</v>
      </c>
      <c r="F2131" t="s">
        <v>5544</v>
      </c>
      <c r="G2131">
        <v>6</v>
      </c>
      <c r="H2131">
        <v>8</v>
      </c>
      <c r="I2131" t="s">
        <v>11891</v>
      </c>
      <c r="K2131" t="s">
        <v>2512</v>
      </c>
      <c r="L2131" t="s">
        <v>25</v>
      </c>
      <c r="M2131" t="s">
        <v>11892</v>
      </c>
      <c r="N2131" t="s">
        <v>11893</v>
      </c>
      <c r="O2131" t="s">
        <v>11894</v>
      </c>
      <c r="P2131" t="s">
        <v>11895</v>
      </c>
      <c r="Q2131" t="s">
        <v>30</v>
      </c>
      <c r="R2131" t="s">
        <v>31</v>
      </c>
      <c r="S2131" t="s">
        <v>104</v>
      </c>
    </row>
    <row r="2132" spans="1:19" x14ac:dyDescent="0.45">
      <c r="A2132" t="str">
        <f t="shared" si="148"/>
        <v>39801</v>
      </c>
      <c r="B2132" t="s">
        <v>2395</v>
      </c>
      <c r="C2132" t="str">
        <f t="shared" si="149"/>
        <v>39007</v>
      </c>
      <c r="D2132" t="s">
        <v>2508</v>
      </c>
      <c r="E2132" t="str">
        <f>"2410"</f>
        <v>2410</v>
      </c>
      <c r="F2132" t="s">
        <v>11896</v>
      </c>
      <c r="G2132">
        <v>6</v>
      </c>
      <c r="H2132">
        <v>8</v>
      </c>
      <c r="I2132" t="s">
        <v>11897</v>
      </c>
      <c r="K2132" t="s">
        <v>2512</v>
      </c>
      <c r="L2132" t="s">
        <v>25</v>
      </c>
      <c r="M2132" t="s">
        <v>11898</v>
      </c>
      <c r="N2132" t="s">
        <v>11899</v>
      </c>
      <c r="O2132" t="s">
        <v>11900</v>
      </c>
      <c r="P2132" t="s">
        <v>11901</v>
      </c>
      <c r="Q2132" t="s">
        <v>30</v>
      </c>
      <c r="R2132" t="s">
        <v>31</v>
      </c>
      <c r="S2132" t="s">
        <v>104</v>
      </c>
    </row>
    <row r="2133" spans="1:19" x14ac:dyDescent="0.45">
      <c r="A2133" t="str">
        <f t="shared" si="148"/>
        <v>39801</v>
      </c>
      <c r="B2133" t="s">
        <v>2395</v>
      </c>
      <c r="C2133" t="str">
        <f t="shared" si="149"/>
        <v>39007</v>
      </c>
      <c r="D2133" t="s">
        <v>2508</v>
      </c>
      <c r="E2133" t="str">
        <f>"2433"</f>
        <v>2433</v>
      </c>
      <c r="F2133" t="s">
        <v>10157</v>
      </c>
      <c r="G2133" t="s">
        <v>70</v>
      </c>
      <c r="H2133">
        <v>5</v>
      </c>
      <c r="I2133" t="s">
        <v>11902</v>
      </c>
      <c r="K2133" t="s">
        <v>2512</v>
      </c>
      <c r="L2133" t="s">
        <v>25</v>
      </c>
      <c r="M2133" t="s">
        <v>11903</v>
      </c>
      <c r="N2133" t="s">
        <v>11904</v>
      </c>
      <c r="O2133" t="s">
        <v>11905</v>
      </c>
      <c r="P2133" t="s">
        <v>11906</v>
      </c>
      <c r="Q2133" t="s">
        <v>30</v>
      </c>
      <c r="R2133" t="s">
        <v>31</v>
      </c>
      <c r="S2133" t="s">
        <v>32</v>
      </c>
    </row>
    <row r="2134" spans="1:19" x14ac:dyDescent="0.45">
      <c r="A2134" t="str">
        <f t="shared" si="148"/>
        <v>39801</v>
      </c>
      <c r="B2134" t="s">
        <v>2395</v>
      </c>
      <c r="C2134" t="str">
        <f t="shared" si="149"/>
        <v>39007</v>
      </c>
      <c r="D2134" t="s">
        <v>2508</v>
      </c>
      <c r="E2134" t="str">
        <f>"2529"</f>
        <v>2529</v>
      </c>
      <c r="F2134" t="s">
        <v>2077</v>
      </c>
      <c r="G2134" t="s">
        <v>70</v>
      </c>
      <c r="H2134">
        <v>5</v>
      </c>
      <c r="I2134" t="s">
        <v>11907</v>
      </c>
      <c r="K2134" t="s">
        <v>2512</v>
      </c>
      <c r="L2134" t="s">
        <v>25</v>
      </c>
      <c r="M2134" t="s">
        <v>11908</v>
      </c>
      <c r="N2134" t="s">
        <v>11909</v>
      </c>
      <c r="O2134" t="s">
        <v>11910</v>
      </c>
      <c r="P2134" t="s">
        <v>11911</v>
      </c>
      <c r="Q2134" t="s">
        <v>30</v>
      </c>
      <c r="R2134" t="s">
        <v>31</v>
      </c>
      <c r="S2134" t="s">
        <v>32</v>
      </c>
    </row>
    <row r="2135" spans="1:19" x14ac:dyDescent="0.45">
      <c r="A2135" t="str">
        <f t="shared" si="148"/>
        <v>39801</v>
      </c>
      <c r="B2135" t="s">
        <v>2395</v>
      </c>
      <c r="C2135" t="str">
        <f t="shared" si="149"/>
        <v>39007</v>
      </c>
      <c r="D2135" t="s">
        <v>2508</v>
      </c>
      <c r="E2135" t="str">
        <f>"2592"</f>
        <v>2592</v>
      </c>
      <c r="F2135" t="s">
        <v>5163</v>
      </c>
      <c r="G2135" t="s">
        <v>22</v>
      </c>
      <c r="H2135">
        <v>5</v>
      </c>
      <c r="I2135" t="s">
        <v>11912</v>
      </c>
      <c r="K2135" t="s">
        <v>2512</v>
      </c>
      <c r="L2135" t="s">
        <v>25</v>
      </c>
      <c r="M2135" t="s">
        <v>11913</v>
      </c>
      <c r="N2135" t="s">
        <v>11914</v>
      </c>
      <c r="O2135" t="s">
        <v>11915</v>
      </c>
      <c r="P2135" t="s">
        <v>11916</v>
      </c>
      <c r="Q2135" t="s">
        <v>30</v>
      </c>
      <c r="R2135" t="s">
        <v>31</v>
      </c>
      <c r="S2135" t="s">
        <v>32</v>
      </c>
    </row>
    <row r="2136" spans="1:19" x14ac:dyDescent="0.45">
      <c r="A2136" t="str">
        <f t="shared" si="148"/>
        <v>39801</v>
      </c>
      <c r="B2136" t="s">
        <v>2395</v>
      </c>
      <c r="C2136" t="str">
        <f t="shared" si="149"/>
        <v>39007</v>
      </c>
      <c r="D2136" t="s">
        <v>2508</v>
      </c>
      <c r="E2136" t="str">
        <f>"2715"</f>
        <v>2715</v>
      </c>
      <c r="F2136" t="s">
        <v>11917</v>
      </c>
      <c r="G2136" t="s">
        <v>22</v>
      </c>
      <c r="H2136">
        <v>5</v>
      </c>
      <c r="I2136" t="s">
        <v>11918</v>
      </c>
      <c r="K2136" t="s">
        <v>2512</v>
      </c>
      <c r="L2136" t="s">
        <v>25</v>
      </c>
      <c r="M2136" t="s">
        <v>11919</v>
      </c>
      <c r="N2136" t="s">
        <v>11920</v>
      </c>
      <c r="O2136" t="s">
        <v>11921</v>
      </c>
      <c r="P2136" t="s">
        <v>11922</v>
      </c>
      <c r="Q2136" t="s">
        <v>30</v>
      </c>
      <c r="R2136" t="s">
        <v>31</v>
      </c>
      <c r="S2136" t="s">
        <v>32</v>
      </c>
    </row>
    <row r="2137" spans="1:19" x14ac:dyDescent="0.45">
      <c r="A2137" t="str">
        <f t="shared" si="148"/>
        <v>39801</v>
      </c>
      <c r="B2137" t="s">
        <v>2395</v>
      </c>
      <c r="C2137" t="str">
        <f t="shared" si="149"/>
        <v>39007</v>
      </c>
      <c r="D2137" t="s">
        <v>2508</v>
      </c>
      <c r="E2137" t="str">
        <f>"2818"</f>
        <v>2818</v>
      </c>
      <c r="F2137" t="s">
        <v>11923</v>
      </c>
      <c r="G2137" t="s">
        <v>70</v>
      </c>
      <c r="H2137">
        <v>5</v>
      </c>
      <c r="I2137" t="s">
        <v>11924</v>
      </c>
      <c r="K2137" t="s">
        <v>2512</v>
      </c>
      <c r="L2137" t="s">
        <v>25</v>
      </c>
      <c r="M2137" t="s">
        <v>11925</v>
      </c>
      <c r="N2137" t="s">
        <v>11926</v>
      </c>
      <c r="O2137" t="s">
        <v>11927</v>
      </c>
      <c r="P2137" t="s">
        <v>11928</v>
      </c>
      <c r="Q2137" t="s">
        <v>30</v>
      </c>
      <c r="R2137" t="s">
        <v>31</v>
      </c>
      <c r="S2137" t="s">
        <v>32</v>
      </c>
    </row>
    <row r="2138" spans="1:19" x14ac:dyDescent="0.45">
      <c r="A2138" t="str">
        <f t="shared" si="148"/>
        <v>39801</v>
      </c>
      <c r="B2138" t="s">
        <v>2395</v>
      </c>
      <c r="C2138" t="str">
        <f t="shared" si="149"/>
        <v>39007</v>
      </c>
      <c r="D2138" t="s">
        <v>2508</v>
      </c>
      <c r="E2138" t="str">
        <f>"2819"</f>
        <v>2819</v>
      </c>
      <c r="F2138" t="s">
        <v>11929</v>
      </c>
      <c r="G2138" t="s">
        <v>70</v>
      </c>
      <c r="H2138">
        <v>5</v>
      </c>
      <c r="I2138" t="s">
        <v>11930</v>
      </c>
      <c r="K2138" t="s">
        <v>2512</v>
      </c>
      <c r="L2138" t="s">
        <v>25</v>
      </c>
      <c r="M2138" t="s">
        <v>11931</v>
      </c>
      <c r="N2138" t="s">
        <v>11932</v>
      </c>
      <c r="O2138" t="s">
        <v>11933</v>
      </c>
      <c r="P2138" t="s">
        <v>11934</v>
      </c>
      <c r="Q2138" t="s">
        <v>30</v>
      </c>
      <c r="R2138" t="s">
        <v>31</v>
      </c>
      <c r="S2138" t="s">
        <v>32</v>
      </c>
    </row>
    <row r="2139" spans="1:19" x14ac:dyDescent="0.45">
      <c r="A2139" t="str">
        <f t="shared" si="148"/>
        <v>39801</v>
      </c>
      <c r="B2139" t="s">
        <v>2395</v>
      </c>
      <c r="C2139" t="str">
        <f t="shared" si="149"/>
        <v>39007</v>
      </c>
      <c r="D2139" t="s">
        <v>2508</v>
      </c>
      <c r="E2139" t="str">
        <f>"2899"</f>
        <v>2899</v>
      </c>
      <c r="F2139" t="s">
        <v>11935</v>
      </c>
      <c r="G2139" t="s">
        <v>22</v>
      </c>
      <c r="H2139">
        <v>5</v>
      </c>
      <c r="I2139" t="s">
        <v>11936</v>
      </c>
      <c r="K2139" t="s">
        <v>2512</v>
      </c>
      <c r="L2139" t="s">
        <v>25</v>
      </c>
      <c r="M2139" t="s">
        <v>11937</v>
      </c>
      <c r="N2139" t="s">
        <v>11938</v>
      </c>
      <c r="O2139" t="s">
        <v>11939</v>
      </c>
      <c r="P2139" t="s">
        <v>11940</v>
      </c>
      <c r="Q2139" t="s">
        <v>30</v>
      </c>
      <c r="R2139" t="s">
        <v>31</v>
      </c>
      <c r="S2139" t="s">
        <v>32</v>
      </c>
    </row>
    <row r="2140" spans="1:19" x14ac:dyDescent="0.45">
      <c r="A2140" t="str">
        <f t="shared" si="148"/>
        <v>39801</v>
      </c>
      <c r="B2140" t="s">
        <v>2395</v>
      </c>
      <c r="C2140" t="str">
        <f t="shared" si="149"/>
        <v>39007</v>
      </c>
      <c r="D2140" t="s">
        <v>2508</v>
      </c>
      <c r="E2140" t="str">
        <f>"3023"</f>
        <v>3023</v>
      </c>
      <c r="F2140" t="s">
        <v>11941</v>
      </c>
      <c r="G2140">
        <v>1</v>
      </c>
      <c r="H2140">
        <v>8</v>
      </c>
      <c r="I2140" t="s">
        <v>11942</v>
      </c>
      <c r="K2140" t="s">
        <v>2512</v>
      </c>
      <c r="L2140" t="s">
        <v>25</v>
      </c>
      <c r="M2140" t="s">
        <v>11943</v>
      </c>
      <c r="N2140" t="s">
        <v>11944</v>
      </c>
      <c r="O2140" t="s">
        <v>11945</v>
      </c>
      <c r="P2140" t="s">
        <v>11946</v>
      </c>
      <c r="Q2140" t="s">
        <v>30</v>
      </c>
      <c r="R2140" t="s">
        <v>31</v>
      </c>
      <c r="S2140" t="s">
        <v>159</v>
      </c>
    </row>
    <row r="2141" spans="1:19" x14ac:dyDescent="0.45">
      <c r="A2141" t="str">
        <f t="shared" si="148"/>
        <v>39801</v>
      </c>
      <c r="B2141" t="s">
        <v>2395</v>
      </c>
      <c r="C2141" t="str">
        <f t="shared" si="149"/>
        <v>39007</v>
      </c>
      <c r="D2141" t="s">
        <v>2508</v>
      </c>
      <c r="E2141" t="str">
        <f>"3138"</f>
        <v>3138</v>
      </c>
      <c r="F2141" t="s">
        <v>11947</v>
      </c>
      <c r="G2141" t="s">
        <v>22</v>
      </c>
      <c r="H2141">
        <v>5</v>
      </c>
      <c r="I2141" t="s">
        <v>11948</v>
      </c>
      <c r="K2141" t="s">
        <v>2512</v>
      </c>
      <c r="L2141" t="s">
        <v>25</v>
      </c>
      <c r="M2141" t="s">
        <v>11949</v>
      </c>
      <c r="N2141" t="s">
        <v>11950</v>
      </c>
      <c r="O2141" t="s">
        <v>11951</v>
      </c>
      <c r="P2141" t="s">
        <v>11952</v>
      </c>
      <c r="Q2141" t="s">
        <v>30</v>
      </c>
      <c r="R2141" t="s">
        <v>31</v>
      </c>
      <c r="S2141" t="s">
        <v>32</v>
      </c>
    </row>
    <row r="2142" spans="1:19" x14ac:dyDescent="0.45">
      <c r="A2142" t="str">
        <f t="shared" si="148"/>
        <v>39801</v>
      </c>
      <c r="B2142" t="s">
        <v>2395</v>
      </c>
      <c r="C2142" t="str">
        <f t="shared" si="149"/>
        <v>39007</v>
      </c>
      <c r="D2142" t="s">
        <v>2508</v>
      </c>
      <c r="E2142" t="str">
        <f>"3206"</f>
        <v>3206</v>
      </c>
      <c r="F2142" t="s">
        <v>11953</v>
      </c>
      <c r="G2142">
        <v>9</v>
      </c>
      <c r="H2142">
        <v>12</v>
      </c>
      <c r="I2142" t="s">
        <v>11954</v>
      </c>
      <c r="K2142" t="s">
        <v>2512</v>
      </c>
      <c r="L2142" t="s">
        <v>25</v>
      </c>
      <c r="M2142" t="s">
        <v>11955</v>
      </c>
      <c r="N2142" t="s">
        <v>11956</v>
      </c>
      <c r="O2142" t="s">
        <v>11957</v>
      </c>
      <c r="P2142" t="s">
        <v>11958</v>
      </c>
      <c r="Q2142" t="s">
        <v>30</v>
      </c>
      <c r="R2142" t="s">
        <v>31</v>
      </c>
      <c r="S2142" t="s">
        <v>58</v>
      </c>
    </row>
    <row r="2143" spans="1:19" x14ac:dyDescent="0.45">
      <c r="A2143" t="str">
        <f t="shared" si="148"/>
        <v>39801</v>
      </c>
      <c r="B2143" t="s">
        <v>2395</v>
      </c>
      <c r="C2143" t="str">
        <f t="shared" si="149"/>
        <v>39007</v>
      </c>
      <c r="D2143" t="s">
        <v>2508</v>
      </c>
      <c r="E2143" t="str">
        <f>"3264"</f>
        <v>3264</v>
      </c>
      <c r="F2143" t="s">
        <v>11959</v>
      </c>
      <c r="G2143" t="s">
        <v>70</v>
      </c>
      <c r="H2143">
        <v>5</v>
      </c>
      <c r="I2143" t="s">
        <v>11960</v>
      </c>
      <c r="K2143" t="s">
        <v>2512</v>
      </c>
      <c r="L2143" t="s">
        <v>25</v>
      </c>
      <c r="M2143" t="s">
        <v>11961</v>
      </c>
      <c r="N2143" t="s">
        <v>11962</v>
      </c>
      <c r="O2143" t="s">
        <v>11963</v>
      </c>
      <c r="P2143" t="s">
        <v>11964</v>
      </c>
      <c r="Q2143" t="s">
        <v>30</v>
      </c>
      <c r="R2143" t="s">
        <v>31</v>
      </c>
      <c r="S2143" t="s">
        <v>32</v>
      </c>
    </row>
    <row r="2144" spans="1:19" x14ac:dyDescent="0.45">
      <c r="A2144" t="str">
        <f t="shared" si="148"/>
        <v>39801</v>
      </c>
      <c r="B2144" t="s">
        <v>2395</v>
      </c>
      <c r="C2144" t="str">
        <f t="shared" si="149"/>
        <v>39007</v>
      </c>
      <c r="D2144" t="s">
        <v>2508</v>
      </c>
      <c r="E2144" t="str">
        <f>"3312"</f>
        <v>3312</v>
      </c>
      <c r="F2144" t="s">
        <v>11965</v>
      </c>
      <c r="G2144" t="s">
        <v>22</v>
      </c>
      <c r="H2144">
        <v>5</v>
      </c>
      <c r="I2144" t="s">
        <v>11966</v>
      </c>
      <c r="K2144" t="s">
        <v>2512</v>
      </c>
      <c r="L2144" t="s">
        <v>25</v>
      </c>
      <c r="M2144" t="s">
        <v>11967</v>
      </c>
      <c r="N2144" t="s">
        <v>11968</v>
      </c>
      <c r="O2144" t="s">
        <v>11969</v>
      </c>
      <c r="P2144" t="s">
        <v>11970</v>
      </c>
      <c r="Q2144" t="s">
        <v>30</v>
      </c>
      <c r="R2144" t="s">
        <v>31</v>
      </c>
      <c r="S2144" t="s">
        <v>32</v>
      </c>
    </row>
    <row r="2145" spans="1:19" x14ac:dyDescent="0.45">
      <c r="A2145" t="str">
        <f t="shared" si="148"/>
        <v>39801</v>
      </c>
      <c r="B2145" t="s">
        <v>2395</v>
      </c>
      <c r="C2145" t="str">
        <f t="shared" si="149"/>
        <v>39007</v>
      </c>
      <c r="D2145" t="s">
        <v>2508</v>
      </c>
      <c r="E2145" t="str">
        <f>"3368"</f>
        <v>3368</v>
      </c>
      <c r="F2145" t="s">
        <v>11971</v>
      </c>
      <c r="G2145">
        <v>6</v>
      </c>
      <c r="H2145">
        <v>8</v>
      </c>
      <c r="I2145" t="s">
        <v>11972</v>
      </c>
      <c r="K2145" t="s">
        <v>2512</v>
      </c>
      <c r="L2145" t="s">
        <v>25</v>
      </c>
      <c r="M2145" t="s">
        <v>11973</v>
      </c>
      <c r="N2145" t="s">
        <v>11974</v>
      </c>
      <c r="O2145" t="s">
        <v>11975</v>
      </c>
      <c r="P2145" t="s">
        <v>11976</v>
      </c>
      <c r="Q2145" t="s">
        <v>30</v>
      </c>
      <c r="R2145" t="s">
        <v>31</v>
      </c>
      <c r="S2145" t="s">
        <v>104</v>
      </c>
    </row>
    <row r="2146" spans="1:19" x14ac:dyDescent="0.45">
      <c r="A2146" t="str">
        <f t="shared" si="148"/>
        <v>39801</v>
      </c>
      <c r="B2146" t="s">
        <v>2395</v>
      </c>
      <c r="C2146" t="str">
        <f t="shared" si="149"/>
        <v>39007</v>
      </c>
      <c r="D2146" t="s">
        <v>2508</v>
      </c>
      <c r="E2146" t="str">
        <f>"3615"</f>
        <v>3615</v>
      </c>
      <c r="F2146" t="s">
        <v>11977</v>
      </c>
      <c r="G2146">
        <v>6</v>
      </c>
      <c r="H2146">
        <v>8</v>
      </c>
      <c r="I2146" t="s">
        <v>11978</v>
      </c>
      <c r="K2146" t="s">
        <v>2512</v>
      </c>
      <c r="L2146" t="s">
        <v>25</v>
      </c>
      <c r="M2146" t="s">
        <v>11979</v>
      </c>
      <c r="N2146" t="s">
        <v>11980</v>
      </c>
      <c r="O2146" t="s">
        <v>11981</v>
      </c>
      <c r="P2146" t="s">
        <v>11982</v>
      </c>
      <c r="Q2146" t="s">
        <v>30</v>
      </c>
      <c r="R2146" t="s">
        <v>31</v>
      </c>
      <c r="S2146" t="s">
        <v>104</v>
      </c>
    </row>
    <row r="2147" spans="1:19" x14ac:dyDescent="0.45">
      <c r="A2147" t="str">
        <f t="shared" si="148"/>
        <v>39801</v>
      </c>
      <c r="B2147" t="s">
        <v>2395</v>
      </c>
      <c r="C2147" t="str">
        <f t="shared" si="149"/>
        <v>39007</v>
      </c>
      <c r="D2147" t="s">
        <v>2508</v>
      </c>
      <c r="E2147" t="str">
        <f>"3817"</f>
        <v>3817</v>
      </c>
      <c r="F2147" t="s">
        <v>11983</v>
      </c>
      <c r="G2147" t="s">
        <v>70</v>
      </c>
      <c r="H2147">
        <v>5</v>
      </c>
      <c r="I2147" t="s">
        <v>11984</v>
      </c>
      <c r="K2147" t="s">
        <v>2512</v>
      </c>
      <c r="L2147" t="s">
        <v>25</v>
      </c>
      <c r="M2147" t="s">
        <v>11985</v>
      </c>
      <c r="N2147" t="s">
        <v>11986</v>
      </c>
      <c r="O2147" t="s">
        <v>11987</v>
      </c>
      <c r="P2147" t="s">
        <v>11988</v>
      </c>
      <c r="Q2147" t="s">
        <v>30</v>
      </c>
      <c r="R2147" t="s">
        <v>31</v>
      </c>
      <c r="S2147" t="s">
        <v>32</v>
      </c>
    </row>
    <row r="2148" spans="1:19" x14ac:dyDescent="0.45">
      <c r="A2148" t="str">
        <f t="shared" si="148"/>
        <v>39801</v>
      </c>
      <c r="B2148" t="s">
        <v>2395</v>
      </c>
      <c r="C2148" t="str">
        <f t="shared" si="149"/>
        <v>39007</v>
      </c>
      <c r="D2148" t="s">
        <v>2508</v>
      </c>
      <c r="E2148" t="str">
        <f>"4092"</f>
        <v>4092</v>
      </c>
      <c r="F2148" t="s">
        <v>11989</v>
      </c>
      <c r="G2148">
        <v>5</v>
      </c>
      <c r="H2148">
        <v>12</v>
      </c>
      <c r="I2148" t="s">
        <v>11990</v>
      </c>
      <c r="K2148" t="s">
        <v>4586</v>
      </c>
      <c r="L2148" t="s">
        <v>25</v>
      </c>
      <c r="M2148" t="s">
        <v>11991</v>
      </c>
      <c r="N2148" t="s">
        <v>2513</v>
      </c>
      <c r="O2148" t="s">
        <v>11992</v>
      </c>
      <c r="P2148" t="s">
        <v>11993</v>
      </c>
      <c r="Q2148" t="s">
        <v>1312</v>
      </c>
      <c r="R2148" t="s">
        <v>1313</v>
      </c>
      <c r="S2148" t="s">
        <v>159</v>
      </c>
    </row>
    <row r="2149" spans="1:19" x14ac:dyDescent="0.45">
      <c r="A2149" t="str">
        <f t="shared" si="148"/>
        <v>39801</v>
      </c>
      <c r="B2149" t="s">
        <v>2395</v>
      </c>
      <c r="C2149" t="str">
        <f t="shared" si="149"/>
        <v>39007</v>
      </c>
      <c r="D2149" t="s">
        <v>2508</v>
      </c>
      <c r="E2149" t="str">
        <f>"4093"</f>
        <v>4093</v>
      </c>
      <c r="F2149" t="s">
        <v>11994</v>
      </c>
      <c r="G2149">
        <v>9</v>
      </c>
      <c r="H2149">
        <v>12</v>
      </c>
      <c r="I2149" t="s">
        <v>11995</v>
      </c>
      <c r="K2149" t="s">
        <v>2512</v>
      </c>
      <c r="L2149" t="s">
        <v>25</v>
      </c>
      <c r="M2149" t="s">
        <v>11991</v>
      </c>
      <c r="N2149" t="s">
        <v>11996</v>
      </c>
      <c r="O2149" t="s">
        <v>11997</v>
      </c>
      <c r="P2149" t="s">
        <v>11998</v>
      </c>
      <c r="Q2149" t="s">
        <v>157</v>
      </c>
      <c r="R2149" t="s">
        <v>158</v>
      </c>
      <c r="S2149" t="s">
        <v>58</v>
      </c>
    </row>
    <row r="2150" spans="1:19" x14ac:dyDescent="0.45">
      <c r="A2150" t="str">
        <f t="shared" si="148"/>
        <v>39801</v>
      </c>
      <c r="B2150" t="s">
        <v>2395</v>
      </c>
      <c r="C2150" t="str">
        <f>"39090"</f>
        <v>39090</v>
      </c>
      <c r="D2150" t="s">
        <v>11999</v>
      </c>
      <c r="E2150" t="str">
        <f>"2344"</f>
        <v>2344</v>
      </c>
      <c r="F2150" t="s">
        <v>10634</v>
      </c>
      <c r="G2150">
        <v>9</v>
      </c>
      <c r="H2150">
        <v>12</v>
      </c>
      <c r="I2150" t="s">
        <v>12000</v>
      </c>
      <c r="K2150" t="s">
        <v>2512</v>
      </c>
      <c r="L2150" t="s">
        <v>25</v>
      </c>
      <c r="M2150" t="s">
        <v>12001</v>
      </c>
      <c r="N2150" t="s">
        <v>12002</v>
      </c>
      <c r="O2150" t="s">
        <v>12003</v>
      </c>
      <c r="P2150" t="s">
        <v>12004</v>
      </c>
      <c r="Q2150" t="s">
        <v>30</v>
      </c>
      <c r="R2150" t="s">
        <v>31</v>
      </c>
      <c r="S2150" t="s">
        <v>58</v>
      </c>
    </row>
    <row r="2151" spans="1:19" x14ac:dyDescent="0.45">
      <c r="A2151" t="str">
        <f t="shared" si="148"/>
        <v>39801</v>
      </c>
      <c r="B2151" t="s">
        <v>2395</v>
      </c>
      <c r="C2151" t="str">
        <f>"39090"</f>
        <v>39090</v>
      </c>
      <c r="D2151" t="s">
        <v>11999</v>
      </c>
      <c r="E2151" t="str">
        <f>"2530"</f>
        <v>2530</v>
      </c>
      <c r="F2151" t="s">
        <v>12005</v>
      </c>
      <c r="G2151" t="s">
        <v>70</v>
      </c>
      <c r="H2151">
        <v>5</v>
      </c>
      <c r="I2151" t="s">
        <v>3998</v>
      </c>
      <c r="K2151" t="s">
        <v>12006</v>
      </c>
      <c r="L2151" t="s">
        <v>25</v>
      </c>
      <c r="M2151" t="s">
        <v>6843</v>
      </c>
      <c r="N2151" t="s">
        <v>12007</v>
      </c>
      <c r="O2151" t="s">
        <v>12008</v>
      </c>
      <c r="P2151" t="s">
        <v>12009</v>
      </c>
      <c r="Q2151" t="s">
        <v>30</v>
      </c>
      <c r="R2151" t="s">
        <v>31</v>
      </c>
      <c r="S2151" t="s">
        <v>32</v>
      </c>
    </row>
    <row r="2152" spans="1:19" x14ac:dyDescent="0.45">
      <c r="A2152" t="str">
        <f t="shared" si="148"/>
        <v>39801</v>
      </c>
      <c r="B2152" t="s">
        <v>2395</v>
      </c>
      <c r="C2152" t="str">
        <f>"39090"</f>
        <v>39090</v>
      </c>
      <c r="D2152" t="s">
        <v>11999</v>
      </c>
      <c r="E2152" t="str">
        <f>"2821"</f>
        <v>2821</v>
      </c>
      <c r="F2152" t="s">
        <v>12010</v>
      </c>
      <c r="G2152" t="s">
        <v>70</v>
      </c>
      <c r="H2152">
        <v>5</v>
      </c>
      <c r="I2152" t="s">
        <v>12011</v>
      </c>
      <c r="K2152" t="s">
        <v>2512</v>
      </c>
      <c r="L2152" t="s">
        <v>25</v>
      </c>
      <c r="M2152" t="s">
        <v>12012</v>
      </c>
      <c r="N2152" t="s">
        <v>12013</v>
      </c>
      <c r="O2152" t="s">
        <v>12014</v>
      </c>
      <c r="P2152" t="s">
        <v>12015</v>
      </c>
      <c r="Q2152" t="s">
        <v>30</v>
      </c>
      <c r="R2152" t="s">
        <v>31</v>
      </c>
      <c r="S2152" t="s">
        <v>32</v>
      </c>
    </row>
    <row r="2153" spans="1:19" x14ac:dyDescent="0.45">
      <c r="A2153" t="str">
        <f t="shared" si="148"/>
        <v>39801</v>
      </c>
      <c r="B2153" t="s">
        <v>2395</v>
      </c>
      <c r="C2153" t="str">
        <f>"39090"</f>
        <v>39090</v>
      </c>
      <c r="D2153" t="s">
        <v>11999</v>
      </c>
      <c r="E2153" t="str">
        <f>"4055"</f>
        <v>4055</v>
      </c>
      <c r="F2153" t="s">
        <v>12016</v>
      </c>
      <c r="G2153">
        <v>6</v>
      </c>
      <c r="H2153">
        <v>8</v>
      </c>
      <c r="I2153" t="s">
        <v>12017</v>
      </c>
      <c r="K2153" t="s">
        <v>4586</v>
      </c>
      <c r="L2153" t="s">
        <v>25</v>
      </c>
      <c r="M2153" t="s">
        <v>12018</v>
      </c>
      <c r="N2153" t="s">
        <v>12019</v>
      </c>
      <c r="O2153" t="s">
        <v>12020</v>
      </c>
      <c r="P2153" t="s">
        <v>12021</v>
      </c>
      <c r="Q2153" t="s">
        <v>30</v>
      </c>
      <c r="R2153" t="s">
        <v>31</v>
      </c>
      <c r="S2153" t="s">
        <v>104</v>
      </c>
    </row>
    <row r="2154" spans="1:19" x14ac:dyDescent="0.45">
      <c r="A2154" t="str">
        <f t="shared" si="148"/>
        <v>39801</v>
      </c>
      <c r="B2154" t="s">
        <v>2395</v>
      </c>
      <c r="C2154" t="str">
        <f>"39090"</f>
        <v>39090</v>
      </c>
      <c r="D2154" t="s">
        <v>11999</v>
      </c>
      <c r="E2154" t="str">
        <f>"4487"</f>
        <v>4487</v>
      </c>
      <c r="F2154" t="s">
        <v>12022</v>
      </c>
      <c r="G2154" t="s">
        <v>22</v>
      </c>
      <c r="H2154">
        <v>5</v>
      </c>
      <c r="I2154" t="s">
        <v>12023</v>
      </c>
      <c r="K2154" t="s">
        <v>2512</v>
      </c>
      <c r="L2154" t="s">
        <v>25</v>
      </c>
      <c r="M2154" t="s">
        <v>12001</v>
      </c>
      <c r="N2154" t="s">
        <v>12024</v>
      </c>
      <c r="O2154" t="s">
        <v>12025</v>
      </c>
      <c r="P2154" t="s">
        <v>12026</v>
      </c>
      <c r="Q2154" t="s">
        <v>30</v>
      </c>
      <c r="R2154" t="s">
        <v>31</v>
      </c>
      <c r="S2154" t="s">
        <v>32</v>
      </c>
    </row>
    <row r="2155" spans="1:19" x14ac:dyDescent="0.45">
      <c r="A2155" t="str">
        <f t="shared" si="148"/>
        <v>39801</v>
      </c>
      <c r="B2155" t="s">
        <v>2395</v>
      </c>
      <c r="C2155" t="str">
        <f>"39119"</f>
        <v>39119</v>
      </c>
      <c r="D2155" t="s">
        <v>2396</v>
      </c>
      <c r="E2155" t="str">
        <f>"2388"</f>
        <v>2388</v>
      </c>
      <c r="F2155" t="s">
        <v>12027</v>
      </c>
      <c r="G2155">
        <v>9</v>
      </c>
      <c r="H2155">
        <v>12</v>
      </c>
      <c r="I2155" t="s">
        <v>12028</v>
      </c>
      <c r="K2155" t="s">
        <v>2399</v>
      </c>
      <c r="L2155" t="s">
        <v>25</v>
      </c>
      <c r="M2155" t="s">
        <v>12029</v>
      </c>
      <c r="N2155" t="s">
        <v>12030</v>
      </c>
      <c r="O2155" t="s">
        <v>12031</v>
      </c>
      <c r="P2155" t="s">
        <v>12032</v>
      </c>
      <c r="Q2155" t="s">
        <v>30</v>
      </c>
      <c r="R2155" t="s">
        <v>31</v>
      </c>
      <c r="S2155" t="s">
        <v>58</v>
      </c>
    </row>
    <row r="2156" spans="1:19" x14ac:dyDescent="0.45">
      <c r="A2156" t="str">
        <f t="shared" si="148"/>
        <v>39801</v>
      </c>
      <c r="B2156" t="s">
        <v>2395</v>
      </c>
      <c r="C2156" t="str">
        <f>"39119"</f>
        <v>39119</v>
      </c>
      <c r="D2156" t="s">
        <v>2396</v>
      </c>
      <c r="E2156" t="str">
        <f>"4272"</f>
        <v>4272</v>
      </c>
      <c r="F2156" t="s">
        <v>12033</v>
      </c>
      <c r="G2156">
        <v>9</v>
      </c>
      <c r="H2156">
        <v>12</v>
      </c>
      <c r="I2156" t="s">
        <v>2398</v>
      </c>
      <c r="K2156" t="s">
        <v>2399</v>
      </c>
      <c r="L2156" t="s">
        <v>25</v>
      </c>
      <c r="M2156" t="s">
        <v>12029</v>
      </c>
      <c r="N2156" t="s">
        <v>12034</v>
      </c>
      <c r="O2156" t="s">
        <v>2401</v>
      </c>
      <c r="P2156" t="s">
        <v>12035</v>
      </c>
      <c r="Q2156" t="s">
        <v>157</v>
      </c>
      <c r="R2156" t="s">
        <v>158</v>
      </c>
      <c r="S2156" t="s">
        <v>58</v>
      </c>
    </row>
    <row r="2157" spans="1:19" x14ac:dyDescent="0.45">
      <c r="A2157" t="str">
        <f t="shared" ref="A2157:A2188" si="150">"39801"</f>
        <v>39801</v>
      </c>
      <c r="B2157" t="s">
        <v>2395</v>
      </c>
      <c r="C2157" t="str">
        <f>"39120"</f>
        <v>39120</v>
      </c>
      <c r="D2157" t="s">
        <v>2903</v>
      </c>
      <c r="E2157" t="str">
        <f>"3070"</f>
        <v>3070</v>
      </c>
      <c r="F2157" t="s">
        <v>12036</v>
      </c>
      <c r="G2157" t="s">
        <v>70</v>
      </c>
      <c r="H2157">
        <v>6</v>
      </c>
      <c r="I2157" t="s">
        <v>5003</v>
      </c>
      <c r="K2157" t="s">
        <v>2906</v>
      </c>
      <c r="L2157" t="s">
        <v>25</v>
      </c>
      <c r="M2157" t="s">
        <v>12037</v>
      </c>
      <c r="N2157" t="s">
        <v>12038</v>
      </c>
      <c r="O2157" t="s">
        <v>12039</v>
      </c>
      <c r="P2157" t="s">
        <v>12040</v>
      </c>
      <c r="Q2157" t="s">
        <v>30</v>
      </c>
      <c r="R2157" t="s">
        <v>31</v>
      </c>
      <c r="S2157" t="s">
        <v>32</v>
      </c>
    </row>
    <row r="2158" spans="1:19" x14ac:dyDescent="0.45">
      <c r="A2158" t="str">
        <f t="shared" si="150"/>
        <v>39801</v>
      </c>
      <c r="B2158" t="s">
        <v>2395</v>
      </c>
      <c r="C2158" t="str">
        <f t="shared" ref="C2158:C2163" si="151">"39200"</f>
        <v>39200</v>
      </c>
      <c r="D2158" t="s">
        <v>2726</v>
      </c>
      <c r="E2158" t="str">
        <f>"1776"</f>
        <v>1776</v>
      </c>
      <c r="F2158" t="s">
        <v>12041</v>
      </c>
      <c r="G2158">
        <v>9</v>
      </c>
      <c r="H2158">
        <v>12</v>
      </c>
      <c r="I2158" t="s">
        <v>2728</v>
      </c>
      <c r="K2158" t="s">
        <v>2729</v>
      </c>
      <c r="L2158" t="s">
        <v>25</v>
      </c>
      <c r="M2158" t="s">
        <v>12042</v>
      </c>
      <c r="N2158" t="s">
        <v>12043</v>
      </c>
      <c r="O2158" t="s">
        <v>12044</v>
      </c>
      <c r="P2158" t="s">
        <v>12045</v>
      </c>
      <c r="Q2158" t="s">
        <v>157</v>
      </c>
      <c r="R2158" t="s">
        <v>158</v>
      </c>
      <c r="S2158" t="s">
        <v>58</v>
      </c>
    </row>
    <row r="2159" spans="1:19" x14ac:dyDescent="0.45">
      <c r="A2159" t="str">
        <f t="shared" si="150"/>
        <v>39801</v>
      </c>
      <c r="B2159" t="s">
        <v>2395</v>
      </c>
      <c r="C2159" t="str">
        <f t="shared" si="151"/>
        <v>39200</v>
      </c>
      <c r="D2159" t="s">
        <v>2726</v>
      </c>
      <c r="E2159" t="str">
        <f>"2345"</f>
        <v>2345</v>
      </c>
      <c r="F2159" t="s">
        <v>12046</v>
      </c>
      <c r="G2159" t="s">
        <v>22</v>
      </c>
      <c r="H2159">
        <v>5</v>
      </c>
      <c r="I2159" t="s">
        <v>12047</v>
      </c>
      <c r="K2159" t="s">
        <v>2729</v>
      </c>
      <c r="L2159" t="s">
        <v>25</v>
      </c>
      <c r="M2159" t="s">
        <v>12042</v>
      </c>
      <c r="N2159" t="s">
        <v>12048</v>
      </c>
      <c r="O2159" t="s">
        <v>12049</v>
      </c>
      <c r="P2159" t="s">
        <v>12050</v>
      </c>
      <c r="Q2159" t="s">
        <v>30</v>
      </c>
      <c r="R2159" t="s">
        <v>31</v>
      </c>
      <c r="S2159" t="s">
        <v>32</v>
      </c>
    </row>
    <row r="2160" spans="1:19" x14ac:dyDescent="0.45">
      <c r="A2160" t="str">
        <f t="shared" si="150"/>
        <v>39801</v>
      </c>
      <c r="B2160" t="s">
        <v>2395</v>
      </c>
      <c r="C2160" t="str">
        <f t="shared" si="151"/>
        <v>39200</v>
      </c>
      <c r="D2160" t="s">
        <v>2726</v>
      </c>
      <c r="E2160" t="str">
        <f>"2555"</f>
        <v>2555</v>
      </c>
      <c r="F2160" t="s">
        <v>12051</v>
      </c>
      <c r="G2160">
        <v>9</v>
      </c>
      <c r="H2160">
        <v>12</v>
      </c>
      <c r="I2160" t="s">
        <v>12052</v>
      </c>
      <c r="K2160" t="s">
        <v>2729</v>
      </c>
      <c r="L2160" t="s">
        <v>25</v>
      </c>
      <c r="M2160" t="s">
        <v>12042</v>
      </c>
      <c r="N2160" t="s">
        <v>12053</v>
      </c>
      <c r="O2160" t="s">
        <v>12054</v>
      </c>
      <c r="P2160" t="s">
        <v>12055</v>
      </c>
      <c r="Q2160" t="s">
        <v>30</v>
      </c>
      <c r="R2160" t="s">
        <v>31</v>
      </c>
      <c r="S2160" t="s">
        <v>58</v>
      </c>
    </row>
    <row r="2161" spans="1:19" x14ac:dyDescent="0.45">
      <c r="A2161" t="str">
        <f t="shared" si="150"/>
        <v>39801</v>
      </c>
      <c r="B2161" t="s">
        <v>2395</v>
      </c>
      <c r="C2161" t="str">
        <f t="shared" si="151"/>
        <v>39200</v>
      </c>
      <c r="D2161" t="s">
        <v>2726</v>
      </c>
      <c r="E2161" t="str">
        <f>"2756"</f>
        <v>2756</v>
      </c>
      <c r="F2161" t="s">
        <v>12056</v>
      </c>
      <c r="G2161" t="s">
        <v>22</v>
      </c>
      <c r="H2161">
        <v>5</v>
      </c>
      <c r="I2161" t="s">
        <v>12057</v>
      </c>
      <c r="K2161" t="s">
        <v>2729</v>
      </c>
      <c r="L2161" t="s">
        <v>25</v>
      </c>
      <c r="M2161" t="s">
        <v>12042</v>
      </c>
      <c r="N2161" t="s">
        <v>12058</v>
      </c>
      <c r="O2161" t="s">
        <v>12059</v>
      </c>
      <c r="P2161" t="s">
        <v>12060</v>
      </c>
      <c r="Q2161" t="s">
        <v>30</v>
      </c>
      <c r="R2161" t="s">
        <v>31</v>
      </c>
      <c r="S2161" t="s">
        <v>32</v>
      </c>
    </row>
    <row r="2162" spans="1:19" x14ac:dyDescent="0.45">
      <c r="A2162" t="str">
        <f t="shared" si="150"/>
        <v>39801</v>
      </c>
      <c r="B2162" t="s">
        <v>2395</v>
      </c>
      <c r="C2162" t="str">
        <f t="shared" si="151"/>
        <v>39200</v>
      </c>
      <c r="D2162" t="s">
        <v>2726</v>
      </c>
      <c r="E2162" t="str">
        <f>"3013"</f>
        <v>3013</v>
      </c>
      <c r="F2162" t="s">
        <v>12061</v>
      </c>
      <c r="G2162" t="s">
        <v>22</v>
      </c>
      <c r="H2162">
        <v>5</v>
      </c>
      <c r="I2162" t="s">
        <v>12062</v>
      </c>
      <c r="K2162" t="s">
        <v>2729</v>
      </c>
      <c r="L2162" t="s">
        <v>25</v>
      </c>
      <c r="M2162" t="s">
        <v>12042</v>
      </c>
      <c r="N2162" t="s">
        <v>12063</v>
      </c>
      <c r="O2162" t="s">
        <v>12064</v>
      </c>
      <c r="P2162" t="s">
        <v>12065</v>
      </c>
      <c r="Q2162" t="s">
        <v>30</v>
      </c>
      <c r="R2162" t="s">
        <v>31</v>
      </c>
      <c r="S2162" t="s">
        <v>32</v>
      </c>
    </row>
    <row r="2163" spans="1:19" x14ac:dyDescent="0.45">
      <c r="A2163" t="str">
        <f t="shared" si="150"/>
        <v>39801</v>
      </c>
      <c r="B2163" t="s">
        <v>2395</v>
      </c>
      <c r="C2163" t="str">
        <f t="shared" si="151"/>
        <v>39200</v>
      </c>
      <c r="D2163" t="s">
        <v>2726</v>
      </c>
      <c r="E2163" t="str">
        <f>"3071"</f>
        <v>3071</v>
      </c>
      <c r="F2163" t="s">
        <v>12066</v>
      </c>
      <c r="G2163">
        <v>6</v>
      </c>
      <c r="H2163">
        <v>8</v>
      </c>
      <c r="I2163" t="s">
        <v>12067</v>
      </c>
      <c r="K2163" t="s">
        <v>2729</v>
      </c>
      <c r="L2163" t="s">
        <v>25</v>
      </c>
      <c r="M2163" t="s">
        <v>12042</v>
      </c>
      <c r="N2163" t="s">
        <v>12068</v>
      </c>
      <c r="O2163" t="s">
        <v>12069</v>
      </c>
      <c r="P2163" t="s">
        <v>12070</v>
      </c>
      <c r="Q2163" t="s">
        <v>30</v>
      </c>
      <c r="R2163" t="s">
        <v>31</v>
      </c>
      <c r="S2163" t="s">
        <v>104</v>
      </c>
    </row>
    <row r="2164" spans="1:19" x14ac:dyDescent="0.45">
      <c r="A2164" t="str">
        <f t="shared" si="150"/>
        <v>39801</v>
      </c>
      <c r="B2164" t="s">
        <v>2395</v>
      </c>
      <c r="C2164" t="str">
        <f t="shared" ref="C2164:C2169" si="152">"39201"</f>
        <v>39201</v>
      </c>
      <c r="D2164" t="s">
        <v>2495</v>
      </c>
      <c r="E2164" t="str">
        <f>"2469"</f>
        <v>2469</v>
      </c>
      <c r="F2164" t="s">
        <v>12071</v>
      </c>
      <c r="G2164" t="s">
        <v>22</v>
      </c>
      <c r="H2164">
        <v>5</v>
      </c>
      <c r="I2164" t="s">
        <v>12072</v>
      </c>
      <c r="K2164" t="s">
        <v>2498</v>
      </c>
      <c r="L2164" t="s">
        <v>25</v>
      </c>
      <c r="M2164" t="s">
        <v>12073</v>
      </c>
      <c r="N2164" t="s">
        <v>12074</v>
      </c>
      <c r="O2164" t="s">
        <v>12075</v>
      </c>
      <c r="P2164" t="s">
        <v>12076</v>
      </c>
      <c r="Q2164" t="s">
        <v>30</v>
      </c>
      <c r="R2164" t="s">
        <v>31</v>
      </c>
      <c r="S2164" t="s">
        <v>32</v>
      </c>
    </row>
    <row r="2165" spans="1:19" x14ac:dyDescent="0.45">
      <c r="A2165" t="str">
        <f t="shared" si="150"/>
        <v>39801</v>
      </c>
      <c r="B2165" t="s">
        <v>2395</v>
      </c>
      <c r="C2165" t="str">
        <f t="shared" si="152"/>
        <v>39201</v>
      </c>
      <c r="D2165" t="s">
        <v>2495</v>
      </c>
      <c r="E2165" t="str">
        <f>"2717"</f>
        <v>2717</v>
      </c>
      <c r="F2165" t="s">
        <v>2002</v>
      </c>
      <c r="G2165" t="s">
        <v>22</v>
      </c>
      <c r="H2165">
        <v>5</v>
      </c>
      <c r="I2165" t="s">
        <v>12072</v>
      </c>
      <c r="K2165" t="s">
        <v>2498</v>
      </c>
      <c r="L2165" t="s">
        <v>25</v>
      </c>
      <c r="M2165" t="s">
        <v>12073</v>
      </c>
      <c r="N2165" t="s">
        <v>12077</v>
      </c>
      <c r="O2165" t="s">
        <v>12078</v>
      </c>
      <c r="P2165" t="s">
        <v>12079</v>
      </c>
      <c r="Q2165" t="s">
        <v>30</v>
      </c>
      <c r="R2165" t="s">
        <v>31</v>
      </c>
      <c r="S2165" t="s">
        <v>32</v>
      </c>
    </row>
    <row r="2166" spans="1:19" x14ac:dyDescent="0.45">
      <c r="A2166" t="str">
        <f t="shared" si="150"/>
        <v>39801</v>
      </c>
      <c r="B2166" t="s">
        <v>2395</v>
      </c>
      <c r="C2166" t="str">
        <f t="shared" si="152"/>
        <v>39201</v>
      </c>
      <c r="D2166" t="s">
        <v>2495</v>
      </c>
      <c r="E2166" t="str">
        <f>"2959"</f>
        <v>2959</v>
      </c>
      <c r="F2166" t="s">
        <v>12080</v>
      </c>
      <c r="G2166">
        <v>9</v>
      </c>
      <c r="H2166">
        <v>12</v>
      </c>
      <c r="I2166" t="s">
        <v>12072</v>
      </c>
      <c r="K2166" t="s">
        <v>2498</v>
      </c>
      <c r="L2166" t="s">
        <v>25</v>
      </c>
      <c r="M2166" t="s">
        <v>12073</v>
      </c>
      <c r="N2166" t="s">
        <v>12081</v>
      </c>
      <c r="O2166" t="s">
        <v>12082</v>
      </c>
      <c r="P2166" t="s">
        <v>2501</v>
      </c>
      <c r="Q2166" t="s">
        <v>30</v>
      </c>
      <c r="R2166" t="s">
        <v>31</v>
      </c>
      <c r="S2166" t="s">
        <v>58</v>
      </c>
    </row>
    <row r="2167" spans="1:19" x14ac:dyDescent="0.45">
      <c r="A2167" t="str">
        <f t="shared" si="150"/>
        <v>39801</v>
      </c>
      <c r="B2167" t="s">
        <v>2395</v>
      </c>
      <c r="C2167" t="str">
        <f t="shared" si="152"/>
        <v>39201</v>
      </c>
      <c r="D2167" t="s">
        <v>2495</v>
      </c>
      <c r="E2167" t="str">
        <f>"3313"</f>
        <v>3313</v>
      </c>
      <c r="F2167" t="s">
        <v>12083</v>
      </c>
      <c r="G2167">
        <v>6</v>
      </c>
      <c r="H2167">
        <v>8</v>
      </c>
      <c r="I2167" t="s">
        <v>12084</v>
      </c>
      <c r="K2167" t="s">
        <v>2498</v>
      </c>
      <c r="L2167" t="s">
        <v>25</v>
      </c>
      <c r="M2167" t="s">
        <v>12073</v>
      </c>
      <c r="N2167" t="s">
        <v>12085</v>
      </c>
      <c r="O2167" t="s">
        <v>12086</v>
      </c>
      <c r="P2167" t="s">
        <v>12087</v>
      </c>
      <c r="Q2167" t="s">
        <v>30</v>
      </c>
      <c r="R2167" t="s">
        <v>31</v>
      </c>
      <c r="S2167" t="s">
        <v>104</v>
      </c>
    </row>
    <row r="2168" spans="1:19" x14ac:dyDescent="0.45">
      <c r="A2168" t="str">
        <f t="shared" si="150"/>
        <v>39801</v>
      </c>
      <c r="B2168" t="s">
        <v>2395</v>
      </c>
      <c r="C2168" t="str">
        <f t="shared" si="152"/>
        <v>39201</v>
      </c>
      <c r="D2168" t="s">
        <v>2495</v>
      </c>
      <c r="E2168" t="str">
        <f>"4000"</f>
        <v>4000</v>
      </c>
      <c r="F2168" t="s">
        <v>12088</v>
      </c>
      <c r="G2168" t="s">
        <v>22</v>
      </c>
      <c r="H2168">
        <v>5</v>
      </c>
      <c r="I2168" t="s">
        <v>12072</v>
      </c>
      <c r="K2168" t="s">
        <v>2498</v>
      </c>
      <c r="L2168" t="s">
        <v>25</v>
      </c>
      <c r="M2168" t="s">
        <v>12073</v>
      </c>
      <c r="N2168" t="s">
        <v>12089</v>
      </c>
      <c r="O2168" t="s">
        <v>12090</v>
      </c>
      <c r="P2168" t="s">
        <v>12091</v>
      </c>
      <c r="Q2168" t="s">
        <v>30</v>
      </c>
      <c r="R2168" t="s">
        <v>31</v>
      </c>
      <c r="S2168" t="s">
        <v>32</v>
      </c>
    </row>
    <row r="2169" spans="1:19" x14ac:dyDescent="0.45">
      <c r="A2169" t="str">
        <f t="shared" si="150"/>
        <v>39801</v>
      </c>
      <c r="B2169" t="s">
        <v>2395</v>
      </c>
      <c r="C2169" t="str">
        <f t="shared" si="152"/>
        <v>39201</v>
      </c>
      <c r="D2169" t="s">
        <v>2495</v>
      </c>
      <c r="E2169" t="str">
        <f>"4497"</f>
        <v>4497</v>
      </c>
      <c r="F2169" t="s">
        <v>747</v>
      </c>
      <c r="G2169" t="s">
        <v>22</v>
      </c>
      <c r="H2169">
        <v>5</v>
      </c>
      <c r="I2169" t="s">
        <v>12072</v>
      </c>
      <c r="K2169" t="s">
        <v>2498</v>
      </c>
      <c r="L2169" t="s">
        <v>25</v>
      </c>
      <c r="M2169" t="s">
        <v>12073</v>
      </c>
      <c r="N2169" t="s">
        <v>12092</v>
      </c>
      <c r="O2169" t="s">
        <v>12093</v>
      </c>
      <c r="P2169" t="s">
        <v>12094</v>
      </c>
      <c r="Q2169" t="s">
        <v>30</v>
      </c>
      <c r="R2169" t="s">
        <v>31</v>
      </c>
      <c r="S2169" t="s">
        <v>32</v>
      </c>
    </row>
    <row r="2170" spans="1:19" x14ac:dyDescent="0.45">
      <c r="A2170" t="str">
        <f t="shared" si="150"/>
        <v>39801</v>
      </c>
      <c r="B2170" t="s">
        <v>2395</v>
      </c>
      <c r="C2170" t="str">
        <f t="shared" ref="C2170:C2176" si="153">"39202"</f>
        <v>39202</v>
      </c>
      <c r="D2170" t="s">
        <v>12095</v>
      </c>
      <c r="E2170" t="str">
        <f>"1508"</f>
        <v>1508</v>
      </c>
      <c r="F2170" t="s">
        <v>12096</v>
      </c>
      <c r="G2170">
        <v>6</v>
      </c>
      <c r="H2170">
        <v>12</v>
      </c>
      <c r="I2170" t="s">
        <v>12097</v>
      </c>
      <c r="K2170" t="s">
        <v>12098</v>
      </c>
      <c r="L2170" t="s">
        <v>25</v>
      </c>
      <c r="M2170" t="s">
        <v>12099</v>
      </c>
      <c r="N2170" t="s">
        <v>12100</v>
      </c>
      <c r="O2170" t="s">
        <v>12101</v>
      </c>
      <c r="P2170" t="s">
        <v>12102</v>
      </c>
      <c r="Q2170" t="s">
        <v>157</v>
      </c>
      <c r="R2170" t="s">
        <v>158</v>
      </c>
      <c r="S2170" t="s">
        <v>159</v>
      </c>
    </row>
    <row r="2171" spans="1:19" x14ac:dyDescent="0.45">
      <c r="A2171" t="str">
        <f t="shared" si="150"/>
        <v>39801</v>
      </c>
      <c r="B2171" t="s">
        <v>2395</v>
      </c>
      <c r="C2171" t="str">
        <f t="shared" si="153"/>
        <v>39202</v>
      </c>
      <c r="D2171" t="s">
        <v>12095</v>
      </c>
      <c r="E2171" t="str">
        <f>"1831"</f>
        <v>1831</v>
      </c>
      <c r="F2171" t="s">
        <v>12103</v>
      </c>
      <c r="G2171" t="s">
        <v>22</v>
      </c>
      <c r="H2171" t="s">
        <v>22</v>
      </c>
      <c r="I2171" t="s">
        <v>12104</v>
      </c>
      <c r="K2171" t="s">
        <v>12098</v>
      </c>
      <c r="L2171" t="s">
        <v>25</v>
      </c>
      <c r="M2171" t="s">
        <v>12105</v>
      </c>
      <c r="N2171" t="s">
        <v>12106</v>
      </c>
      <c r="O2171" t="s">
        <v>12107</v>
      </c>
      <c r="P2171" t="s">
        <v>12108</v>
      </c>
      <c r="Q2171" t="s">
        <v>30</v>
      </c>
      <c r="R2171" t="s">
        <v>31</v>
      </c>
      <c r="S2171" t="s">
        <v>1248</v>
      </c>
    </row>
    <row r="2172" spans="1:19" x14ac:dyDescent="0.45">
      <c r="A2172" t="str">
        <f t="shared" si="150"/>
        <v>39801</v>
      </c>
      <c r="B2172" t="s">
        <v>2395</v>
      </c>
      <c r="C2172" t="str">
        <f t="shared" si="153"/>
        <v>39202</v>
      </c>
      <c r="D2172" t="s">
        <v>12095</v>
      </c>
      <c r="E2172" t="str">
        <f>"2264"</f>
        <v>2264</v>
      </c>
      <c r="F2172" t="s">
        <v>12109</v>
      </c>
      <c r="G2172">
        <v>6</v>
      </c>
      <c r="H2172">
        <v>8</v>
      </c>
      <c r="I2172" t="s">
        <v>12110</v>
      </c>
      <c r="K2172" t="s">
        <v>12098</v>
      </c>
      <c r="L2172" t="s">
        <v>25</v>
      </c>
      <c r="M2172" t="s">
        <v>12111</v>
      </c>
      <c r="N2172" t="s">
        <v>12112</v>
      </c>
      <c r="O2172" t="s">
        <v>12113</v>
      </c>
      <c r="P2172" t="s">
        <v>12114</v>
      </c>
      <c r="Q2172" t="s">
        <v>30</v>
      </c>
      <c r="R2172" t="s">
        <v>31</v>
      </c>
      <c r="S2172" t="s">
        <v>104</v>
      </c>
    </row>
    <row r="2173" spans="1:19" x14ac:dyDescent="0.45">
      <c r="A2173" t="str">
        <f t="shared" si="150"/>
        <v>39801</v>
      </c>
      <c r="B2173" t="s">
        <v>2395</v>
      </c>
      <c r="C2173" t="str">
        <f t="shared" si="153"/>
        <v>39202</v>
      </c>
      <c r="D2173" t="s">
        <v>12095</v>
      </c>
      <c r="E2173" t="str">
        <f>"2608"</f>
        <v>2608</v>
      </c>
      <c r="F2173" t="s">
        <v>9094</v>
      </c>
      <c r="G2173" t="s">
        <v>70</v>
      </c>
      <c r="H2173">
        <v>5</v>
      </c>
      <c r="I2173" t="s">
        <v>12115</v>
      </c>
      <c r="K2173" t="s">
        <v>12098</v>
      </c>
      <c r="L2173" t="s">
        <v>25</v>
      </c>
      <c r="M2173" t="s">
        <v>12116</v>
      </c>
      <c r="N2173" t="s">
        <v>12117</v>
      </c>
      <c r="O2173" t="s">
        <v>12118</v>
      </c>
      <c r="P2173" t="s">
        <v>12119</v>
      </c>
      <c r="Q2173" t="s">
        <v>30</v>
      </c>
      <c r="R2173" t="s">
        <v>31</v>
      </c>
      <c r="S2173" t="s">
        <v>32</v>
      </c>
    </row>
    <row r="2174" spans="1:19" x14ac:dyDescent="0.45">
      <c r="A2174" t="str">
        <f t="shared" si="150"/>
        <v>39801</v>
      </c>
      <c r="B2174" t="s">
        <v>2395</v>
      </c>
      <c r="C2174" t="str">
        <f t="shared" si="153"/>
        <v>39202</v>
      </c>
      <c r="D2174" t="s">
        <v>12095</v>
      </c>
      <c r="E2174" t="str">
        <f>"2635"</f>
        <v>2635</v>
      </c>
      <c r="F2174" t="s">
        <v>1344</v>
      </c>
      <c r="G2174" t="s">
        <v>70</v>
      </c>
      <c r="H2174">
        <v>5</v>
      </c>
      <c r="I2174" t="s">
        <v>12120</v>
      </c>
      <c r="K2174" t="s">
        <v>12098</v>
      </c>
      <c r="L2174" t="s">
        <v>25</v>
      </c>
      <c r="M2174" t="s">
        <v>12121</v>
      </c>
      <c r="N2174" t="s">
        <v>12122</v>
      </c>
      <c r="O2174" t="s">
        <v>12123</v>
      </c>
      <c r="P2174" t="s">
        <v>12124</v>
      </c>
      <c r="Q2174" t="s">
        <v>30</v>
      </c>
      <c r="R2174" t="s">
        <v>31</v>
      </c>
      <c r="S2174" t="s">
        <v>32</v>
      </c>
    </row>
    <row r="2175" spans="1:19" x14ac:dyDescent="0.45">
      <c r="A2175" t="str">
        <f t="shared" si="150"/>
        <v>39801</v>
      </c>
      <c r="B2175" t="s">
        <v>2395</v>
      </c>
      <c r="C2175" t="str">
        <f t="shared" si="153"/>
        <v>39202</v>
      </c>
      <c r="D2175" t="s">
        <v>12095</v>
      </c>
      <c r="E2175" t="str">
        <f>"2900"</f>
        <v>2900</v>
      </c>
      <c r="F2175" t="s">
        <v>12125</v>
      </c>
      <c r="G2175">
        <v>9</v>
      </c>
      <c r="H2175">
        <v>12</v>
      </c>
      <c r="I2175" t="s">
        <v>12126</v>
      </c>
      <c r="K2175" t="s">
        <v>12098</v>
      </c>
      <c r="L2175" t="s">
        <v>25</v>
      </c>
      <c r="M2175" t="s">
        <v>12127</v>
      </c>
      <c r="N2175" t="s">
        <v>12128</v>
      </c>
      <c r="O2175" t="s">
        <v>12129</v>
      </c>
      <c r="P2175" t="s">
        <v>12130</v>
      </c>
      <c r="Q2175" t="s">
        <v>30</v>
      </c>
      <c r="R2175" t="s">
        <v>31</v>
      </c>
      <c r="S2175" t="s">
        <v>58</v>
      </c>
    </row>
    <row r="2176" spans="1:19" x14ac:dyDescent="0.45">
      <c r="A2176" t="str">
        <f t="shared" si="150"/>
        <v>39801</v>
      </c>
      <c r="B2176" t="s">
        <v>2395</v>
      </c>
      <c r="C2176" t="str">
        <f t="shared" si="153"/>
        <v>39202</v>
      </c>
      <c r="D2176" t="s">
        <v>12095</v>
      </c>
      <c r="E2176" t="str">
        <f>"4106"</f>
        <v>4106</v>
      </c>
      <c r="F2176" t="s">
        <v>12131</v>
      </c>
      <c r="G2176" t="s">
        <v>70</v>
      </c>
      <c r="H2176">
        <v>5</v>
      </c>
      <c r="I2176" t="s">
        <v>12132</v>
      </c>
      <c r="K2176" t="s">
        <v>12098</v>
      </c>
      <c r="L2176" t="s">
        <v>25</v>
      </c>
      <c r="M2176" t="s">
        <v>12133</v>
      </c>
      <c r="N2176" t="s">
        <v>12134</v>
      </c>
      <c r="O2176" t="s">
        <v>12135</v>
      </c>
      <c r="P2176" t="s">
        <v>12136</v>
      </c>
      <c r="Q2176" t="s">
        <v>30</v>
      </c>
      <c r="R2176" t="s">
        <v>31</v>
      </c>
      <c r="S2176" t="s">
        <v>32</v>
      </c>
    </row>
    <row r="2177" spans="1:19" x14ac:dyDescent="0.45">
      <c r="A2177" t="str">
        <f t="shared" si="150"/>
        <v>39801</v>
      </c>
      <c r="B2177" t="s">
        <v>2395</v>
      </c>
      <c r="C2177" t="str">
        <f>"39203"</f>
        <v>39203</v>
      </c>
      <c r="D2177" t="s">
        <v>4565</v>
      </c>
      <c r="E2177" t="str">
        <f>"2718"</f>
        <v>2718</v>
      </c>
      <c r="F2177" t="s">
        <v>12137</v>
      </c>
      <c r="G2177">
        <v>7</v>
      </c>
      <c r="H2177">
        <v>8</v>
      </c>
      <c r="I2177" t="s">
        <v>12138</v>
      </c>
      <c r="K2177" t="s">
        <v>12139</v>
      </c>
      <c r="L2177" t="s">
        <v>25</v>
      </c>
      <c r="M2177" t="s">
        <v>12140</v>
      </c>
      <c r="N2177" t="s">
        <v>12141</v>
      </c>
      <c r="O2177" t="s">
        <v>12142</v>
      </c>
      <c r="P2177" t="s">
        <v>12143</v>
      </c>
      <c r="Q2177" t="s">
        <v>30</v>
      </c>
      <c r="R2177" t="s">
        <v>31</v>
      </c>
      <c r="S2177" t="s">
        <v>6608</v>
      </c>
    </row>
    <row r="2178" spans="1:19" x14ac:dyDescent="0.45">
      <c r="A2178" t="str">
        <f t="shared" si="150"/>
        <v>39801</v>
      </c>
      <c r="B2178" t="s">
        <v>2395</v>
      </c>
      <c r="C2178" t="str">
        <f>"39203"</f>
        <v>39203</v>
      </c>
      <c r="D2178" t="s">
        <v>4565</v>
      </c>
      <c r="E2178" t="str">
        <f>"3072"</f>
        <v>3072</v>
      </c>
      <c r="F2178" t="s">
        <v>12144</v>
      </c>
      <c r="G2178" t="s">
        <v>22</v>
      </c>
      <c r="H2178">
        <v>3</v>
      </c>
      <c r="I2178" t="s">
        <v>12145</v>
      </c>
      <c r="K2178" t="s">
        <v>12139</v>
      </c>
      <c r="L2178" t="s">
        <v>25</v>
      </c>
      <c r="M2178" t="s">
        <v>12146</v>
      </c>
      <c r="N2178" t="s">
        <v>12147</v>
      </c>
      <c r="O2178" t="s">
        <v>12148</v>
      </c>
      <c r="P2178" t="s">
        <v>12149</v>
      </c>
      <c r="Q2178" t="s">
        <v>30</v>
      </c>
      <c r="R2178" t="s">
        <v>31</v>
      </c>
      <c r="S2178" t="s">
        <v>32</v>
      </c>
    </row>
    <row r="2179" spans="1:19" x14ac:dyDescent="0.45">
      <c r="A2179" t="str">
        <f t="shared" si="150"/>
        <v>39801</v>
      </c>
      <c r="B2179" t="s">
        <v>2395</v>
      </c>
      <c r="C2179" t="str">
        <f>"39203"</f>
        <v>39203</v>
      </c>
      <c r="D2179" t="s">
        <v>4565</v>
      </c>
      <c r="E2179" t="str">
        <f>"3073"</f>
        <v>3073</v>
      </c>
      <c r="F2179" t="s">
        <v>12150</v>
      </c>
      <c r="G2179">
        <v>4</v>
      </c>
      <c r="H2179">
        <v>6</v>
      </c>
      <c r="I2179" t="s">
        <v>12151</v>
      </c>
      <c r="K2179" t="s">
        <v>12152</v>
      </c>
      <c r="L2179" t="s">
        <v>25</v>
      </c>
      <c r="M2179" t="s">
        <v>12153</v>
      </c>
      <c r="N2179" t="s">
        <v>12154</v>
      </c>
      <c r="O2179" t="s">
        <v>12155</v>
      </c>
      <c r="P2179" t="s">
        <v>12156</v>
      </c>
      <c r="Q2179" t="s">
        <v>30</v>
      </c>
      <c r="R2179" t="s">
        <v>31</v>
      </c>
      <c r="S2179" t="s">
        <v>32</v>
      </c>
    </row>
    <row r="2180" spans="1:19" x14ac:dyDescent="0.45">
      <c r="A2180" t="str">
        <f t="shared" si="150"/>
        <v>39801</v>
      </c>
      <c r="B2180" t="s">
        <v>2395</v>
      </c>
      <c r="C2180" t="str">
        <f>"39203"</f>
        <v>39203</v>
      </c>
      <c r="D2180" t="s">
        <v>4565</v>
      </c>
      <c r="E2180" t="str">
        <f>"4559"</f>
        <v>4559</v>
      </c>
      <c r="F2180" t="s">
        <v>12157</v>
      </c>
      <c r="G2180">
        <v>9</v>
      </c>
      <c r="H2180">
        <v>12</v>
      </c>
      <c r="I2180" t="s">
        <v>12138</v>
      </c>
      <c r="K2180" t="s">
        <v>12139</v>
      </c>
      <c r="L2180" t="s">
        <v>25</v>
      </c>
      <c r="M2180" t="s">
        <v>12140</v>
      </c>
      <c r="N2180" t="s">
        <v>12158</v>
      </c>
      <c r="O2180" t="s">
        <v>12159</v>
      </c>
      <c r="P2180" t="s">
        <v>12160</v>
      </c>
      <c r="Q2180" t="s">
        <v>30</v>
      </c>
      <c r="R2180" t="s">
        <v>31</v>
      </c>
      <c r="S2180" t="s">
        <v>58</v>
      </c>
    </row>
    <row r="2181" spans="1:19" x14ac:dyDescent="0.45">
      <c r="A2181" t="str">
        <f t="shared" si="150"/>
        <v>39801</v>
      </c>
      <c r="B2181" t="s">
        <v>2395</v>
      </c>
      <c r="C2181" t="str">
        <f>"39204"</f>
        <v>39204</v>
      </c>
      <c r="D2181" t="s">
        <v>12161</v>
      </c>
      <c r="E2181" t="str">
        <f>"2531"</f>
        <v>2531</v>
      </c>
      <c r="F2181" t="s">
        <v>12162</v>
      </c>
      <c r="G2181">
        <v>5</v>
      </c>
      <c r="H2181">
        <v>8</v>
      </c>
      <c r="I2181" t="s">
        <v>12163</v>
      </c>
      <c r="K2181" t="s">
        <v>12164</v>
      </c>
      <c r="L2181" t="s">
        <v>25</v>
      </c>
      <c r="M2181" t="s">
        <v>12165</v>
      </c>
      <c r="N2181" t="s">
        <v>12166</v>
      </c>
      <c r="O2181" t="s">
        <v>12167</v>
      </c>
      <c r="P2181" t="s">
        <v>12168</v>
      </c>
      <c r="Q2181" t="s">
        <v>30</v>
      </c>
      <c r="R2181" t="s">
        <v>31</v>
      </c>
      <c r="S2181" t="s">
        <v>104</v>
      </c>
    </row>
    <row r="2182" spans="1:19" x14ac:dyDescent="0.45">
      <c r="A2182" t="str">
        <f t="shared" si="150"/>
        <v>39801</v>
      </c>
      <c r="B2182" t="s">
        <v>2395</v>
      </c>
      <c r="C2182" t="str">
        <f>"39204"</f>
        <v>39204</v>
      </c>
      <c r="D2182" t="s">
        <v>12161</v>
      </c>
      <c r="E2182" t="str">
        <f>"3314"</f>
        <v>3314</v>
      </c>
      <c r="F2182" t="s">
        <v>12169</v>
      </c>
      <c r="G2182">
        <v>9</v>
      </c>
      <c r="H2182">
        <v>12</v>
      </c>
      <c r="I2182" t="s">
        <v>12163</v>
      </c>
      <c r="K2182" t="s">
        <v>12164</v>
      </c>
      <c r="L2182" t="s">
        <v>25</v>
      </c>
      <c r="M2182" t="s">
        <v>12165</v>
      </c>
      <c r="N2182" t="s">
        <v>12170</v>
      </c>
      <c r="O2182" t="s">
        <v>12171</v>
      </c>
      <c r="P2182" t="s">
        <v>12172</v>
      </c>
      <c r="Q2182" t="s">
        <v>30</v>
      </c>
      <c r="R2182" t="s">
        <v>31</v>
      </c>
      <c r="S2182" t="s">
        <v>58</v>
      </c>
    </row>
    <row r="2183" spans="1:19" x14ac:dyDescent="0.45">
      <c r="A2183" t="str">
        <f t="shared" si="150"/>
        <v>39801</v>
      </c>
      <c r="B2183" t="s">
        <v>2395</v>
      </c>
      <c r="C2183" t="str">
        <f>"39204"</f>
        <v>39204</v>
      </c>
      <c r="D2183" t="s">
        <v>12161</v>
      </c>
      <c r="E2183" t="str">
        <f>"4535"</f>
        <v>4535</v>
      </c>
      <c r="F2183" t="s">
        <v>10030</v>
      </c>
      <c r="G2183" t="s">
        <v>22</v>
      </c>
      <c r="H2183">
        <v>4</v>
      </c>
      <c r="I2183" t="s">
        <v>12163</v>
      </c>
      <c r="K2183" t="s">
        <v>12164</v>
      </c>
      <c r="L2183" t="s">
        <v>25</v>
      </c>
      <c r="M2183" t="s">
        <v>12165</v>
      </c>
      <c r="N2183" t="s">
        <v>12173</v>
      </c>
      <c r="O2183" t="s">
        <v>12174</v>
      </c>
      <c r="P2183" t="s">
        <v>12175</v>
      </c>
      <c r="Q2183" t="s">
        <v>30</v>
      </c>
      <c r="R2183" t="s">
        <v>31</v>
      </c>
      <c r="S2183" t="s">
        <v>32</v>
      </c>
    </row>
    <row r="2184" spans="1:19" x14ac:dyDescent="0.45">
      <c r="A2184" t="str">
        <f t="shared" si="150"/>
        <v>39801</v>
      </c>
      <c r="B2184" t="s">
        <v>2395</v>
      </c>
      <c r="C2184" t="str">
        <f>"39205"</f>
        <v>39205</v>
      </c>
      <c r="D2184" t="s">
        <v>12176</v>
      </c>
      <c r="E2184" t="str">
        <f>"2240"</f>
        <v>2240</v>
      </c>
      <c r="F2184" t="s">
        <v>12177</v>
      </c>
      <c r="G2184">
        <v>9</v>
      </c>
      <c r="H2184">
        <v>12</v>
      </c>
      <c r="I2184" t="s">
        <v>12178</v>
      </c>
      <c r="K2184" t="s">
        <v>12179</v>
      </c>
      <c r="L2184" t="s">
        <v>25</v>
      </c>
      <c r="M2184" t="s">
        <v>12180</v>
      </c>
      <c r="N2184" t="s">
        <v>12181</v>
      </c>
      <c r="O2184" t="s">
        <v>12182</v>
      </c>
      <c r="P2184" t="s">
        <v>12183</v>
      </c>
      <c r="Q2184" t="s">
        <v>30</v>
      </c>
      <c r="R2184" t="s">
        <v>31</v>
      </c>
      <c r="S2184" t="s">
        <v>58</v>
      </c>
    </row>
    <row r="2185" spans="1:19" x14ac:dyDescent="0.45">
      <c r="A2185" t="str">
        <f t="shared" si="150"/>
        <v>39801</v>
      </c>
      <c r="B2185" t="s">
        <v>2395</v>
      </c>
      <c r="C2185" t="str">
        <f>"39205"</f>
        <v>39205</v>
      </c>
      <c r="D2185" t="s">
        <v>12176</v>
      </c>
      <c r="E2185" t="str">
        <f>"2783"</f>
        <v>2783</v>
      </c>
      <c r="F2185" t="s">
        <v>12184</v>
      </c>
      <c r="G2185" t="s">
        <v>22</v>
      </c>
      <c r="H2185">
        <v>3</v>
      </c>
      <c r="I2185" t="s">
        <v>12185</v>
      </c>
      <c r="K2185" t="s">
        <v>12179</v>
      </c>
      <c r="L2185" t="s">
        <v>25</v>
      </c>
      <c r="M2185" t="s">
        <v>12186</v>
      </c>
      <c r="N2185" t="s">
        <v>12187</v>
      </c>
      <c r="O2185" t="s">
        <v>12188</v>
      </c>
      <c r="P2185" t="s">
        <v>12189</v>
      </c>
      <c r="Q2185" t="s">
        <v>30</v>
      </c>
      <c r="R2185" t="s">
        <v>31</v>
      </c>
      <c r="S2185" t="s">
        <v>32</v>
      </c>
    </row>
    <row r="2186" spans="1:19" x14ac:dyDescent="0.45">
      <c r="A2186" t="str">
        <f t="shared" si="150"/>
        <v>39801</v>
      </c>
      <c r="B2186" t="s">
        <v>2395</v>
      </c>
      <c r="C2186" t="str">
        <f>"39205"</f>
        <v>39205</v>
      </c>
      <c r="D2186" t="s">
        <v>12176</v>
      </c>
      <c r="E2186" t="str">
        <f>"4221"</f>
        <v>4221</v>
      </c>
      <c r="F2186" t="s">
        <v>12190</v>
      </c>
      <c r="G2186">
        <v>4</v>
      </c>
      <c r="H2186">
        <v>6</v>
      </c>
      <c r="I2186" t="s">
        <v>12191</v>
      </c>
      <c r="K2186" t="s">
        <v>12179</v>
      </c>
      <c r="L2186" t="s">
        <v>25</v>
      </c>
      <c r="M2186" t="s">
        <v>12192</v>
      </c>
      <c r="N2186" t="s">
        <v>12193</v>
      </c>
      <c r="O2186" t="s">
        <v>12194</v>
      </c>
      <c r="P2186" t="s">
        <v>12195</v>
      </c>
      <c r="Q2186" t="s">
        <v>30</v>
      </c>
      <c r="R2186" t="s">
        <v>31</v>
      </c>
      <c r="S2186" t="s">
        <v>32</v>
      </c>
    </row>
    <row r="2187" spans="1:19" x14ac:dyDescent="0.45">
      <c r="A2187" t="str">
        <f t="shared" si="150"/>
        <v>39801</v>
      </c>
      <c r="B2187" t="s">
        <v>2395</v>
      </c>
      <c r="C2187" t="str">
        <f>"39205"</f>
        <v>39205</v>
      </c>
      <c r="D2187" t="s">
        <v>12176</v>
      </c>
      <c r="E2187" t="str">
        <f>"4481"</f>
        <v>4481</v>
      </c>
      <c r="F2187" t="s">
        <v>12196</v>
      </c>
      <c r="G2187">
        <v>7</v>
      </c>
      <c r="H2187">
        <v>8</v>
      </c>
      <c r="I2187" t="s">
        <v>12197</v>
      </c>
      <c r="K2187" t="s">
        <v>12179</v>
      </c>
      <c r="L2187" t="s">
        <v>25</v>
      </c>
      <c r="M2187" t="s">
        <v>12198</v>
      </c>
      <c r="N2187" t="s">
        <v>12199</v>
      </c>
      <c r="O2187" t="s">
        <v>12200</v>
      </c>
      <c r="P2187" t="s">
        <v>12201</v>
      </c>
      <c r="Q2187" t="s">
        <v>30</v>
      </c>
      <c r="R2187" t="s">
        <v>31</v>
      </c>
      <c r="S2187" t="s">
        <v>104</v>
      </c>
    </row>
    <row r="2188" spans="1:19" x14ac:dyDescent="0.45">
      <c r="A2188" t="str">
        <f t="shared" si="150"/>
        <v>39801</v>
      </c>
      <c r="B2188" t="s">
        <v>2395</v>
      </c>
      <c r="C2188" t="str">
        <f>"39207"</f>
        <v>39207</v>
      </c>
      <c r="D2188" t="s">
        <v>4411</v>
      </c>
      <c r="E2188" t="str">
        <f>"2131"</f>
        <v>2131</v>
      </c>
      <c r="F2188" t="s">
        <v>12202</v>
      </c>
      <c r="G2188">
        <v>6</v>
      </c>
      <c r="H2188">
        <v>8</v>
      </c>
      <c r="I2188" t="s">
        <v>12203</v>
      </c>
      <c r="K2188" t="s">
        <v>4414</v>
      </c>
      <c r="L2188" t="s">
        <v>25</v>
      </c>
      <c r="M2188" t="s">
        <v>12204</v>
      </c>
      <c r="N2188" t="s">
        <v>12205</v>
      </c>
      <c r="O2188" t="s">
        <v>12206</v>
      </c>
      <c r="P2188" t="s">
        <v>12207</v>
      </c>
      <c r="Q2188" t="s">
        <v>30</v>
      </c>
      <c r="R2188" t="s">
        <v>31</v>
      </c>
      <c r="S2188" t="s">
        <v>104</v>
      </c>
    </row>
    <row r="2189" spans="1:19" x14ac:dyDescent="0.45">
      <c r="A2189" t="str">
        <f t="shared" ref="A2189:A2204" si="154">"39801"</f>
        <v>39801</v>
      </c>
      <c r="B2189" t="s">
        <v>2395</v>
      </c>
      <c r="C2189" t="str">
        <f>"39207"</f>
        <v>39207</v>
      </c>
      <c r="D2189" t="s">
        <v>4411</v>
      </c>
      <c r="E2189" t="str">
        <f>"2757"</f>
        <v>2757</v>
      </c>
      <c r="F2189" t="s">
        <v>12208</v>
      </c>
      <c r="G2189">
        <v>3</v>
      </c>
      <c r="H2189">
        <v>5</v>
      </c>
      <c r="I2189" t="s">
        <v>12209</v>
      </c>
      <c r="K2189" t="s">
        <v>4414</v>
      </c>
      <c r="L2189" t="s">
        <v>25</v>
      </c>
      <c r="M2189" t="s">
        <v>12210</v>
      </c>
      <c r="N2189" t="s">
        <v>12211</v>
      </c>
      <c r="O2189" t="s">
        <v>12212</v>
      </c>
      <c r="P2189" t="s">
        <v>12213</v>
      </c>
      <c r="Q2189" t="s">
        <v>30</v>
      </c>
      <c r="R2189" t="s">
        <v>31</v>
      </c>
      <c r="S2189" t="s">
        <v>32</v>
      </c>
    </row>
    <row r="2190" spans="1:19" x14ac:dyDescent="0.45">
      <c r="A2190" t="str">
        <f t="shared" si="154"/>
        <v>39801</v>
      </c>
      <c r="B2190" t="s">
        <v>2395</v>
      </c>
      <c r="C2190" t="str">
        <f>"39207"</f>
        <v>39207</v>
      </c>
      <c r="D2190" t="s">
        <v>4411</v>
      </c>
      <c r="E2190" t="str">
        <f>"3141"</f>
        <v>3141</v>
      </c>
      <c r="F2190" t="s">
        <v>12214</v>
      </c>
      <c r="G2190">
        <v>9</v>
      </c>
      <c r="H2190">
        <v>12</v>
      </c>
      <c r="I2190" t="s">
        <v>12215</v>
      </c>
      <c r="K2190" t="s">
        <v>4414</v>
      </c>
      <c r="L2190" t="s">
        <v>25</v>
      </c>
      <c r="M2190" t="s">
        <v>12204</v>
      </c>
      <c r="N2190" t="s">
        <v>12216</v>
      </c>
      <c r="O2190" t="s">
        <v>12217</v>
      </c>
      <c r="P2190" t="s">
        <v>12218</v>
      </c>
      <c r="Q2190" t="s">
        <v>30</v>
      </c>
      <c r="R2190" t="s">
        <v>31</v>
      </c>
      <c r="S2190" t="s">
        <v>58</v>
      </c>
    </row>
    <row r="2191" spans="1:19" x14ac:dyDescent="0.45">
      <c r="A2191" t="str">
        <f t="shared" si="154"/>
        <v>39801</v>
      </c>
      <c r="B2191" t="s">
        <v>2395</v>
      </c>
      <c r="C2191" t="str">
        <f>"39207"</f>
        <v>39207</v>
      </c>
      <c r="D2191" t="s">
        <v>4411</v>
      </c>
      <c r="E2191" t="str">
        <f>"4022"</f>
        <v>4022</v>
      </c>
      <c r="F2191" t="s">
        <v>12219</v>
      </c>
      <c r="G2191">
        <v>6</v>
      </c>
      <c r="H2191">
        <v>12</v>
      </c>
      <c r="I2191" t="s">
        <v>12220</v>
      </c>
      <c r="K2191" t="s">
        <v>4414</v>
      </c>
      <c r="L2191" t="s">
        <v>25</v>
      </c>
      <c r="M2191" t="s">
        <v>12221</v>
      </c>
      <c r="N2191" t="s">
        <v>12222</v>
      </c>
      <c r="O2191" t="s">
        <v>12223</v>
      </c>
      <c r="P2191" t="s">
        <v>12224</v>
      </c>
      <c r="Q2191" t="s">
        <v>157</v>
      </c>
      <c r="R2191" t="s">
        <v>158</v>
      </c>
      <c r="S2191" t="s">
        <v>159</v>
      </c>
    </row>
    <row r="2192" spans="1:19" x14ac:dyDescent="0.45">
      <c r="A2192" t="str">
        <f t="shared" si="154"/>
        <v>39801</v>
      </c>
      <c r="B2192" t="s">
        <v>2395</v>
      </c>
      <c r="C2192" t="str">
        <f>"39207"</f>
        <v>39207</v>
      </c>
      <c r="D2192" t="s">
        <v>4411</v>
      </c>
      <c r="E2192" t="str">
        <f>"4518"</f>
        <v>4518</v>
      </c>
      <c r="F2192" t="s">
        <v>10093</v>
      </c>
      <c r="G2192">
        <v>3</v>
      </c>
      <c r="H2192">
        <v>5</v>
      </c>
      <c r="I2192" t="s">
        <v>12225</v>
      </c>
      <c r="K2192" t="s">
        <v>4414</v>
      </c>
      <c r="L2192" t="s">
        <v>25</v>
      </c>
      <c r="M2192" t="s">
        <v>12226</v>
      </c>
      <c r="N2192" t="s">
        <v>12227</v>
      </c>
      <c r="O2192" t="s">
        <v>12228</v>
      </c>
      <c r="P2192" t="s">
        <v>12229</v>
      </c>
      <c r="Q2192" t="s">
        <v>30</v>
      </c>
      <c r="R2192" t="s">
        <v>31</v>
      </c>
      <c r="S2192" t="s">
        <v>32</v>
      </c>
    </row>
    <row r="2193" spans="1:19" x14ac:dyDescent="0.45">
      <c r="A2193" t="str">
        <f t="shared" si="154"/>
        <v>39801</v>
      </c>
      <c r="B2193" t="s">
        <v>2395</v>
      </c>
      <c r="C2193" t="str">
        <f t="shared" ref="C2193:C2201" si="155">"39208"</f>
        <v>39208</v>
      </c>
      <c r="D2193" t="s">
        <v>3199</v>
      </c>
      <c r="E2193" t="str">
        <f>"2505"</f>
        <v>2505</v>
      </c>
      <c r="F2193" t="s">
        <v>12230</v>
      </c>
      <c r="G2193" t="s">
        <v>70</v>
      </c>
      <c r="H2193">
        <v>4</v>
      </c>
      <c r="I2193" t="s">
        <v>12231</v>
      </c>
      <c r="K2193" t="s">
        <v>2512</v>
      </c>
      <c r="L2193" t="s">
        <v>25</v>
      </c>
      <c r="M2193" t="s">
        <v>12232</v>
      </c>
      <c r="N2193" t="s">
        <v>12233</v>
      </c>
      <c r="O2193" t="s">
        <v>12234</v>
      </c>
      <c r="P2193" t="s">
        <v>12235</v>
      </c>
      <c r="Q2193" t="s">
        <v>30</v>
      </c>
      <c r="R2193" t="s">
        <v>31</v>
      </c>
      <c r="S2193" t="s">
        <v>32</v>
      </c>
    </row>
    <row r="2194" spans="1:19" x14ac:dyDescent="0.45">
      <c r="A2194" t="str">
        <f t="shared" si="154"/>
        <v>39801</v>
      </c>
      <c r="B2194" t="s">
        <v>2395</v>
      </c>
      <c r="C2194" t="str">
        <f t="shared" si="155"/>
        <v>39208</v>
      </c>
      <c r="D2194" t="s">
        <v>3199</v>
      </c>
      <c r="E2194" t="str">
        <f>"2758"</f>
        <v>2758</v>
      </c>
      <c r="F2194" t="s">
        <v>12236</v>
      </c>
      <c r="G2194" t="s">
        <v>70</v>
      </c>
      <c r="H2194">
        <v>4</v>
      </c>
      <c r="I2194" t="s">
        <v>12237</v>
      </c>
      <c r="K2194" t="s">
        <v>2512</v>
      </c>
      <c r="L2194" t="s">
        <v>25</v>
      </c>
      <c r="M2194" t="s">
        <v>12238</v>
      </c>
      <c r="N2194" t="s">
        <v>12239</v>
      </c>
      <c r="O2194" t="s">
        <v>12240</v>
      </c>
      <c r="P2194" t="s">
        <v>12241</v>
      </c>
      <c r="Q2194" t="s">
        <v>30</v>
      </c>
      <c r="R2194" t="s">
        <v>31</v>
      </c>
      <c r="S2194" t="s">
        <v>32</v>
      </c>
    </row>
    <row r="2195" spans="1:19" x14ac:dyDescent="0.45">
      <c r="A2195" t="str">
        <f t="shared" si="154"/>
        <v>39801</v>
      </c>
      <c r="B2195" t="s">
        <v>2395</v>
      </c>
      <c r="C2195" t="str">
        <f t="shared" si="155"/>
        <v>39208</v>
      </c>
      <c r="D2195" t="s">
        <v>3199</v>
      </c>
      <c r="E2195" t="str">
        <f>"2822"</f>
        <v>2822</v>
      </c>
      <c r="F2195" t="s">
        <v>12242</v>
      </c>
      <c r="G2195" t="s">
        <v>70</v>
      </c>
      <c r="H2195">
        <v>4</v>
      </c>
      <c r="I2195" t="s">
        <v>12243</v>
      </c>
      <c r="K2195" t="s">
        <v>2512</v>
      </c>
      <c r="L2195" t="s">
        <v>25</v>
      </c>
      <c r="M2195" t="s">
        <v>12244</v>
      </c>
      <c r="N2195" t="s">
        <v>12245</v>
      </c>
      <c r="O2195" t="s">
        <v>12246</v>
      </c>
      <c r="P2195" t="s">
        <v>12247</v>
      </c>
      <c r="Q2195" t="s">
        <v>30</v>
      </c>
      <c r="R2195" t="s">
        <v>31</v>
      </c>
      <c r="S2195" t="s">
        <v>32</v>
      </c>
    </row>
    <row r="2196" spans="1:19" x14ac:dyDescent="0.45">
      <c r="A2196" t="str">
        <f t="shared" si="154"/>
        <v>39801</v>
      </c>
      <c r="B2196" t="s">
        <v>2395</v>
      </c>
      <c r="C2196" t="str">
        <f t="shared" si="155"/>
        <v>39208</v>
      </c>
      <c r="D2196" t="s">
        <v>3199</v>
      </c>
      <c r="E2196" t="str">
        <f>"3074"</f>
        <v>3074</v>
      </c>
      <c r="F2196" t="s">
        <v>10695</v>
      </c>
      <c r="G2196">
        <v>9</v>
      </c>
      <c r="H2196">
        <v>12</v>
      </c>
      <c r="I2196" t="s">
        <v>3201</v>
      </c>
      <c r="K2196" t="s">
        <v>2512</v>
      </c>
      <c r="L2196" t="s">
        <v>25</v>
      </c>
      <c r="M2196" t="s">
        <v>12248</v>
      </c>
      <c r="N2196" t="s">
        <v>12249</v>
      </c>
      <c r="O2196" t="s">
        <v>12250</v>
      </c>
      <c r="P2196" t="s">
        <v>12251</v>
      </c>
      <c r="Q2196" t="s">
        <v>30</v>
      </c>
      <c r="R2196" t="s">
        <v>31</v>
      </c>
      <c r="S2196" t="s">
        <v>58</v>
      </c>
    </row>
    <row r="2197" spans="1:19" x14ac:dyDescent="0.45">
      <c r="A2197" t="str">
        <f t="shared" si="154"/>
        <v>39801</v>
      </c>
      <c r="B2197" t="s">
        <v>2395</v>
      </c>
      <c r="C2197" t="str">
        <f t="shared" si="155"/>
        <v>39208</v>
      </c>
      <c r="D2197" t="s">
        <v>3199</v>
      </c>
      <c r="E2197" t="str">
        <f>"3207"</f>
        <v>3207</v>
      </c>
      <c r="F2197" t="s">
        <v>12252</v>
      </c>
      <c r="G2197" t="s">
        <v>70</v>
      </c>
      <c r="H2197">
        <v>4</v>
      </c>
      <c r="I2197" t="s">
        <v>12253</v>
      </c>
      <c r="K2197" t="s">
        <v>2512</v>
      </c>
      <c r="L2197" t="s">
        <v>25</v>
      </c>
      <c r="M2197" t="s">
        <v>12254</v>
      </c>
      <c r="N2197" t="s">
        <v>12255</v>
      </c>
      <c r="O2197" t="s">
        <v>12256</v>
      </c>
      <c r="P2197" t="s">
        <v>12257</v>
      </c>
      <c r="Q2197" t="s">
        <v>30</v>
      </c>
      <c r="R2197" t="s">
        <v>31</v>
      </c>
      <c r="S2197" t="s">
        <v>32</v>
      </c>
    </row>
    <row r="2198" spans="1:19" x14ac:dyDescent="0.45">
      <c r="A2198" t="str">
        <f t="shared" si="154"/>
        <v>39801</v>
      </c>
      <c r="B2198" t="s">
        <v>2395</v>
      </c>
      <c r="C2198" t="str">
        <f t="shared" si="155"/>
        <v>39208</v>
      </c>
      <c r="D2198" t="s">
        <v>3199</v>
      </c>
      <c r="E2198" t="str">
        <f>"3699"</f>
        <v>3699</v>
      </c>
      <c r="F2198" t="s">
        <v>12258</v>
      </c>
      <c r="G2198" t="s">
        <v>70</v>
      </c>
      <c r="H2198">
        <v>4</v>
      </c>
      <c r="I2198" t="s">
        <v>12259</v>
      </c>
      <c r="K2198" t="s">
        <v>2512</v>
      </c>
      <c r="L2198" t="s">
        <v>25</v>
      </c>
      <c r="M2198" t="s">
        <v>12260</v>
      </c>
      <c r="N2198" t="s">
        <v>12261</v>
      </c>
      <c r="O2198" t="s">
        <v>12262</v>
      </c>
      <c r="P2198" t="s">
        <v>12263</v>
      </c>
      <c r="Q2198" t="s">
        <v>30</v>
      </c>
      <c r="R2198" t="s">
        <v>31</v>
      </c>
      <c r="S2198" t="s">
        <v>32</v>
      </c>
    </row>
    <row r="2199" spans="1:19" x14ac:dyDescent="0.45">
      <c r="A2199" t="str">
        <f t="shared" si="154"/>
        <v>39801</v>
      </c>
      <c r="B2199" t="s">
        <v>2395</v>
      </c>
      <c r="C2199" t="str">
        <f t="shared" si="155"/>
        <v>39208</v>
      </c>
      <c r="D2199" t="s">
        <v>3199</v>
      </c>
      <c r="E2199" t="str">
        <f>"4040"</f>
        <v>4040</v>
      </c>
      <c r="F2199" t="s">
        <v>12264</v>
      </c>
      <c r="G2199">
        <v>7</v>
      </c>
      <c r="H2199">
        <v>8</v>
      </c>
      <c r="I2199" t="s">
        <v>12265</v>
      </c>
      <c r="K2199" t="s">
        <v>2512</v>
      </c>
      <c r="L2199" t="s">
        <v>25</v>
      </c>
      <c r="M2199" t="s">
        <v>12266</v>
      </c>
      <c r="N2199" t="s">
        <v>12267</v>
      </c>
      <c r="O2199" t="s">
        <v>12268</v>
      </c>
      <c r="P2199" t="s">
        <v>12269</v>
      </c>
      <c r="Q2199" t="s">
        <v>30</v>
      </c>
      <c r="R2199" t="s">
        <v>31</v>
      </c>
      <c r="S2199" t="s">
        <v>58</v>
      </c>
    </row>
    <row r="2200" spans="1:19" x14ac:dyDescent="0.45">
      <c r="A2200" t="str">
        <f t="shared" si="154"/>
        <v>39801</v>
      </c>
      <c r="B2200" t="s">
        <v>2395</v>
      </c>
      <c r="C2200" t="str">
        <f t="shared" si="155"/>
        <v>39208</v>
      </c>
      <c r="D2200" t="s">
        <v>3199</v>
      </c>
      <c r="E2200" t="str">
        <f>"4448"</f>
        <v>4448</v>
      </c>
      <c r="F2200" t="s">
        <v>6645</v>
      </c>
      <c r="G2200" t="s">
        <v>70</v>
      </c>
      <c r="H2200">
        <v>4</v>
      </c>
      <c r="I2200" t="s">
        <v>12270</v>
      </c>
      <c r="K2200" t="s">
        <v>2512</v>
      </c>
      <c r="L2200" t="s">
        <v>25</v>
      </c>
      <c r="M2200" t="s">
        <v>12271</v>
      </c>
      <c r="N2200" t="s">
        <v>12272</v>
      </c>
      <c r="O2200" t="s">
        <v>12273</v>
      </c>
      <c r="P2200" t="s">
        <v>12274</v>
      </c>
      <c r="Q2200" t="s">
        <v>30</v>
      </c>
      <c r="R2200" t="s">
        <v>31</v>
      </c>
      <c r="S2200" t="s">
        <v>32</v>
      </c>
    </row>
    <row r="2201" spans="1:19" x14ac:dyDescent="0.45">
      <c r="A2201" t="str">
        <f t="shared" si="154"/>
        <v>39801</v>
      </c>
      <c r="B2201" t="s">
        <v>2395</v>
      </c>
      <c r="C2201" t="str">
        <f t="shared" si="155"/>
        <v>39208</v>
      </c>
      <c r="D2201" t="s">
        <v>3199</v>
      </c>
      <c r="E2201" t="str">
        <f>"4506"</f>
        <v>4506</v>
      </c>
      <c r="F2201" t="s">
        <v>12275</v>
      </c>
      <c r="G2201">
        <v>5</v>
      </c>
      <c r="H2201">
        <v>6</v>
      </c>
      <c r="I2201" t="s">
        <v>12276</v>
      </c>
      <c r="K2201" t="s">
        <v>2512</v>
      </c>
      <c r="L2201" t="s">
        <v>25</v>
      </c>
      <c r="M2201" t="s">
        <v>12277</v>
      </c>
      <c r="N2201" t="s">
        <v>12278</v>
      </c>
      <c r="O2201" t="s">
        <v>12268</v>
      </c>
      <c r="P2201" t="s">
        <v>12279</v>
      </c>
      <c r="Q2201" t="s">
        <v>30</v>
      </c>
      <c r="R2201" t="s">
        <v>31</v>
      </c>
      <c r="S2201" t="s">
        <v>104</v>
      </c>
    </row>
    <row r="2202" spans="1:19" x14ac:dyDescent="0.45">
      <c r="A2202" t="str">
        <f t="shared" si="154"/>
        <v>39801</v>
      </c>
      <c r="B2202" t="s">
        <v>2395</v>
      </c>
      <c r="C2202" t="str">
        <f>"39209"</f>
        <v>39209</v>
      </c>
      <c r="D2202" t="s">
        <v>12280</v>
      </c>
      <c r="E2202" t="str">
        <f>"2389"</f>
        <v>2389</v>
      </c>
      <c r="F2202" t="s">
        <v>12281</v>
      </c>
      <c r="G2202">
        <v>7</v>
      </c>
      <c r="H2202">
        <v>8</v>
      </c>
      <c r="I2202" t="s">
        <v>12282</v>
      </c>
      <c r="K2202" t="s">
        <v>12283</v>
      </c>
      <c r="L2202" t="s">
        <v>25</v>
      </c>
      <c r="M2202" t="s">
        <v>12284</v>
      </c>
      <c r="N2202" t="s">
        <v>12285</v>
      </c>
      <c r="O2202" t="s">
        <v>12286</v>
      </c>
      <c r="P2202" t="s">
        <v>12287</v>
      </c>
      <c r="Q2202" t="s">
        <v>30</v>
      </c>
      <c r="R2202" t="s">
        <v>31</v>
      </c>
      <c r="S2202" t="s">
        <v>104</v>
      </c>
    </row>
    <row r="2203" spans="1:19" x14ac:dyDescent="0.45">
      <c r="A2203" t="str">
        <f t="shared" si="154"/>
        <v>39801</v>
      </c>
      <c r="B2203" t="s">
        <v>2395</v>
      </c>
      <c r="C2203" t="str">
        <f>"39209"</f>
        <v>39209</v>
      </c>
      <c r="D2203" t="s">
        <v>12280</v>
      </c>
      <c r="E2203" t="str">
        <f>"2506"</f>
        <v>2506</v>
      </c>
      <c r="F2203" t="s">
        <v>12288</v>
      </c>
      <c r="G2203" t="s">
        <v>22</v>
      </c>
      <c r="H2203">
        <v>6</v>
      </c>
      <c r="I2203" t="s">
        <v>12289</v>
      </c>
      <c r="K2203" t="s">
        <v>12290</v>
      </c>
      <c r="L2203" t="s">
        <v>25</v>
      </c>
      <c r="M2203" t="s">
        <v>12291</v>
      </c>
      <c r="N2203" t="s">
        <v>12292</v>
      </c>
      <c r="O2203" t="s">
        <v>12293</v>
      </c>
      <c r="P2203" t="s">
        <v>12294</v>
      </c>
      <c r="Q2203" t="s">
        <v>30</v>
      </c>
      <c r="R2203" t="s">
        <v>31</v>
      </c>
      <c r="S2203" t="s">
        <v>32</v>
      </c>
    </row>
    <row r="2204" spans="1:19" x14ac:dyDescent="0.45">
      <c r="A2204" t="str">
        <f t="shared" si="154"/>
        <v>39801</v>
      </c>
      <c r="B2204" t="s">
        <v>2395</v>
      </c>
      <c r="C2204" t="str">
        <f>"39209"</f>
        <v>39209</v>
      </c>
      <c r="D2204" t="s">
        <v>12280</v>
      </c>
      <c r="E2204" t="str">
        <f>"2532"</f>
        <v>2532</v>
      </c>
      <c r="F2204" t="s">
        <v>12295</v>
      </c>
      <c r="G2204">
        <v>9</v>
      </c>
      <c r="H2204">
        <v>12</v>
      </c>
      <c r="I2204" t="s">
        <v>12282</v>
      </c>
      <c r="K2204" t="s">
        <v>12283</v>
      </c>
      <c r="L2204" t="s">
        <v>25</v>
      </c>
      <c r="M2204" t="s">
        <v>12284</v>
      </c>
      <c r="N2204" t="s">
        <v>12285</v>
      </c>
      <c r="O2204" t="s">
        <v>12286</v>
      </c>
      <c r="P2204" t="s">
        <v>12287</v>
      </c>
      <c r="Q2204" t="s">
        <v>30</v>
      </c>
      <c r="R2204" t="s">
        <v>31</v>
      </c>
      <c r="S2204" t="s">
        <v>58</v>
      </c>
    </row>
    <row r="2205" spans="1:19" x14ac:dyDescent="0.45">
      <c r="A2205" t="str">
        <f>"32801"</f>
        <v>32801</v>
      </c>
      <c r="B2205" t="s">
        <v>1108</v>
      </c>
      <c r="C2205" t="str">
        <f>"33183"</f>
        <v>33183</v>
      </c>
      <c r="D2205" t="s">
        <v>10828</v>
      </c>
      <c r="E2205" t="str">
        <f>"1922"</f>
        <v>1922</v>
      </c>
      <c r="F2205" t="s">
        <v>12296</v>
      </c>
      <c r="G2205" t="s">
        <v>70</v>
      </c>
      <c r="H2205">
        <v>8</v>
      </c>
      <c r="I2205" t="s">
        <v>10830</v>
      </c>
      <c r="K2205" t="s">
        <v>10831</v>
      </c>
      <c r="L2205" t="s">
        <v>25</v>
      </c>
      <c r="M2205" t="s">
        <v>10832</v>
      </c>
      <c r="N2205" t="s">
        <v>12297</v>
      </c>
      <c r="O2205" t="s">
        <v>12298</v>
      </c>
      <c r="P2205" t="s">
        <v>12299</v>
      </c>
      <c r="Q2205" t="s">
        <v>157</v>
      </c>
      <c r="R2205" t="s">
        <v>158</v>
      </c>
      <c r="S2205" t="s">
        <v>159</v>
      </c>
    </row>
    <row r="2206" spans="1:19" x14ac:dyDescent="0.45">
      <c r="A2206" t="str">
        <f>"29801"</f>
        <v>29801</v>
      </c>
      <c r="B2206" t="s">
        <v>2370</v>
      </c>
      <c r="C2206" t="str">
        <f>"31025"</f>
        <v>31025</v>
      </c>
      <c r="D2206" t="s">
        <v>2483</v>
      </c>
      <c r="E2206" t="str">
        <f>"1910"</f>
        <v>1910</v>
      </c>
      <c r="F2206" t="s">
        <v>12300</v>
      </c>
      <c r="G2206" t="s">
        <v>22</v>
      </c>
      <c r="H2206">
        <v>13</v>
      </c>
      <c r="I2206" t="s">
        <v>12301</v>
      </c>
      <c r="K2206" t="s">
        <v>2744</v>
      </c>
      <c r="L2206" t="s">
        <v>25</v>
      </c>
      <c r="M2206" t="s">
        <v>9650</v>
      </c>
      <c r="N2206" t="s">
        <v>12302</v>
      </c>
      <c r="O2206" t="s">
        <v>12303</v>
      </c>
      <c r="P2206" t="s">
        <v>12304</v>
      </c>
      <c r="Q2206" t="s">
        <v>66</v>
      </c>
      <c r="R2206" t="s">
        <v>67</v>
      </c>
      <c r="S2206" t="s">
        <v>68</v>
      </c>
    </row>
    <row r="2207" spans="1:19" x14ac:dyDescent="0.45">
      <c r="A2207" t="str">
        <f>"32801"</f>
        <v>32801</v>
      </c>
      <c r="B2207" t="s">
        <v>1108</v>
      </c>
      <c r="C2207" t="str">
        <f>"32416"</f>
        <v>32416</v>
      </c>
      <c r="D2207" t="s">
        <v>10742</v>
      </c>
      <c r="E2207" t="str">
        <f>"1919"</f>
        <v>1919</v>
      </c>
      <c r="F2207" t="s">
        <v>12305</v>
      </c>
      <c r="G2207" t="s">
        <v>70</v>
      </c>
      <c r="H2207">
        <v>12</v>
      </c>
      <c r="I2207" t="s">
        <v>12306</v>
      </c>
      <c r="K2207" t="s">
        <v>10745</v>
      </c>
      <c r="L2207" t="s">
        <v>25</v>
      </c>
      <c r="M2207" t="s">
        <v>12307</v>
      </c>
      <c r="N2207" t="s">
        <v>12308</v>
      </c>
      <c r="O2207" t="s">
        <v>12309</v>
      </c>
      <c r="P2207" t="s">
        <v>12310</v>
      </c>
      <c r="Q2207" t="s">
        <v>157</v>
      </c>
      <c r="R2207" t="s">
        <v>158</v>
      </c>
      <c r="S2207" t="s">
        <v>330</v>
      </c>
    </row>
    <row r="2208" spans="1:19" x14ac:dyDescent="0.45">
      <c r="A2208" t="str">
        <f>"29801"</f>
        <v>29801</v>
      </c>
      <c r="B2208" t="s">
        <v>2370</v>
      </c>
      <c r="C2208" t="str">
        <f>"31201"</f>
        <v>31201</v>
      </c>
      <c r="D2208" t="s">
        <v>9773</v>
      </c>
      <c r="E2208" t="str">
        <f>"1904"</f>
        <v>1904</v>
      </c>
      <c r="F2208" t="s">
        <v>12311</v>
      </c>
      <c r="G2208" t="s">
        <v>70</v>
      </c>
      <c r="H2208">
        <v>12</v>
      </c>
      <c r="I2208" t="s">
        <v>12312</v>
      </c>
      <c r="K2208" t="s">
        <v>9739</v>
      </c>
      <c r="L2208" t="s">
        <v>25</v>
      </c>
      <c r="M2208" t="s">
        <v>9776</v>
      </c>
      <c r="N2208" t="s">
        <v>9811</v>
      </c>
      <c r="O2208" t="s">
        <v>9812</v>
      </c>
      <c r="P2208" t="s">
        <v>9813</v>
      </c>
      <c r="Q2208" t="s">
        <v>157</v>
      </c>
      <c r="R2208" t="s">
        <v>158</v>
      </c>
      <c r="S2208" t="s">
        <v>330</v>
      </c>
    </row>
    <row r="2209" spans="1:19" x14ac:dyDescent="0.45">
      <c r="A2209" t="str">
        <f>"17801"</f>
        <v>17801</v>
      </c>
      <c r="B2209" t="s">
        <v>19</v>
      </c>
      <c r="C2209" t="str">
        <f>"17415"</f>
        <v>17415</v>
      </c>
      <c r="D2209" t="s">
        <v>2884</v>
      </c>
      <c r="E2209" t="str">
        <f>"4581"</f>
        <v>4581</v>
      </c>
      <c r="F2209" t="s">
        <v>12313</v>
      </c>
      <c r="G2209" t="s">
        <v>22</v>
      </c>
      <c r="H2209">
        <v>6</v>
      </c>
      <c r="I2209" t="s">
        <v>12314</v>
      </c>
      <c r="K2209" t="s">
        <v>2887</v>
      </c>
      <c r="L2209" t="s">
        <v>25</v>
      </c>
      <c r="M2209" t="s">
        <v>12315</v>
      </c>
      <c r="N2209" t="s">
        <v>12316</v>
      </c>
      <c r="O2209" t="s">
        <v>12317</v>
      </c>
      <c r="P2209" t="s">
        <v>12318</v>
      </c>
      <c r="Q2209" t="s">
        <v>30</v>
      </c>
      <c r="R2209" t="s">
        <v>31</v>
      </c>
      <c r="S2209" t="s">
        <v>32</v>
      </c>
    </row>
    <row r="2210" spans="1:19" x14ac:dyDescent="0.45">
      <c r="A2210" t="str">
        <f>"32801"</f>
        <v>32801</v>
      </c>
      <c r="B2210" t="s">
        <v>1108</v>
      </c>
      <c r="C2210" t="str">
        <f>"33070"</f>
        <v>33070</v>
      </c>
      <c r="D2210" t="s">
        <v>2522</v>
      </c>
      <c r="E2210" t="str">
        <f>"1932"</f>
        <v>1932</v>
      </c>
      <c r="F2210" t="s">
        <v>12319</v>
      </c>
      <c r="G2210" t="s">
        <v>70</v>
      </c>
      <c r="H2210">
        <v>8</v>
      </c>
      <c r="I2210" t="s">
        <v>2524</v>
      </c>
      <c r="K2210" t="s">
        <v>2525</v>
      </c>
      <c r="L2210" t="s">
        <v>25</v>
      </c>
      <c r="M2210">
        <v>99181</v>
      </c>
      <c r="N2210" t="s">
        <v>12320</v>
      </c>
      <c r="O2210" t="s">
        <v>12321</v>
      </c>
      <c r="P2210" t="s">
        <v>12322</v>
      </c>
      <c r="Q2210" t="s">
        <v>157</v>
      </c>
      <c r="R2210" t="s">
        <v>158</v>
      </c>
      <c r="S2210" t="s">
        <v>330</v>
      </c>
    </row>
    <row r="2211" spans="1:19" x14ac:dyDescent="0.45">
      <c r="A2211" t="str">
        <f>"06801"</f>
        <v>06801</v>
      </c>
      <c r="B2211" t="s">
        <v>1870</v>
      </c>
      <c r="C2211" t="str">
        <f>"08458"</f>
        <v>08458</v>
      </c>
      <c r="D2211" t="s">
        <v>3657</v>
      </c>
      <c r="E2211" t="str">
        <f>"1934"</f>
        <v>1934</v>
      </c>
      <c r="F2211" t="s">
        <v>12323</v>
      </c>
      <c r="G2211">
        <v>9</v>
      </c>
      <c r="H2211">
        <v>12</v>
      </c>
      <c r="I2211" t="s">
        <v>12324</v>
      </c>
      <c r="K2211" t="s">
        <v>3660</v>
      </c>
      <c r="L2211" t="s">
        <v>25</v>
      </c>
      <c r="M2211" t="s">
        <v>3661</v>
      </c>
      <c r="N2211" t="s">
        <v>4433</v>
      </c>
      <c r="O2211" t="s">
        <v>12325</v>
      </c>
      <c r="P2211" t="s">
        <v>12326</v>
      </c>
      <c r="Q2211" t="s">
        <v>157</v>
      </c>
      <c r="R2211" t="s">
        <v>158</v>
      </c>
      <c r="S2211" t="s">
        <v>58</v>
      </c>
    </row>
    <row r="2212" spans="1:19" x14ac:dyDescent="0.45">
      <c r="A2212" t="str">
        <f>"17801"</f>
        <v>17801</v>
      </c>
      <c r="B2212" t="s">
        <v>19</v>
      </c>
      <c r="C2212" t="str">
        <f>"18303"</f>
        <v>18303</v>
      </c>
      <c r="D2212" t="s">
        <v>6508</v>
      </c>
      <c r="E2212" t="str">
        <f>"1935"</f>
        <v>1935</v>
      </c>
      <c r="F2212" t="s">
        <v>12327</v>
      </c>
      <c r="G2212">
        <v>9</v>
      </c>
      <c r="H2212">
        <v>12</v>
      </c>
      <c r="I2212" t="s">
        <v>6510</v>
      </c>
      <c r="K2212" t="s">
        <v>6511</v>
      </c>
      <c r="L2212" t="s">
        <v>25</v>
      </c>
      <c r="M2212" t="s">
        <v>6512</v>
      </c>
      <c r="N2212" t="s">
        <v>6513</v>
      </c>
      <c r="O2212" t="s">
        <v>6514</v>
      </c>
      <c r="P2212" t="s">
        <v>6515</v>
      </c>
      <c r="Q2212" t="s">
        <v>157</v>
      </c>
      <c r="R2212" t="s">
        <v>158</v>
      </c>
      <c r="S2212" t="s">
        <v>58</v>
      </c>
    </row>
    <row r="2213" spans="1:19" x14ac:dyDescent="0.45">
      <c r="A2213" t="str">
        <f>"32801"</f>
        <v>32801</v>
      </c>
      <c r="B2213" t="s">
        <v>1108</v>
      </c>
      <c r="C2213" t="str">
        <f>"33049"</f>
        <v>33049</v>
      </c>
      <c r="D2213" t="s">
        <v>2995</v>
      </c>
      <c r="E2213" t="str">
        <f>"2549"</f>
        <v>2549</v>
      </c>
      <c r="F2213" t="s">
        <v>12328</v>
      </c>
      <c r="G2213" t="s">
        <v>70</v>
      </c>
      <c r="H2213">
        <v>5</v>
      </c>
      <c r="I2213" t="s">
        <v>2997</v>
      </c>
      <c r="K2213" t="s">
        <v>2998</v>
      </c>
      <c r="L2213" t="s">
        <v>25</v>
      </c>
      <c r="M2213" t="s">
        <v>10789</v>
      </c>
      <c r="N2213" t="s">
        <v>10790</v>
      </c>
      <c r="O2213" t="s">
        <v>10791</v>
      </c>
      <c r="P2213" t="s">
        <v>10792</v>
      </c>
      <c r="Q2213" t="s">
        <v>30</v>
      </c>
      <c r="R2213" t="s">
        <v>31</v>
      </c>
      <c r="S2213" t="s">
        <v>32</v>
      </c>
    </row>
    <row r="2214" spans="1:19" x14ac:dyDescent="0.45">
      <c r="A2214" t="str">
        <f>"06801"</f>
        <v>06801</v>
      </c>
      <c r="B2214" t="s">
        <v>1870</v>
      </c>
      <c r="C2214" t="str">
        <f>"06114"</f>
        <v>06114</v>
      </c>
      <c r="D2214" t="s">
        <v>2170</v>
      </c>
      <c r="E2214" t="str">
        <f>"1926"</f>
        <v>1926</v>
      </c>
      <c r="F2214" t="s">
        <v>12329</v>
      </c>
      <c r="G2214" t="s">
        <v>70</v>
      </c>
      <c r="H2214">
        <v>12</v>
      </c>
      <c r="I2214" t="s">
        <v>2172</v>
      </c>
      <c r="K2214" t="s">
        <v>2029</v>
      </c>
      <c r="L2214" t="s">
        <v>25</v>
      </c>
      <c r="M2214" t="s">
        <v>12330</v>
      </c>
      <c r="N2214" t="s">
        <v>2173</v>
      </c>
      <c r="O2214" t="s">
        <v>2174</v>
      </c>
      <c r="P2214" t="s">
        <v>12331</v>
      </c>
      <c r="Q2214" t="s">
        <v>157</v>
      </c>
      <c r="R2214" t="s">
        <v>158</v>
      </c>
      <c r="S2214" t="s">
        <v>330</v>
      </c>
    </row>
    <row r="2215" spans="1:19" x14ac:dyDescent="0.45">
      <c r="A2215" t="str">
        <f>"34801"</f>
        <v>34801</v>
      </c>
      <c r="B2215" t="s">
        <v>2257</v>
      </c>
      <c r="C2215" t="str">
        <f>"21301"</f>
        <v>21301</v>
      </c>
      <c r="D2215" t="s">
        <v>7107</v>
      </c>
      <c r="E2215" t="str">
        <f>"1925"</f>
        <v>1925</v>
      </c>
      <c r="F2215" t="s">
        <v>12332</v>
      </c>
      <c r="G2215">
        <v>9</v>
      </c>
      <c r="H2215">
        <v>12</v>
      </c>
      <c r="I2215" t="s">
        <v>6982</v>
      </c>
      <c r="K2215" t="s">
        <v>7110</v>
      </c>
      <c r="L2215" t="s">
        <v>25</v>
      </c>
      <c r="M2215" t="s">
        <v>12333</v>
      </c>
      <c r="N2215" t="s">
        <v>12334</v>
      </c>
      <c r="O2215" t="s">
        <v>12335</v>
      </c>
      <c r="P2215" t="s">
        <v>12336</v>
      </c>
      <c r="Q2215" t="s">
        <v>157</v>
      </c>
      <c r="R2215" t="s">
        <v>158</v>
      </c>
      <c r="S2215" t="s">
        <v>58</v>
      </c>
    </row>
    <row r="2216" spans="1:19" x14ac:dyDescent="0.45">
      <c r="A2216" t="str">
        <f>"34801"</f>
        <v>34801</v>
      </c>
      <c r="B2216" t="s">
        <v>2257</v>
      </c>
      <c r="C2216" t="str">
        <f>"23309"</f>
        <v>23309</v>
      </c>
      <c r="D2216" t="s">
        <v>4436</v>
      </c>
      <c r="E2216" t="str">
        <f>"4586"</f>
        <v>4586</v>
      </c>
      <c r="F2216" t="s">
        <v>741</v>
      </c>
      <c r="G2216">
        <v>5</v>
      </c>
      <c r="H2216">
        <v>6</v>
      </c>
      <c r="I2216" t="s">
        <v>12337</v>
      </c>
      <c r="K2216" t="s">
        <v>4280</v>
      </c>
      <c r="L2216" t="s">
        <v>25</v>
      </c>
      <c r="M2216">
        <v>98584</v>
      </c>
      <c r="N2216" t="s">
        <v>12338</v>
      </c>
      <c r="O2216" t="s">
        <v>12339</v>
      </c>
      <c r="P2216" t="s">
        <v>12340</v>
      </c>
      <c r="Q2216" t="s">
        <v>30</v>
      </c>
      <c r="R2216" t="s">
        <v>31</v>
      </c>
      <c r="S2216" t="s">
        <v>32</v>
      </c>
    </row>
    <row r="2217" spans="1:19" x14ac:dyDescent="0.45">
      <c r="A2217" t="str">
        <f>"17801"</f>
        <v>17801</v>
      </c>
      <c r="B2217" t="s">
        <v>19</v>
      </c>
      <c r="C2217" t="str">
        <f>"27010"</f>
        <v>27010</v>
      </c>
      <c r="D2217" t="s">
        <v>2273</v>
      </c>
      <c r="E2217" t="str">
        <f>"4575"</f>
        <v>4575</v>
      </c>
      <c r="F2217" t="s">
        <v>12341</v>
      </c>
      <c r="G2217">
        <v>6</v>
      </c>
      <c r="H2217">
        <v>8</v>
      </c>
      <c r="I2217" t="s">
        <v>12342</v>
      </c>
      <c r="K2217" t="s">
        <v>2276</v>
      </c>
      <c r="L2217" t="s">
        <v>25</v>
      </c>
      <c r="M2217" t="s">
        <v>7993</v>
      </c>
      <c r="N2217" t="s">
        <v>12343</v>
      </c>
      <c r="O2217" t="s">
        <v>12344</v>
      </c>
      <c r="P2217" t="s">
        <v>12345</v>
      </c>
      <c r="Q2217" t="s">
        <v>30</v>
      </c>
      <c r="R2217" t="s">
        <v>31</v>
      </c>
      <c r="S2217" t="s">
        <v>104</v>
      </c>
    </row>
    <row r="2218" spans="1:19" x14ac:dyDescent="0.45">
      <c r="A2218" t="str">
        <f>"29801"</f>
        <v>29801</v>
      </c>
      <c r="B2218" t="s">
        <v>2370</v>
      </c>
      <c r="C2218" t="str">
        <f>"29100"</f>
        <v>29100</v>
      </c>
      <c r="D2218" t="s">
        <v>4335</v>
      </c>
      <c r="E2218" t="str">
        <f>"1928"</f>
        <v>1928</v>
      </c>
      <c r="F2218" t="s">
        <v>12346</v>
      </c>
      <c r="G2218">
        <v>9</v>
      </c>
      <c r="H2218">
        <v>12</v>
      </c>
      <c r="I2218" t="s">
        <v>12347</v>
      </c>
      <c r="K2218" t="s">
        <v>4338</v>
      </c>
      <c r="L2218" t="s">
        <v>25</v>
      </c>
      <c r="M2218" t="s">
        <v>12348</v>
      </c>
      <c r="N2218" t="s">
        <v>4339</v>
      </c>
      <c r="O2218" t="s">
        <v>8850</v>
      </c>
      <c r="P2218" t="s">
        <v>8851</v>
      </c>
      <c r="Q2218" t="s">
        <v>157</v>
      </c>
      <c r="R2218" t="s">
        <v>158</v>
      </c>
      <c r="S2218" t="s">
        <v>58</v>
      </c>
    </row>
    <row r="2219" spans="1:19" x14ac:dyDescent="0.45">
      <c r="A2219" t="str">
        <f>"29801"</f>
        <v>29801</v>
      </c>
      <c r="B2219" t="s">
        <v>2370</v>
      </c>
      <c r="C2219" t="str">
        <f>"31025"</f>
        <v>31025</v>
      </c>
      <c r="D2219" t="s">
        <v>2483</v>
      </c>
      <c r="E2219" t="str">
        <f>"1927"</f>
        <v>1927</v>
      </c>
      <c r="F2219" t="s">
        <v>1236</v>
      </c>
      <c r="G2219">
        <v>9</v>
      </c>
      <c r="H2219">
        <v>12</v>
      </c>
      <c r="I2219" t="s">
        <v>9622</v>
      </c>
      <c r="K2219" t="s">
        <v>2744</v>
      </c>
      <c r="L2219" t="s">
        <v>25</v>
      </c>
      <c r="M2219">
        <v>98271</v>
      </c>
      <c r="N2219" t="s">
        <v>9623</v>
      </c>
      <c r="O2219" t="s">
        <v>9624</v>
      </c>
      <c r="P2219" t="s">
        <v>12349</v>
      </c>
      <c r="Q2219" t="s">
        <v>30</v>
      </c>
      <c r="R2219" t="s">
        <v>31</v>
      </c>
      <c r="S2219" t="s">
        <v>58</v>
      </c>
    </row>
    <row r="2220" spans="1:19" x14ac:dyDescent="0.45">
      <c r="A2220" t="str">
        <f>"06801"</f>
        <v>06801</v>
      </c>
      <c r="B2220" t="s">
        <v>1870</v>
      </c>
      <c r="C2220" t="str">
        <f>"06114"</f>
        <v>06114</v>
      </c>
      <c r="D2220" t="s">
        <v>2170</v>
      </c>
      <c r="E2220" t="str">
        <f>"4579"</f>
        <v>4579</v>
      </c>
      <c r="F2220" t="s">
        <v>12350</v>
      </c>
      <c r="G2220" t="s">
        <v>22</v>
      </c>
      <c r="H2220">
        <v>5</v>
      </c>
      <c r="I2220" t="s">
        <v>12351</v>
      </c>
      <c r="K2220" t="s">
        <v>2029</v>
      </c>
      <c r="L2220" t="s">
        <v>25</v>
      </c>
      <c r="M2220" t="s">
        <v>12352</v>
      </c>
      <c r="N2220" t="s">
        <v>12353</v>
      </c>
      <c r="O2220" t="s">
        <v>12354</v>
      </c>
      <c r="P2220" t="s">
        <v>12355</v>
      </c>
      <c r="Q2220" t="s">
        <v>30</v>
      </c>
      <c r="R2220" t="s">
        <v>31</v>
      </c>
      <c r="S2220" t="s">
        <v>32</v>
      </c>
    </row>
    <row r="2221" spans="1:19" x14ac:dyDescent="0.45">
      <c r="A2221" t="str">
        <f>"17801"</f>
        <v>17801</v>
      </c>
      <c r="B2221" t="s">
        <v>19</v>
      </c>
      <c r="C2221" t="str">
        <f>"17001"</f>
        <v>17001</v>
      </c>
      <c r="D2221" t="s">
        <v>2209</v>
      </c>
      <c r="E2221" t="str">
        <f>"3496"</f>
        <v>3496</v>
      </c>
      <c r="F2221" t="s">
        <v>12356</v>
      </c>
      <c r="G2221">
        <v>6</v>
      </c>
      <c r="H2221">
        <v>12</v>
      </c>
      <c r="I2221" t="s">
        <v>12357</v>
      </c>
      <c r="K2221" t="s">
        <v>5045</v>
      </c>
      <c r="L2221" t="s">
        <v>25</v>
      </c>
      <c r="M2221" t="s">
        <v>12358</v>
      </c>
      <c r="N2221" t="s">
        <v>2753</v>
      </c>
      <c r="O2221" t="s">
        <v>2754</v>
      </c>
      <c r="P2221" t="s">
        <v>2755</v>
      </c>
      <c r="Q2221" t="s">
        <v>1312</v>
      </c>
      <c r="R2221" t="s">
        <v>1313</v>
      </c>
      <c r="S2221" t="s">
        <v>159</v>
      </c>
    </row>
    <row r="2222" spans="1:19" x14ac:dyDescent="0.45">
      <c r="A2222" t="str">
        <f>"OSPI"</f>
        <v>OSPI</v>
      </c>
      <c r="B2222" t="s">
        <v>1763</v>
      </c>
      <c r="C2222" t="str">
        <f>"32801"</f>
        <v>32801</v>
      </c>
      <c r="D2222" t="s">
        <v>1108</v>
      </c>
      <c r="E2222" t="str">
        <f>"3526"</f>
        <v>3526</v>
      </c>
      <c r="F2222" t="s">
        <v>12359</v>
      </c>
      <c r="G2222">
        <v>6</v>
      </c>
      <c r="H2222">
        <v>12</v>
      </c>
      <c r="I2222" t="s">
        <v>12360</v>
      </c>
      <c r="K2222" t="s">
        <v>2246</v>
      </c>
      <c r="L2222" t="s">
        <v>25</v>
      </c>
      <c r="M2222" t="s">
        <v>12361</v>
      </c>
      <c r="N2222" t="s">
        <v>2454</v>
      </c>
      <c r="P2222" t="s">
        <v>10358</v>
      </c>
      <c r="Q2222" t="s">
        <v>1312</v>
      </c>
      <c r="R2222" t="s">
        <v>1313</v>
      </c>
      <c r="S2222" t="s">
        <v>159</v>
      </c>
    </row>
    <row r="2223" spans="1:19" x14ac:dyDescent="0.45">
      <c r="A2223" t="str">
        <f>"OSPI"</f>
        <v>OSPI</v>
      </c>
      <c r="B2223" t="s">
        <v>1763</v>
      </c>
      <c r="C2223" t="str">
        <f>"32801"</f>
        <v>32801</v>
      </c>
      <c r="D2223" t="s">
        <v>1108</v>
      </c>
      <c r="E2223" t="str">
        <f>"3507"</f>
        <v>3507</v>
      </c>
      <c r="F2223" t="s">
        <v>12362</v>
      </c>
      <c r="G2223">
        <v>8</v>
      </c>
      <c r="H2223">
        <v>12</v>
      </c>
      <c r="I2223" t="s">
        <v>12363</v>
      </c>
      <c r="K2223" t="s">
        <v>2246</v>
      </c>
      <c r="L2223" t="s">
        <v>25</v>
      </c>
      <c r="M2223" t="s">
        <v>12364</v>
      </c>
      <c r="N2223" t="s">
        <v>2454</v>
      </c>
      <c r="P2223" t="s">
        <v>10358</v>
      </c>
      <c r="Q2223" t="s">
        <v>157</v>
      </c>
      <c r="R2223" t="s">
        <v>158</v>
      </c>
      <c r="S2223" t="s">
        <v>58</v>
      </c>
    </row>
    <row r="2224" spans="1:19" x14ac:dyDescent="0.45">
      <c r="A2224" t="str">
        <f>"04801"</f>
        <v>04801</v>
      </c>
      <c r="B2224" t="s">
        <v>1549</v>
      </c>
      <c r="C2224" t="str">
        <f>"09075"</f>
        <v>09075</v>
      </c>
      <c r="D2224" t="s">
        <v>3727</v>
      </c>
      <c r="E2224" t="str">
        <f>"1900"</f>
        <v>1900</v>
      </c>
      <c r="F2224" t="s">
        <v>12365</v>
      </c>
      <c r="G2224">
        <v>9</v>
      </c>
      <c r="H2224">
        <v>12</v>
      </c>
      <c r="I2224" t="s">
        <v>12366</v>
      </c>
      <c r="K2224" t="s">
        <v>3730</v>
      </c>
      <c r="L2224" t="s">
        <v>25</v>
      </c>
      <c r="M2224" t="s">
        <v>3731</v>
      </c>
      <c r="N2224" t="s">
        <v>12367</v>
      </c>
      <c r="O2224" t="s">
        <v>3740</v>
      </c>
      <c r="P2224" t="s">
        <v>3741</v>
      </c>
      <c r="Q2224" t="s">
        <v>157</v>
      </c>
      <c r="R2224" t="s">
        <v>158</v>
      </c>
      <c r="S2224" t="s">
        <v>58</v>
      </c>
    </row>
    <row r="2225" spans="1:19" x14ac:dyDescent="0.45">
      <c r="A2225" t="str">
        <f>"29801"</f>
        <v>29801</v>
      </c>
      <c r="B2225" t="s">
        <v>2370</v>
      </c>
      <c r="C2225" t="str">
        <f>"31002"</f>
        <v>31002</v>
      </c>
      <c r="D2225" t="s">
        <v>2378</v>
      </c>
      <c r="E2225" t="str">
        <f>"1907"</f>
        <v>1907</v>
      </c>
      <c r="F2225" t="s">
        <v>12368</v>
      </c>
      <c r="G2225" t="s">
        <v>70</v>
      </c>
      <c r="H2225">
        <v>12</v>
      </c>
      <c r="I2225" t="s">
        <v>9194</v>
      </c>
      <c r="K2225" t="s">
        <v>2381</v>
      </c>
      <c r="L2225" t="s">
        <v>25</v>
      </c>
      <c r="M2225" t="s">
        <v>9195</v>
      </c>
      <c r="N2225" t="s">
        <v>9088</v>
      </c>
      <c r="O2225" t="s">
        <v>9089</v>
      </c>
      <c r="P2225" t="s">
        <v>9090</v>
      </c>
      <c r="Q2225" t="s">
        <v>157</v>
      </c>
      <c r="R2225" t="s">
        <v>158</v>
      </c>
      <c r="S2225" t="s">
        <v>330</v>
      </c>
    </row>
    <row r="2226" spans="1:19" x14ac:dyDescent="0.45">
      <c r="A2226" t="str">
        <f>"29801"</f>
        <v>29801</v>
      </c>
      <c r="B2226" t="s">
        <v>2370</v>
      </c>
      <c r="C2226" t="str">
        <f>"37504"</f>
        <v>37504</v>
      </c>
      <c r="D2226" t="s">
        <v>3025</v>
      </c>
      <c r="E2226" t="str">
        <f>"1914"</f>
        <v>1914</v>
      </c>
      <c r="F2226" t="s">
        <v>12369</v>
      </c>
      <c r="G2226" t="s">
        <v>22</v>
      </c>
      <c r="H2226" t="s">
        <v>22</v>
      </c>
      <c r="I2226" t="s">
        <v>12370</v>
      </c>
      <c r="K2226" t="s">
        <v>11618</v>
      </c>
      <c r="L2226" t="s">
        <v>25</v>
      </c>
      <c r="M2226" t="s">
        <v>11619</v>
      </c>
      <c r="N2226" t="s">
        <v>12371</v>
      </c>
      <c r="O2226" t="s">
        <v>12372</v>
      </c>
      <c r="P2226" t="s">
        <v>12373</v>
      </c>
      <c r="Q2226" t="s">
        <v>66</v>
      </c>
      <c r="R2226" t="s">
        <v>67</v>
      </c>
      <c r="S2226" t="s">
        <v>1248</v>
      </c>
    </row>
    <row r="2227" spans="1:19" x14ac:dyDescent="0.45">
      <c r="A2227" t="str">
        <f>"17801"</f>
        <v>17801</v>
      </c>
      <c r="B2227" t="s">
        <v>19</v>
      </c>
      <c r="C2227" t="str">
        <f>"17408"</f>
        <v>17408</v>
      </c>
      <c r="D2227" t="s">
        <v>706</v>
      </c>
      <c r="E2227" t="str">
        <f>"1915"</f>
        <v>1915</v>
      </c>
      <c r="F2227" t="s">
        <v>60</v>
      </c>
      <c r="G2227" t="s">
        <v>22</v>
      </c>
      <c r="H2227">
        <v>12</v>
      </c>
      <c r="I2227" t="s">
        <v>12374</v>
      </c>
      <c r="K2227" t="s">
        <v>47</v>
      </c>
      <c r="L2227" t="s">
        <v>25</v>
      </c>
      <c r="M2227" t="s">
        <v>12375</v>
      </c>
      <c r="N2227" t="s">
        <v>12376</v>
      </c>
      <c r="O2227" t="s">
        <v>12377</v>
      </c>
      <c r="P2227" t="s">
        <v>12378</v>
      </c>
      <c r="Q2227" t="s">
        <v>66</v>
      </c>
      <c r="R2227" t="s">
        <v>67</v>
      </c>
      <c r="S2227" t="s">
        <v>68</v>
      </c>
    </row>
    <row r="2228" spans="1:19" x14ac:dyDescent="0.45">
      <c r="A2228" t="str">
        <f>"29801"</f>
        <v>29801</v>
      </c>
      <c r="B2228" t="s">
        <v>2370</v>
      </c>
      <c r="C2228" t="str">
        <f>"37507"</f>
        <v>37507</v>
      </c>
      <c r="D2228" t="s">
        <v>11691</v>
      </c>
      <c r="E2228" t="str">
        <f>"1936"</f>
        <v>1936</v>
      </c>
      <c r="F2228" t="s">
        <v>12379</v>
      </c>
      <c r="G2228" t="s">
        <v>22</v>
      </c>
      <c r="H2228" t="s">
        <v>22</v>
      </c>
      <c r="I2228" t="s">
        <v>12380</v>
      </c>
      <c r="J2228" t="s">
        <v>11694</v>
      </c>
      <c r="K2228" t="s">
        <v>11695</v>
      </c>
      <c r="L2228" t="s">
        <v>25</v>
      </c>
      <c r="M2228" t="s">
        <v>11696</v>
      </c>
      <c r="N2228" t="s">
        <v>12381</v>
      </c>
      <c r="O2228" t="s">
        <v>12382</v>
      </c>
      <c r="P2228" t="s">
        <v>12383</v>
      </c>
      <c r="Q2228" t="s">
        <v>66</v>
      </c>
      <c r="R2228" t="s">
        <v>67</v>
      </c>
      <c r="S2228" t="s">
        <v>1248</v>
      </c>
    </row>
    <row r="2229" spans="1:19" x14ac:dyDescent="0.45">
      <c r="A2229" t="str">
        <f>"29801"</f>
        <v>29801</v>
      </c>
      <c r="B2229" t="s">
        <v>2370</v>
      </c>
      <c r="C2229" t="str">
        <f>"31306"</f>
        <v>31306</v>
      </c>
      <c r="D2229" t="s">
        <v>9847</v>
      </c>
      <c r="E2229" t="str">
        <f>"4576"</f>
        <v>4576</v>
      </c>
      <c r="F2229" t="s">
        <v>12384</v>
      </c>
      <c r="G2229" t="s">
        <v>70</v>
      </c>
      <c r="H2229">
        <v>5</v>
      </c>
      <c r="I2229" t="s">
        <v>12385</v>
      </c>
      <c r="K2229" t="s">
        <v>9850</v>
      </c>
      <c r="L2229" t="s">
        <v>25</v>
      </c>
      <c r="M2229" t="s">
        <v>12386</v>
      </c>
      <c r="N2229" t="s">
        <v>12387</v>
      </c>
      <c r="O2229" t="s">
        <v>12388</v>
      </c>
      <c r="P2229" t="s">
        <v>12389</v>
      </c>
      <c r="Q2229" t="s">
        <v>30</v>
      </c>
      <c r="R2229" t="s">
        <v>31</v>
      </c>
      <c r="S2229" t="s">
        <v>32</v>
      </c>
    </row>
    <row r="2230" spans="1:19" x14ac:dyDescent="0.45">
      <c r="A2230" t="str">
        <f>"17801"</f>
        <v>17801</v>
      </c>
      <c r="B2230" t="s">
        <v>19</v>
      </c>
      <c r="C2230" t="str">
        <f>"27417"</f>
        <v>27417</v>
      </c>
      <c r="D2230" t="s">
        <v>4592</v>
      </c>
      <c r="E2230" t="str">
        <f>"4582"</f>
        <v>4582</v>
      </c>
      <c r="F2230" t="s">
        <v>12390</v>
      </c>
      <c r="G2230">
        <v>8</v>
      </c>
      <c r="H2230">
        <v>9</v>
      </c>
      <c r="I2230" t="s">
        <v>12391</v>
      </c>
      <c r="K2230" t="s">
        <v>2276</v>
      </c>
      <c r="L2230" t="s">
        <v>25</v>
      </c>
      <c r="M2230" t="s">
        <v>12392</v>
      </c>
      <c r="N2230" t="s">
        <v>12393</v>
      </c>
      <c r="O2230" t="s">
        <v>12394</v>
      </c>
      <c r="P2230" t="s">
        <v>12395</v>
      </c>
      <c r="Q2230" t="s">
        <v>30</v>
      </c>
      <c r="R2230" t="s">
        <v>31</v>
      </c>
      <c r="S2230" t="s">
        <v>58</v>
      </c>
    </row>
    <row r="2231" spans="1:19" x14ac:dyDescent="0.45">
      <c r="A2231" t="str">
        <f>"32801"</f>
        <v>32801</v>
      </c>
      <c r="B2231" t="s">
        <v>1108</v>
      </c>
      <c r="C2231" t="str">
        <f>"32361"</f>
        <v>32361</v>
      </c>
      <c r="D2231" t="s">
        <v>2464</v>
      </c>
      <c r="E2231" t="str">
        <f>"1937"</f>
        <v>1937</v>
      </c>
      <c r="F2231" t="s">
        <v>12396</v>
      </c>
      <c r="G2231" t="s">
        <v>22</v>
      </c>
      <c r="H2231" t="s">
        <v>22</v>
      </c>
      <c r="I2231" t="s">
        <v>12397</v>
      </c>
      <c r="K2231" t="s">
        <v>10616</v>
      </c>
      <c r="L2231" t="s">
        <v>25</v>
      </c>
      <c r="M2231" t="s">
        <v>12398</v>
      </c>
      <c r="N2231" t="s">
        <v>12399</v>
      </c>
      <c r="O2231" t="s">
        <v>12400</v>
      </c>
      <c r="P2231" t="s">
        <v>12401</v>
      </c>
      <c r="Q2231" t="s">
        <v>66</v>
      </c>
      <c r="R2231" t="s">
        <v>67</v>
      </c>
      <c r="S2231" t="s">
        <v>1248</v>
      </c>
    </row>
    <row r="2232" spans="1:19" x14ac:dyDescent="0.45">
      <c r="A2232" t="str">
        <f>"17801"</f>
        <v>17801</v>
      </c>
      <c r="B2232" t="s">
        <v>19</v>
      </c>
      <c r="C2232" t="str">
        <f>"17402"</f>
        <v>17402</v>
      </c>
      <c r="D2232" t="s">
        <v>322</v>
      </c>
      <c r="E2232" t="str">
        <f>"1938"</f>
        <v>1938</v>
      </c>
      <c r="F2232" t="s">
        <v>12402</v>
      </c>
      <c r="G2232">
        <v>9</v>
      </c>
      <c r="H2232">
        <v>12</v>
      </c>
      <c r="I2232" t="s">
        <v>12403</v>
      </c>
      <c r="K2232" t="s">
        <v>12404</v>
      </c>
      <c r="L2232" t="s">
        <v>25</v>
      </c>
      <c r="M2232">
        <v>98070</v>
      </c>
      <c r="N2232" t="s">
        <v>327</v>
      </c>
      <c r="O2232" t="s">
        <v>328</v>
      </c>
      <c r="P2232" t="s">
        <v>329</v>
      </c>
      <c r="Q2232" t="s">
        <v>157</v>
      </c>
      <c r="R2232" t="s">
        <v>158</v>
      </c>
      <c r="S2232" t="s">
        <v>58</v>
      </c>
    </row>
    <row r="2233" spans="1:19" x14ac:dyDescent="0.45">
      <c r="A2233" t="str">
        <f>"17801"</f>
        <v>17801</v>
      </c>
      <c r="B2233" t="s">
        <v>19</v>
      </c>
      <c r="C2233" t="str">
        <f>"18303"</f>
        <v>18303</v>
      </c>
      <c r="D2233" t="s">
        <v>6508</v>
      </c>
      <c r="E2233" t="str">
        <f>"1939"</f>
        <v>1939</v>
      </c>
      <c r="F2233" t="s">
        <v>12405</v>
      </c>
      <c r="G2233" t="s">
        <v>22</v>
      </c>
      <c r="H2233">
        <v>12</v>
      </c>
      <c r="I2233" t="s">
        <v>12406</v>
      </c>
      <c r="K2233" t="s">
        <v>6511</v>
      </c>
      <c r="L2233" t="s">
        <v>25</v>
      </c>
      <c r="M2233" t="s">
        <v>12407</v>
      </c>
      <c r="N2233" t="s">
        <v>12408</v>
      </c>
      <c r="O2233" t="s">
        <v>12409</v>
      </c>
      <c r="P2233" t="s">
        <v>12410</v>
      </c>
      <c r="Q2233" t="s">
        <v>66</v>
      </c>
      <c r="R2233" t="s">
        <v>67</v>
      </c>
      <c r="S2233" t="s">
        <v>68</v>
      </c>
    </row>
    <row r="2234" spans="1:19" x14ac:dyDescent="0.45">
      <c r="A2234" t="str">
        <f>"17801"</f>
        <v>17801</v>
      </c>
      <c r="B2234" t="s">
        <v>19</v>
      </c>
      <c r="C2234" t="str">
        <f>"27402"</f>
        <v>27402</v>
      </c>
      <c r="D2234" t="s">
        <v>2863</v>
      </c>
      <c r="E2234" t="str">
        <f>"2340"</f>
        <v>2340</v>
      </c>
      <c r="F2234" t="s">
        <v>12411</v>
      </c>
      <c r="G2234" t="s">
        <v>70</v>
      </c>
      <c r="H2234">
        <v>5</v>
      </c>
      <c r="I2234" t="s">
        <v>12412</v>
      </c>
      <c r="K2234" t="s">
        <v>2276</v>
      </c>
      <c r="L2234" t="s">
        <v>25</v>
      </c>
      <c r="M2234" t="s">
        <v>12413</v>
      </c>
      <c r="N2234" t="s">
        <v>12414</v>
      </c>
      <c r="O2234" t="s">
        <v>12415</v>
      </c>
      <c r="P2234" t="s">
        <v>12416</v>
      </c>
      <c r="Q2234" t="s">
        <v>30</v>
      </c>
      <c r="R2234" t="s">
        <v>31</v>
      </c>
      <c r="S2234" t="s">
        <v>32</v>
      </c>
    </row>
    <row r="2235" spans="1:19" x14ac:dyDescent="0.45">
      <c r="A2235" t="str">
        <f>"17801"</f>
        <v>17801</v>
      </c>
      <c r="B2235" t="s">
        <v>19</v>
      </c>
      <c r="C2235" t="str">
        <f>"27403"</f>
        <v>27403</v>
      </c>
      <c r="D2235" t="s">
        <v>2606</v>
      </c>
      <c r="E2235" t="str">
        <f>"4578"</f>
        <v>4578</v>
      </c>
      <c r="F2235" t="s">
        <v>12417</v>
      </c>
      <c r="G2235">
        <v>6</v>
      </c>
      <c r="H2235">
        <v>8</v>
      </c>
      <c r="I2235" t="s">
        <v>12418</v>
      </c>
      <c r="K2235" t="s">
        <v>8579</v>
      </c>
      <c r="L2235" t="s">
        <v>25</v>
      </c>
      <c r="M2235" t="s">
        <v>12419</v>
      </c>
      <c r="N2235" t="s">
        <v>12420</v>
      </c>
      <c r="O2235" t="s">
        <v>12421</v>
      </c>
      <c r="P2235" t="s">
        <v>12422</v>
      </c>
      <c r="Q2235" t="s">
        <v>30</v>
      </c>
      <c r="R2235" t="s">
        <v>31</v>
      </c>
      <c r="S2235" t="s">
        <v>104</v>
      </c>
    </row>
    <row r="2236" spans="1:19" x14ac:dyDescent="0.45">
      <c r="A2236" t="str">
        <f>"04801"</f>
        <v>04801</v>
      </c>
      <c r="B2236" t="s">
        <v>1549</v>
      </c>
      <c r="C2236" t="str">
        <f>"04129"</f>
        <v>04129</v>
      </c>
      <c r="D2236" t="s">
        <v>1583</v>
      </c>
      <c r="E2236" t="str">
        <f>"1940"</f>
        <v>1940</v>
      </c>
      <c r="F2236" t="s">
        <v>12423</v>
      </c>
      <c r="G2236">
        <v>9</v>
      </c>
      <c r="H2236">
        <v>12</v>
      </c>
      <c r="I2236" t="s">
        <v>12424</v>
      </c>
      <c r="K2236" t="s">
        <v>1586</v>
      </c>
      <c r="L2236" t="s">
        <v>25</v>
      </c>
      <c r="M2236" t="s">
        <v>1587</v>
      </c>
      <c r="N2236" t="s">
        <v>7460</v>
      </c>
      <c r="O2236" t="s">
        <v>12425</v>
      </c>
      <c r="P2236" t="s">
        <v>1594</v>
      </c>
      <c r="Q2236" t="s">
        <v>157</v>
      </c>
      <c r="R2236" t="s">
        <v>158</v>
      </c>
      <c r="S2236" t="s">
        <v>58</v>
      </c>
    </row>
    <row r="2237" spans="1:19" x14ac:dyDescent="0.45">
      <c r="A2237" t="str">
        <f>"11801"</f>
        <v>11801</v>
      </c>
      <c r="B2237" t="s">
        <v>1122</v>
      </c>
      <c r="C2237" t="str">
        <f>"03017"</f>
        <v>03017</v>
      </c>
      <c r="D2237" t="s">
        <v>1235</v>
      </c>
      <c r="E2237" t="str">
        <f>"1941"</f>
        <v>1941</v>
      </c>
      <c r="F2237" t="s">
        <v>12426</v>
      </c>
      <c r="G2237" t="s">
        <v>70</v>
      </c>
      <c r="H2237">
        <v>12</v>
      </c>
      <c r="I2237" t="s">
        <v>12427</v>
      </c>
      <c r="K2237" t="s">
        <v>1238</v>
      </c>
      <c r="L2237" t="s">
        <v>25</v>
      </c>
      <c r="M2237">
        <v>99338</v>
      </c>
      <c r="N2237" t="s">
        <v>12428</v>
      </c>
      <c r="O2237" t="s">
        <v>12429</v>
      </c>
      <c r="P2237" t="s">
        <v>12430</v>
      </c>
      <c r="Q2237" t="s">
        <v>157</v>
      </c>
      <c r="R2237" t="s">
        <v>158</v>
      </c>
      <c r="S2237" t="s">
        <v>159</v>
      </c>
    </row>
    <row r="2238" spans="1:19" x14ac:dyDescent="0.45">
      <c r="A2238" t="str">
        <f>"17801"</f>
        <v>17801</v>
      </c>
      <c r="B2238" t="s">
        <v>19</v>
      </c>
      <c r="C2238" t="str">
        <f>"17412"</f>
        <v>17412</v>
      </c>
      <c r="D2238" t="s">
        <v>1040</v>
      </c>
      <c r="E2238" t="str">
        <f>"1942"</f>
        <v>1942</v>
      </c>
      <c r="F2238" t="s">
        <v>12431</v>
      </c>
      <c r="G2238" t="s">
        <v>70</v>
      </c>
      <c r="H2238">
        <v>8</v>
      </c>
      <c r="I2238" t="s">
        <v>12432</v>
      </c>
      <c r="K2238" t="s">
        <v>1043</v>
      </c>
      <c r="L2238" t="s">
        <v>25</v>
      </c>
      <c r="M2238">
        <v>98155</v>
      </c>
      <c r="N2238" t="s">
        <v>12433</v>
      </c>
      <c r="O2238" t="s">
        <v>12434</v>
      </c>
      <c r="P2238" t="s">
        <v>12435</v>
      </c>
      <c r="Q2238" t="s">
        <v>30</v>
      </c>
      <c r="R2238" t="s">
        <v>31</v>
      </c>
      <c r="S2238" t="s">
        <v>159</v>
      </c>
    </row>
    <row r="2239" spans="1:19" x14ac:dyDescent="0.45">
      <c r="A2239" t="str">
        <f>"17801"</f>
        <v>17801</v>
      </c>
      <c r="B2239" t="s">
        <v>19</v>
      </c>
      <c r="C2239" t="str">
        <f>"17210"</f>
        <v>17210</v>
      </c>
      <c r="D2239" t="s">
        <v>20</v>
      </c>
      <c r="E2239" t="str">
        <f>"1950"</f>
        <v>1950</v>
      </c>
      <c r="F2239" t="s">
        <v>12436</v>
      </c>
      <c r="G2239">
        <v>9</v>
      </c>
      <c r="H2239">
        <v>12</v>
      </c>
      <c r="I2239" t="s">
        <v>12437</v>
      </c>
      <c r="K2239" t="s">
        <v>2472</v>
      </c>
      <c r="L2239" t="s">
        <v>25</v>
      </c>
      <c r="M2239">
        <v>98023</v>
      </c>
      <c r="N2239" t="s">
        <v>12438</v>
      </c>
      <c r="O2239" t="s">
        <v>12439</v>
      </c>
      <c r="P2239" t="s">
        <v>12440</v>
      </c>
      <c r="Q2239" t="s">
        <v>66</v>
      </c>
      <c r="R2239" t="s">
        <v>67</v>
      </c>
      <c r="S2239" t="s">
        <v>58</v>
      </c>
    </row>
    <row r="2240" spans="1:19" x14ac:dyDescent="0.45">
      <c r="A2240" t="str">
        <f>"17801"</f>
        <v>17801</v>
      </c>
      <c r="B2240" t="s">
        <v>19</v>
      </c>
      <c r="C2240" t="str">
        <f>"17210"</f>
        <v>17210</v>
      </c>
      <c r="D2240" t="s">
        <v>20</v>
      </c>
      <c r="E2240" t="str">
        <f>"1951"</f>
        <v>1951</v>
      </c>
      <c r="F2240" t="s">
        <v>12441</v>
      </c>
      <c r="G2240" t="s">
        <v>22</v>
      </c>
      <c r="H2240">
        <v>12</v>
      </c>
      <c r="I2240" t="s">
        <v>12442</v>
      </c>
      <c r="K2240" t="s">
        <v>12443</v>
      </c>
      <c r="L2240" t="s">
        <v>25</v>
      </c>
      <c r="M2240">
        <v>98003</v>
      </c>
      <c r="N2240" t="s">
        <v>12444</v>
      </c>
      <c r="O2240" t="s">
        <v>12445</v>
      </c>
      <c r="P2240" t="s">
        <v>12446</v>
      </c>
      <c r="Q2240" t="s">
        <v>30</v>
      </c>
      <c r="R2240" t="s">
        <v>31</v>
      </c>
      <c r="S2240" t="s">
        <v>68</v>
      </c>
    </row>
    <row r="2241" spans="1:19" x14ac:dyDescent="0.45">
      <c r="A2241" t="str">
        <f>"04801"</f>
        <v>04801</v>
      </c>
      <c r="B2241" t="s">
        <v>1549</v>
      </c>
      <c r="C2241" t="str">
        <f>"13144"</f>
        <v>13144</v>
      </c>
      <c r="D2241" t="s">
        <v>4036</v>
      </c>
      <c r="E2241" t="str">
        <f>"1506"</f>
        <v>1506</v>
      </c>
      <c r="F2241" t="s">
        <v>12447</v>
      </c>
      <c r="G2241">
        <v>7</v>
      </c>
      <c r="H2241">
        <v>12</v>
      </c>
      <c r="I2241" t="s">
        <v>12448</v>
      </c>
      <c r="K2241" t="s">
        <v>4610</v>
      </c>
      <c r="L2241" t="s">
        <v>25</v>
      </c>
      <c r="M2241" t="s">
        <v>12449</v>
      </c>
      <c r="N2241" t="s">
        <v>12450</v>
      </c>
      <c r="O2241" t="s">
        <v>12451</v>
      </c>
      <c r="P2241" t="s">
        <v>12452</v>
      </c>
      <c r="Q2241" t="s">
        <v>157</v>
      </c>
      <c r="R2241" t="s">
        <v>158</v>
      </c>
      <c r="S2241" t="s">
        <v>159</v>
      </c>
    </row>
    <row r="2242" spans="1:19" x14ac:dyDescent="0.45">
      <c r="A2242" t="str">
        <f>"32801"</f>
        <v>32801</v>
      </c>
      <c r="B2242" t="s">
        <v>1108</v>
      </c>
      <c r="C2242" t="str">
        <f>"10309"</f>
        <v>10309</v>
      </c>
      <c r="D2242" t="s">
        <v>3871</v>
      </c>
      <c r="E2242" t="str">
        <f>"1898"</f>
        <v>1898</v>
      </c>
      <c r="F2242" t="s">
        <v>12453</v>
      </c>
      <c r="G2242" t="s">
        <v>70</v>
      </c>
      <c r="H2242">
        <v>12</v>
      </c>
      <c r="I2242" t="s">
        <v>12454</v>
      </c>
      <c r="K2242" t="s">
        <v>3874</v>
      </c>
      <c r="L2242" t="s">
        <v>25</v>
      </c>
      <c r="M2242" t="s">
        <v>3880</v>
      </c>
      <c r="N2242" t="s">
        <v>3875</v>
      </c>
      <c r="O2242" t="s">
        <v>3876</v>
      </c>
      <c r="P2242" t="s">
        <v>3877</v>
      </c>
      <c r="Q2242" t="s">
        <v>157</v>
      </c>
      <c r="R2242" t="s">
        <v>158</v>
      </c>
      <c r="S2242" t="s">
        <v>159</v>
      </c>
    </row>
    <row r="2243" spans="1:19" x14ac:dyDescent="0.45">
      <c r="A2243" t="str">
        <f>"32801"</f>
        <v>32801</v>
      </c>
      <c r="B2243" t="s">
        <v>1108</v>
      </c>
      <c r="C2243" t="str">
        <f>"32326"</f>
        <v>32326</v>
      </c>
      <c r="D2243" t="s">
        <v>10349</v>
      </c>
      <c r="E2243" t="str">
        <f>"4577"</f>
        <v>4577</v>
      </c>
      <c r="F2243" t="s">
        <v>12455</v>
      </c>
      <c r="G2243" t="s">
        <v>22</v>
      </c>
      <c r="H2243">
        <v>5</v>
      </c>
      <c r="I2243" t="s">
        <v>12456</v>
      </c>
      <c r="K2243" t="s">
        <v>12457</v>
      </c>
      <c r="L2243" t="s">
        <v>25</v>
      </c>
      <c r="M2243" t="s">
        <v>12458</v>
      </c>
      <c r="N2243" t="s">
        <v>12459</v>
      </c>
      <c r="O2243" t="s">
        <v>12460</v>
      </c>
      <c r="P2243" t="s">
        <v>12461</v>
      </c>
      <c r="Q2243" t="s">
        <v>30</v>
      </c>
      <c r="R2243" t="s">
        <v>31</v>
      </c>
      <c r="S2243" t="s">
        <v>32</v>
      </c>
    </row>
    <row r="2244" spans="1:19" x14ac:dyDescent="0.45">
      <c r="A2244" t="str">
        <f>"29801"</f>
        <v>29801</v>
      </c>
      <c r="B2244" t="s">
        <v>2370</v>
      </c>
      <c r="C2244" t="str">
        <f>"31006"</f>
        <v>31006</v>
      </c>
      <c r="D2244" t="s">
        <v>2940</v>
      </c>
      <c r="E2244" t="str">
        <f>"1960"</f>
        <v>1960</v>
      </c>
      <c r="F2244" t="s">
        <v>4528</v>
      </c>
      <c r="G2244" t="s">
        <v>22</v>
      </c>
      <c r="H2244" t="s">
        <v>22</v>
      </c>
      <c r="I2244" t="s">
        <v>12462</v>
      </c>
      <c r="J2244" t="s">
        <v>12463</v>
      </c>
      <c r="K2244" t="s">
        <v>9297</v>
      </c>
      <c r="L2244" t="s">
        <v>25</v>
      </c>
      <c r="M2244">
        <v>98275</v>
      </c>
      <c r="N2244" t="s">
        <v>12464</v>
      </c>
      <c r="O2244" t="s">
        <v>12465</v>
      </c>
      <c r="P2244" t="s">
        <v>12466</v>
      </c>
      <c r="Q2244" t="s">
        <v>30</v>
      </c>
      <c r="R2244" t="s">
        <v>31</v>
      </c>
      <c r="S2244" t="s">
        <v>1248</v>
      </c>
    </row>
    <row r="2245" spans="1:19" x14ac:dyDescent="0.45">
      <c r="A2245" t="str">
        <f>"32801"</f>
        <v>32801</v>
      </c>
      <c r="B2245" t="s">
        <v>1108</v>
      </c>
      <c r="C2245" t="str">
        <f>"38301"</f>
        <v>38301</v>
      </c>
      <c r="D2245" t="s">
        <v>11790</v>
      </c>
      <c r="E2245" t="str">
        <f>"1961"</f>
        <v>1961</v>
      </c>
      <c r="F2245" t="s">
        <v>12467</v>
      </c>
      <c r="G2245">
        <v>6</v>
      </c>
      <c r="H2245">
        <v>8</v>
      </c>
      <c r="I2245" t="s">
        <v>11792</v>
      </c>
      <c r="K2245" t="s">
        <v>11793</v>
      </c>
      <c r="L2245" t="s">
        <v>25</v>
      </c>
      <c r="M2245" t="s">
        <v>11794</v>
      </c>
      <c r="N2245" t="s">
        <v>12468</v>
      </c>
      <c r="O2245" t="s">
        <v>11805</v>
      </c>
      <c r="P2245" t="s">
        <v>11806</v>
      </c>
      <c r="Q2245" t="s">
        <v>30</v>
      </c>
      <c r="R2245" t="s">
        <v>31</v>
      </c>
      <c r="S2245" t="s">
        <v>104</v>
      </c>
    </row>
    <row r="2246" spans="1:19" x14ac:dyDescent="0.45">
      <c r="A2246" t="str">
        <f>"32801"</f>
        <v>32801</v>
      </c>
      <c r="B2246" t="s">
        <v>1108</v>
      </c>
      <c r="C2246" t="str">
        <f>"38302"</f>
        <v>38302</v>
      </c>
      <c r="D2246" t="s">
        <v>11800</v>
      </c>
      <c r="E2246" t="str">
        <f>"1962"</f>
        <v>1962</v>
      </c>
      <c r="F2246" t="s">
        <v>12469</v>
      </c>
      <c r="G2246">
        <v>9</v>
      </c>
      <c r="H2246">
        <v>12</v>
      </c>
      <c r="I2246" t="s">
        <v>12470</v>
      </c>
      <c r="K2246" t="s">
        <v>11793</v>
      </c>
      <c r="L2246" t="s">
        <v>25</v>
      </c>
      <c r="M2246" t="s">
        <v>12471</v>
      </c>
      <c r="N2246" t="s">
        <v>11804</v>
      </c>
      <c r="O2246" t="s">
        <v>11805</v>
      </c>
      <c r="P2246" t="s">
        <v>11797</v>
      </c>
      <c r="Q2246" t="s">
        <v>30</v>
      </c>
      <c r="R2246" t="s">
        <v>31</v>
      </c>
      <c r="S2246" t="s">
        <v>58</v>
      </c>
    </row>
    <row r="2247" spans="1:19" x14ac:dyDescent="0.45">
      <c r="A2247" t="str">
        <f>"06801"</f>
        <v>06801</v>
      </c>
      <c r="B2247" t="s">
        <v>1870</v>
      </c>
      <c r="C2247" t="str">
        <f>"06037"</f>
        <v>06037</v>
      </c>
      <c r="D2247" t="s">
        <v>1871</v>
      </c>
      <c r="E2247" t="str">
        <f>"4591"</f>
        <v>4591</v>
      </c>
      <c r="F2247" t="s">
        <v>11152</v>
      </c>
      <c r="G2247">
        <v>6</v>
      </c>
      <c r="H2247">
        <v>8</v>
      </c>
      <c r="I2247" t="s">
        <v>12472</v>
      </c>
      <c r="K2247" t="s">
        <v>1874</v>
      </c>
      <c r="L2247" t="s">
        <v>1937</v>
      </c>
      <c r="M2247" t="s">
        <v>12473</v>
      </c>
      <c r="N2247" t="s">
        <v>12474</v>
      </c>
      <c r="O2247" t="s">
        <v>12475</v>
      </c>
      <c r="P2247" t="s">
        <v>12476</v>
      </c>
      <c r="Q2247" t="s">
        <v>30</v>
      </c>
      <c r="R2247" t="s">
        <v>31</v>
      </c>
      <c r="S2247" t="s">
        <v>104</v>
      </c>
    </row>
    <row r="2248" spans="1:19" x14ac:dyDescent="0.45">
      <c r="A2248" t="str">
        <f>"29801"</f>
        <v>29801</v>
      </c>
      <c r="B2248" t="s">
        <v>2370</v>
      </c>
      <c r="C2248" t="str">
        <f>"28149"</f>
        <v>28149</v>
      </c>
      <c r="D2248" t="s">
        <v>4495</v>
      </c>
      <c r="E2248" t="str">
        <f>"1963"</f>
        <v>1963</v>
      </c>
      <c r="F2248" t="s">
        <v>12477</v>
      </c>
      <c r="G2248" t="s">
        <v>70</v>
      </c>
      <c r="H2248">
        <v>12</v>
      </c>
      <c r="I2248" t="s">
        <v>4286</v>
      </c>
      <c r="K2248" t="s">
        <v>4497</v>
      </c>
      <c r="L2248" t="s">
        <v>25</v>
      </c>
      <c r="M2248" t="s">
        <v>8815</v>
      </c>
      <c r="N2248" t="s">
        <v>12478</v>
      </c>
      <c r="O2248" t="s">
        <v>12479</v>
      </c>
      <c r="P2248" t="s">
        <v>12480</v>
      </c>
      <c r="Q2248" t="s">
        <v>157</v>
      </c>
      <c r="R2248" t="s">
        <v>158</v>
      </c>
      <c r="S2248" t="s">
        <v>330</v>
      </c>
    </row>
    <row r="2249" spans="1:19" x14ac:dyDescent="0.45">
      <c r="A2249" t="str">
        <f>"32801"</f>
        <v>32801</v>
      </c>
      <c r="B2249" t="s">
        <v>1108</v>
      </c>
      <c r="C2249" t="str">
        <f>"32356"</f>
        <v>32356</v>
      </c>
      <c r="D2249" t="s">
        <v>2362</v>
      </c>
      <c r="E2249" t="str">
        <f>"1964"</f>
        <v>1964</v>
      </c>
      <c r="F2249" t="s">
        <v>12481</v>
      </c>
      <c r="G2249" t="s">
        <v>70</v>
      </c>
      <c r="H2249">
        <v>8</v>
      </c>
      <c r="I2249" t="s">
        <v>10505</v>
      </c>
      <c r="K2249" t="s">
        <v>2365</v>
      </c>
      <c r="L2249" t="s">
        <v>25</v>
      </c>
      <c r="M2249" t="s">
        <v>10506</v>
      </c>
      <c r="N2249" t="s">
        <v>10507</v>
      </c>
      <c r="O2249" t="s">
        <v>10508</v>
      </c>
      <c r="P2249" t="s">
        <v>12482</v>
      </c>
      <c r="Q2249" t="s">
        <v>30</v>
      </c>
      <c r="R2249" t="s">
        <v>31</v>
      </c>
      <c r="S2249" t="s">
        <v>159</v>
      </c>
    </row>
    <row r="2250" spans="1:19" x14ac:dyDescent="0.45">
      <c r="A2250" t="str">
        <f>"39801"</f>
        <v>39801</v>
      </c>
      <c r="B2250" t="s">
        <v>2395</v>
      </c>
      <c r="C2250" t="str">
        <f>"19401"</f>
        <v>19401</v>
      </c>
      <c r="D2250" t="s">
        <v>6821</v>
      </c>
      <c r="E2250" t="str">
        <f>"1924"</f>
        <v>1924</v>
      </c>
      <c r="F2250" t="s">
        <v>12483</v>
      </c>
      <c r="G2250" t="s">
        <v>22</v>
      </c>
      <c r="H2250" t="s">
        <v>22</v>
      </c>
      <c r="I2250" t="s">
        <v>12484</v>
      </c>
      <c r="K2250" t="s">
        <v>6799</v>
      </c>
      <c r="L2250" t="s">
        <v>25</v>
      </c>
      <c r="M2250" t="s">
        <v>6800</v>
      </c>
      <c r="N2250" t="s">
        <v>12485</v>
      </c>
      <c r="O2250" t="s">
        <v>12486</v>
      </c>
      <c r="P2250" t="s">
        <v>12487</v>
      </c>
      <c r="Q2250" t="s">
        <v>66</v>
      </c>
      <c r="R2250" t="s">
        <v>67</v>
      </c>
      <c r="S2250" t="s">
        <v>1248</v>
      </c>
    </row>
    <row r="2251" spans="1:19" x14ac:dyDescent="0.45">
      <c r="A2251" t="str">
        <f>"29801"</f>
        <v>29801</v>
      </c>
      <c r="B2251" t="s">
        <v>2370</v>
      </c>
      <c r="C2251" t="str">
        <f>"31015"</f>
        <v>31015</v>
      </c>
      <c r="D2251" t="s">
        <v>2529</v>
      </c>
      <c r="E2251" t="str">
        <f>"1966"</f>
        <v>1966</v>
      </c>
      <c r="F2251" t="s">
        <v>12488</v>
      </c>
      <c r="G2251" t="s">
        <v>70</v>
      </c>
      <c r="H2251">
        <v>12</v>
      </c>
      <c r="I2251" t="s">
        <v>12489</v>
      </c>
      <c r="K2251" t="s">
        <v>9308</v>
      </c>
      <c r="L2251" t="s">
        <v>25</v>
      </c>
      <c r="M2251" t="s">
        <v>12490</v>
      </c>
      <c r="N2251" t="s">
        <v>12491</v>
      </c>
      <c r="O2251" t="s">
        <v>12492</v>
      </c>
      <c r="P2251" t="s">
        <v>12493</v>
      </c>
      <c r="Q2251" t="s">
        <v>157</v>
      </c>
      <c r="R2251" t="s">
        <v>158</v>
      </c>
      <c r="S2251" t="s">
        <v>330</v>
      </c>
    </row>
    <row r="2252" spans="1:19" x14ac:dyDescent="0.45">
      <c r="A2252" t="str">
        <f>"06801"</f>
        <v>06801</v>
      </c>
      <c r="B2252" t="s">
        <v>1870</v>
      </c>
      <c r="C2252" t="str">
        <f>"06112"</f>
        <v>06112</v>
      </c>
      <c r="D2252" t="s">
        <v>2134</v>
      </c>
      <c r="E2252" t="str">
        <f>"1899"</f>
        <v>1899</v>
      </c>
      <c r="F2252" t="s">
        <v>12494</v>
      </c>
      <c r="G2252" t="s">
        <v>22</v>
      </c>
      <c r="H2252" t="s">
        <v>22</v>
      </c>
      <c r="I2252" t="s">
        <v>12495</v>
      </c>
      <c r="K2252" t="s">
        <v>2137</v>
      </c>
      <c r="L2252" t="s">
        <v>25</v>
      </c>
      <c r="M2252" t="s">
        <v>12496</v>
      </c>
      <c r="N2252" t="s">
        <v>12497</v>
      </c>
      <c r="O2252" t="s">
        <v>12498</v>
      </c>
      <c r="P2252" t="s">
        <v>12499</v>
      </c>
      <c r="Q2252" t="s">
        <v>66</v>
      </c>
      <c r="R2252" t="s">
        <v>67</v>
      </c>
      <c r="S2252" t="s">
        <v>1248</v>
      </c>
    </row>
    <row r="2253" spans="1:19" x14ac:dyDescent="0.45">
      <c r="A2253" t="str">
        <f>"29801"</f>
        <v>29801</v>
      </c>
      <c r="B2253" t="s">
        <v>2370</v>
      </c>
      <c r="C2253" t="str">
        <f>"31006"</f>
        <v>31006</v>
      </c>
      <c r="D2253" t="s">
        <v>2940</v>
      </c>
      <c r="E2253" t="str">
        <f>"4583"</f>
        <v>4583</v>
      </c>
      <c r="F2253" t="s">
        <v>12500</v>
      </c>
      <c r="G2253" t="s">
        <v>70</v>
      </c>
      <c r="H2253">
        <v>5</v>
      </c>
      <c r="I2253" t="s">
        <v>12501</v>
      </c>
      <c r="K2253" t="s">
        <v>2381</v>
      </c>
      <c r="L2253" t="s">
        <v>25</v>
      </c>
      <c r="M2253">
        <v>98204</v>
      </c>
      <c r="N2253" t="s">
        <v>12502</v>
      </c>
      <c r="O2253" t="s">
        <v>12503</v>
      </c>
      <c r="P2253" t="s">
        <v>12504</v>
      </c>
      <c r="Q2253" t="s">
        <v>30</v>
      </c>
      <c r="R2253" t="s">
        <v>31</v>
      </c>
      <c r="S2253" t="s">
        <v>32</v>
      </c>
    </row>
    <row r="2254" spans="1:19" x14ac:dyDescent="0.45">
      <c r="A2254" t="str">
        <f>"17801"</f>
        <v>17801</v>
      </c>
      <c r="B2254" t="s">
        <v>19</v>
      </c>
      <c r="C2254" t="str">
        <f>"17411"</f>
        <v>17411</v>
      </c>
      <c r="D2254" t="s">
        <v>910</v>
      </c>
      <c r="E2254" t="str">
        <f>"4592"</f>
        <v>4592</v>
      </c>
      <c r="F2254" t="s">
        <v>12505</v>
      </c>
      <c r="G2254" t="s">
        <v>70</v>
      </c>
      <c r="H2254">
        <v>5</v>
      </c>
      <c r="I2254" t="s">
        <v>12506</v>
      </c>
      <c r="K2254" t="s">
        <v>425</v>
      </c>
      <c r="L2254" t="s">
        <v>25</v>
      </c>
      <c r="M2254">
        <v>98059</v>
      </c>
      <c r="N2254" t="s">
        <v>12507</v>
      </c>
      <c r="O2254" t="s">
        <v>12508</v>
      </c>
      <c r="P2254" t="s">
        <v>12509</v>
      </c>
      <c r="Q2254" t="s">
        <v>30</v>
      </c>
      <c r="R2254" t="s">
        <v>31</v>
      </c>
      <c r="S2254" t="s">
        <v>32</v>
      </c>
    </row>
    <row r="2255" spans="1:19" x14ac:dyDescent="0.45">
      <c r="A2255" t="str">
        <f>"11801"</f>
        <v>11801</v>
      </c>
      <c r="B2255" t="s">
        <v>1122</v>
      </c>
      <c r="C2255" t="str">
        <f>"11001"</f>
        <v>11001</v>
      </c>
      <c r="D2255" t="s">
        <v>2457</v>
      </c>
      <c r="E2255" t="str">
        <f>"1970"</f>
        <v>1970</v>
      </c>
      <c r="F2255" t="s">
        <v>12510</v>
      </c>
      <c r="G2255" t="s">
        <v>22</v>
      </c>
      <c r="H2255" t="s">
        <v>22</v>
      </c>
      <c r="I2255" t="s">
        <v>12511</v>
      </c>
      <c r="K2255" t="s">
        <v>2460</v>
      </c>
      <c r="L2255" t="s">
        <v>25</v>
      </c>
      <c r="M2255" t="s">
        <v>3892</v>
      </c>
      <c r="N2255" t="s">
        <v>12512</v>
      </c>
      <c r="O2255" t="s">
        <v>12513</v>
      </c>
      <c r="P2255" t="s">
        <v>12514</v>
      </c>
      <c r="Q2255" t="s">
        <v>30</v>
      </c>
      <c r="R2255" t="s">
        <v>31</v>
      </c>
      <c r="S2255" t="s">
        <v>1248</v>
      </c>
    </row>
    <row r="2256" spans="1:19" x14ac:dyDescent="0.45">
      <c r="A2256" t="str">
        <f>"39801"</f>
        <v>39801</v>
      </c>
      <c r="B2256" t="s">
        <v>2395</v>
      </c>
      <c r="C2256" t="str">
        <f>"39007"</f>
        <v>39007</v>
      </c>
      <c r="D2256" t="s">
        <v>2508</v>
      </c>
      <c r="E2256" t="str">
        <f>"4020"</f>
        <v>4020</v>
      </c>
      <c r="F2256" t="s">
        <v>12515</v>
      </c>
      <c r="G2256">
        <v>9</v>
      </c>
      <c r="H2256">
        <v>12</v>
      </c>
      <c r="I2256" t="s">
        <v>2510</v>
      </c>
      <c r="K2256" t="s">
        <v>2512</v>
      </c>
      <c r="L2256" t="s">
        <v>25</v>
      </c>
      <c r="M2256">
        <v>98901</v>
      </c>
      <c r="N2256" t="s">
        <v>12516</v>
      </c>
      <c r="O2256" t="s">
        <v>12517</v>
      </c>
      <c r="P2256" t="s">
        <v>12518</v>
      </c>
      <c r="Q2256" t="s">
        <v>172</v>
      </c>
      <c r="R2256" t="s">
        <v>173</v>
      </c>
      <c r="S2256" t="s">
        <v>58</v>
      </c>
    </row>
    <row r="2257" spans="1:19" x14ac:dyDescent="0.45">
      <c r="A2257" t="str">
        <f>"17801"</f>
        <v>17801</v>
      </c>
      <c r="B2257" t="s">
        <v>19</v>
      </c>
      <c r="C2257" t="str">
        <f>"17405"</f>
        <v>17405</v>
      </c>
      <c r="D2257" t="s">
        <v>487</v>
      </c>
      <c r="E2257" t="str">
        <f>"3522"</f>
        <v>3522</v>
      </c>
      <c r="F2257" t="s">
        <v>12519</v>
      </c>
      <c r="G2257">
        <v>6</v>
      </c>
      <c r="H2257">
        <v>12</v>
      </c>
      <c r="I2257" t="s">
        <v>12520</v>
      </c>
      <c r="K2257" t="s">
        <v>490</v>
      </c>
      <c r="L2257" t="s">
        <v>25</v>
      </c>
      <c r="M2257">
        <v>98005</v>
      </c>
      <c r="N2257" t="s">
        <v>12521</v>
      </c>
      <c r="O2257" t="s">
        <v>12522</v>
      </c>
      <c r="P2257" t="s">
        <v>12523</v>
      </c>
      <c r="Q2257" t="s">
        <v>157</v>
      </c>
      <c r="R2257" t="s">
        <v>158</v>
      </c>
      <c r="S2257" t="s">
        <v>159</v>
      </c>
    </row>
    <row r="2258" spans="1:19" x14ac:dyDescent="0.45">
      <c r="A2258" t="str">
        <f>"17801"</f>
        <v>17801</v>
      </c>
      <c r="B2258" t="s">
        <v>19</v>
      </c>
      <c r="C2258" t="str">
        <f>"17401"</f>
        <v>17401</v>
      </c>
      <c r="D2258" t="s">
        <v>149</v>
      </c>
      <c r="E2258" t="str">
        <f>"3553"</f>
        <v>3553</v>
      </c>
      <c r="F2258" t="s">
        <v>12524</v>
      </c>
      <c r="G2258">
        <v>9</v>
      </c>
      <c r="H2258">
        <v>12</v>
      </c>
      <c r="I2258" t="s">
        <v>12525</v>
      </c>
      <c r="K2258" t="s">
        <v>640</v>
      </c>
      <c r="L2258" t="s">
        <v>25</v>
      </c>
      <c r="M2258">
        <v>98108</v>
      </c>
      <c r="N2258" t="s">
        <v>12526</v>
      </c>
      <c r="O2258" t="s">
        <v>12527</v>
      </c>
      <c r="P2258" t="s">
        <v>12528</v>
      </c>
      <c r="Q2258" t="s">
        <v>157</v>
      </c>
      <c r="R2258" t="s">
        <v>158</v>
      </c>
      <c r="S2258" t="s">
        <v>58</v>
      </c>
    </row>
    <row r="2259" spans="1:19" x14ac:dyDescent="0.45">
      <c r="A2259" t="str">
        <f>"06801"</f>
        <v>06801</v>
      </c>
      <c r="B2259" t="s">
        <v>1870</v>
      </c>
      <c r="C2259" t="str">
        <f>"06037"</f>
        <v>06037</v>
      </c>
      <c r="D2259" t="s">
        <v>1871</v>
      </c>
      <c r="E2259" t="str">
        <f>"3556"</f>
        <v>3556</v>
      </c>
      <c r="F2259" t="s">
        <v>12529</v>
      </c>
      <c r="G2259" t="s">
        <v>70</v>
      </c>
      <c r="H2259">
        <v>12</v>
      </c>
      <c r="I2259" t="s">
        <v>1906</v>
      </c>
      <c r="K2259" t="s">
        <v>1874</v>
      </c>
      <c r="L2259" t="s">
        <v>25</v>
      </c>
      <c r="M2259" t="s">
        <v>1907</v>
      </c>
      <c r="N2259" t="s">
        <v>2442</v>
      </c>
      <c r="O2259" t="s">
        <v>12530</v>
      </c>
      <c r="P2259" t="s">
        <v>2444</v>
      </c>
      <c r="Q2259" t="s">
        <v>157</v>
      </c>
      <c r="R2259" t="s">
        <v>158</v>
      </c>
      <c r="S2259" t="s">
        <v>330</v>
      </c>
    </row>
    <row r="2260" spans="1:19" x14ac:dyDescent="0.45">
      <c r="A2260" t="str">
        <f>"17801"</f>
        <v>17801</v>
      </c>
      <c r="B2260" t="s">
        <v>19</v>
      </c>
      <c r="C2260" t="str">
        <f>"17401"</f>
        <v>17401</v>
      </c>
      <c r="D2260" t="s">
        <v>149</v>
      </c>
      <c r="E2260" t="str">
        <f>"1972"</f>
        <v>1972</v>
      </c>
      <c r="F2260" t="s">
        <v>12531</v>
      </c>
      <c r="G2260">
        <v>9</v>
      </c>
      <c r="H2260">
        <v>12</v>
      </c>
      <c r="I2260" t="s">
        <v>12532</v>
      </c>
      <c r="K2260" t="s">
        <v>152</v>
      </c>
      <c r="L2260" t="s">
        <v>25</v>
      </c>
      <c r="M2260">
        <v>98146</v>
      </c>
      <c r="N2260" t="s">
        <v>154</v>
      </c>
      <c r="O2260" t="s">
        <v>155</v>
      </c>
      <c r="P2260" t="s">
        <v>2602</v>
      </c>
      <c r="Q2260" t="s">
        <v>157</v>
      </c>
      <c r="R2260" t="s">
        <v>158</v>
      </c>
      <c r="S2260" t="s">
        <v>58</v>
      </c>
    </row>
    <row r="2261" spans="1:19" x14ac:dyDescent="0.45">
      <c r="A2261" t="str">
        <f>"17801"</f>
        <v>17801</v>
      </c>
      <c r="B2261" t="s">
        <v>19</v>
      </c>
      <c r="C2261" t="str">
        <f>"17401"</f>
        <v>17401</v>
      </c>
      <c r="D2261" t="s">
        <v>149</v>
      </c>
      <c r="E2261" t="str">
        <f>"1973"</f>
        <v>1973</v>
      </c>
      <c r="F2261" t="s">
        <v>12533</v>
      </c>
      <c r="G2261" t="s">
        <v>22</v>
      </c>
      <c r="H2261">
        <v>12</v>
      </c>
      <c r="I2261" t="s">
        <v>151</v>
      </c>
      <c r="K2261" t="s">
        <v>152</v>
      </c>
      <c r="L2261" t="s">
        <v>25</v>
      </c>
      <c r="M2261" t="s">
        <v>12534</v>
      </c>
      <c r="N2261" t="s">
        <v>154</v>
      </c>
      <c r="O2261" t="s">
        <v>155</v>
      </c>
      <c r="P2261" t="s">
        <v>156</v>
      </c>
      <c r="Q2261" t="s">
        <v>66</v>
      </c>
      <c r="R2261" t="s">
        <v>67</v>
      </c>
      <c r="S2261" t="s">
        <v>68</v>
      </c>
    </row>
    <row r="2262" spans="1:19" x14ac:dyDescent="0.45">
      <c r="A2262" t="str">
        <f>"11801"</f>
        <v>11801</v>
      </c>
      <c r="B2262" t="s">
        <v>1122</v>
      </c>
      <c r="C2262" t="str">
        <f>"11001"</f>
        <v>11001</v>
      </c>
      <c r="D2262" t="s">
        <v>2457</v>
      </c>
      <c r="E2262" t="str">
        <f>"4595"</f>
        <v>4595</v>
      </c>
      <c r="F2262" t="s">
        <v>12535</v>
      </c>
      <c r="G2262" t="s">
        <v>22</v>
      </c>
      <c r="H2262">
        <v>6</v>
      </c>
      <c r="I2262" t="s">
        <v>12536</v>
      </c>
      <c r="K2262" t="s">
        <v>2460</v>
      </c>
      <c r="L2262" t="s">
        <v>25</v>
      </c>
      <c r="M2262" t="s">
        <v>12537</v>
      </c>
      <c r="N2262" t="s">
        <v>12538</v>
      </c>
      <c r="O2262" t="s">
        <v>12539</v>
      </c>
      <c r="P2262" t="s">
        <v>12540</v>
      </c>
      <c r="Q2262" t="s">
        <v>30</v>
      </c>
      <c r="R2262" t="s">
        <v>31</v>
      </c>
      <c r="S2262" t="s">
        <v>32</v>
      </c>
    </row>
    <row r="2263" spans="1:19" x14ac:dyDescent="0.45">
      <c r="A2263" t="str">
        <f>"32801"</f>
        <v>32801</v>
      </c>
      <c r="B2263" t="s">
        <v>1108</v>
      </c>
      <c r="C2263" t="str">
        <f>"32358"</f>
        <v>32358</v>
      </c>
      <c r="D2263" t="s">
        <v>10556</v>
      </c>
      <c r="E2263" t="str">
        <f>"4593"</f>
        <v>4593</v>
      </c>
      <c r="F2263" t="s">
        <v>12541</v>
      </c>
      <c r="G2263">
        <v>6</v>
      </c>
      <c r="H2263">
        <v>8</v>
      </c>
      <c r="I2263" t="s">
        <v>12542</v>
      </c>
      <c r="K2263" t="s">
        <v>10559</v>
      </c>
      <c r="L2263" t="s">
        <v>25</v>
      </c>
      <c r="M2263">
        <v>99030</v>
      </c>
      <c r="N2263" t="s">
        <v>12543</v>
      </c>
      <c r="O2263" t="s">
        <v>12544</v>
      </c>
      <c r="P2263" t="s">
        <v>12545</v>
      </c>
      <c r="Q2263" t="s">
        <v>30</v>
      </c>
      <c r="R2263" t="s">
        <v>31</v>
      </c>
      <c r="S2263" t="s">
        <v>104</v>
      </c>
    </row>
    <row r="2264" spans="1:19" x14ac:dyDescent="0.45">
      <c r="A2264" t="str">
        <f>"17801"</f>
        <v>17801</v>
      </c>
      <c r="B2264" t="s">
        <v>19</v>
      </c>
      <c r="C2264" t="str">
        <f>"17414"</f>
        <v>17414</v>
      </c>
      <c r="D2264" t="s">
        <v>4253</v>
      </c>
      <c r="E2264" t="str">
        <f>"1975"</f>
        <v>1975</v>
      </c>
      <c r="F2264" t="s">
        <v>12546</v>
      </c>
      <c r="G2264">
        <v>6</v>
      </c>
      <c r="H2264">
        <v>8</v>
      </c>
      <c r="I2264" t="s">
        <v>12547</v>
      </c>
      <c r="K2264" t="s">
        <v>4256</v>
      </c>
      <c r="L2264" t="s">
        <v>25</v>
      </c>
      <c r="M2264" t="s">
        <v>5921</v>
      </c>
      <c r="N2264" t="s">
        <v>5927</v>
      </c>
      <c r="O2264" t="s">
        <v>5928</v>
      </c>
      <c r="P2264" t="s">
        <v>5924</v>
      </c>
      <c r="Q2264" t="s">
        <v>157</v>
      </c>
      <c r="R2264" t="s">
        <v>158</v>
      </c>
      <c r="S2264" t="s">
        <v>104</v>
      </c>
    </row>
    <row r="2265" spans="1:19" x14ac:dyDescent="0.45">
      <c r="A2265" t="str">
        <f>"32801"</f>
        <v>32801</v>
      </c>
      <c r="B2265" t="s">
        <v>1108</v>
      </c>
      <c r="C2265" t="str">
        <f>"10309"</f>
        <v>10309</v>
      </c>
      <c r="D2265" t="s">
        <v>3871</v>
      </c>
      <c r="E2265" t="str">
        <f>"3559"</f>
        <v>3559</v>
      </c>
      <c r="F2265" t="s">
        <v>12548</v>
      </c>
      <c r="G2265">
        <v>6</v>
      </c>
      <c r="H2265">
        <v>8</v>
      </c>
      <c r="I2265" t="s">
        <v>12549</v>
      </c>
      <c r="K2265" t="s">
        <v>12550</v>
      </c>
      <c r="L2265" t="s">
        <v>25</v>
      </c>
      <c r="M2265" t="s">
        <v>12551</v>
      </c>
      <c r="N2265" t="s">
        <v>3875</v>
      </c>
      <c r="O2265" t="s">
        <v>3876</v>
      </c>
      <c r="P2265" t="s">
        <v>3877</v>
      </c>
      <c r="Q2265" t="s">
        <v>30</v>
      </c>
      <c r="R2265" t="s">
        <v>31</v>
      </c>
      <c r="S2265" t="s">
        <v>104</v>
      </c>
    </row>
    <row r="2266" spans="1:19" x14ac:dyDescent="0.45">
      <c r="A2266" t="str">
        <f>"39801"</f>
        <v>39801</v>
      </c>
      <c r="B2266" t="s">
        <v>2395</v>
      </c>
      <c r="C2266" t="str">
        <f>"39202"</f>
        <v>39202</v>
      </c>
      <c r="D2266" t="s">
        <v>12095</v>
      </c>
      <c r="E2266" t="str">
        <f>"4588"</f>
        <v>4588</v>
      </c>
      <c r="F2266" t="s">
        <v>12552</v>
      </c>
      <c r="G2266" t="s">
        <v>70</v>
      </c>
      <c r="H2266">
        <v>5</v>
      </c>
      <c r="I2266" t="s">
        <v>12553</v>
      </c>
      <c r="K2266" t="s">
        <v>12098</v>
      </c>
      <c r="L2266" t="s">
        <v>25</v>
      </c>
      <c r="M2266" t="s">
        <v>12554</v>
      </c>
      <c r="N2266" t="s">
        <v>12555</v>
      </c>
      <c r="O2266" t="s">
        <v>12556</v>
      </c>
      <c r="P2266" t="s">
        <v>12557</v>
      </c>
      <c r="Q2266" t="s">
        <v>30</v>
      </c>
      <c r="R2266" t="s">
        <v>31</v>
      </c>
      <c r="S2266" t="s">
        <v>32</v>
      </c>
    </row>
    <row r="2267" spans="1:19" x14ac:dyDescent="0.45">
      <c r="A2267" t="str">
        <f>"29801"</f>
        <v>29801</v>
      </c>
      <c r="B2267" t="s">
        <v>2370</v>
      </c>
      <c r="C2267" t="str">
        <f>"31103"</f>
        <v>31103</v>
      </c>
      <c r="D2267" t="s">
        <v>9709</v>
      </c>
      <c r="E2267" t="str">
        <f>"4594"</f>
        <v>4594</v>
      </c>
      <c r="F2267" t="s">
        <v>12558</v>
      </c>
      <c r="G2267" t="s">
        <v>22</v>
      </c>
      <c r="H2267">
        <v>5</v>
      </c>
      <c r="I2267" t="s">
        <v>12559</v>
      </c>
      <c r="K2267" t="s">
        <v>9719</v>
      </c>
      <c r="L2267" t="s">
        <v>25</v>
      </c>
      <c r="M2267">
        <v>98272</v>
      </c>
      <c r="N2267" t="s">
        <v>12560</v>
      </c>
      <c r="O2267" t="s">
        <v>12561</v>
      </c>
      <c r="P2267" t="s">
        <v>12562</v>
      </c>
      <c r="Q2267" t="s">
        <v>30</v>
      </c>
      <c r="R2267" t="s">
        <v>31</v>
      </c>
      <c r="S2267" t="s">
        <v>32</v>
      </c>
    </row>
    <row r="2268" spans="1:19" x14ac:dyDescent="0.45">
      <c r="A2268" t="str">
        <f>"04801"</f>
        <v>04801</v>
      </c>
      <c r="B2268" t="s">
        <v>1549</v>
      </c>
      <c r="C2268" t="str">
        <f>"24105"</f>
        <v>24105</v>
      </c>
      <c r="D2268" t="s">
        <v>7397</v>
      </c>
      <c r="E2268" t="str">
        <f>"1980"</f>
        <v>1980</v>
      </c>
      <c r="F2268" t="s">
        <v>12563</v>
      </c>
      <c r="G2268">
        <v>9</v>
      </c>
      <c r="H2268">
        <v>12</v>
      </c>
      <c r="I2268" t="s">
        <v>7399</v>
      </c>
      <c r="K2268" t="s">
        <v>12564</v>
      </c>
      <c r="L2268" t="s">
        <v>25</v>
      </c>
      <c r="M2268" t="s">
        <v>12565</v>
      </c>
      <c r="N2268" t="s">
        <v>12566</v>
      </c>
      <c r="O2268" t="s">
        <v>7416</v>
      </c>
      <c r="P2268" t="s">
        <v>7417</v>
      </c>
      <c r="Q2268" t="s">
        <v>157</v>
      </c>
      <c r="R2268" t="s">
        <v>158</v>
      </c>
      <c r="S2268" t="s">
        <v>58</v>
      </c>
    </row>
    <row r="2269" spans="1:19" x14ac:dyDescent="0.45">
      <c r="A2269" t="str">
        <f>"39801"</f>
        <v>39801</v>
      </c>
      <c r="B2269" t="s">
        <v>2395</v>
      </c>
      <c r="C2269" t="str">
        <f>"13073"</f>
        <v>13073</v>
      </c>
      <c r="D2269" t="s">
        <v>4015</v>
      </c>
      <c r="E2269" t="str">
        <f>"1981"</f>
        <v>1981</v>
      </c>
      <c r="F2269" t="s">
        <v>12567</v>
      </c>
      <c r="G2269" t="s">
        <v>22</v>
      </c>
      <c r="H2269" t="s">
        <v>22</v>
      </c>
      <c r="I2269" t="s">
        <v>12568</v>
      </c>
      <c r="J2269" t="s">
        <v>12569</v>
      </c>
      <c r="K2269" t="s">
        <v>4018</v>
      </c>
      <c r="L2269" t="s">
        <v>25</v>
      </c>
      <c r="M2269">
        <v>99349</v>
      </c>
      <c r="N2269" t="s">
        <v>12570</v>
      </c>
      <c r="O2269" t="s">
        <v>4025</v>
      </c>
      <c r="P2269" t="s">
        <v>4026</v>
      </c>
      <c r="Q2269" t="s">
        <v>66</v>
      </c>
      <c r="R2269" t="s">
        <v>67</v>
      </c>
      <c r="S2269" t="s">
        <v>1248</v>
      </c>
    </row>
    <row r="2270" spans="1:19" x14ac:dyDescent="0.45">
      <c r="A2270" t="str">
        <f>"29801"</f>
        <v>29801</v>
      </c>
      <c r="B2270" t="s">
        <v>2370</v>
      </c>
      <c r="C2270" t="str">
        <f>"37504"</f>
        <v>37504</v>
      </c>
      <c r="D2270" t="s">
        <v>3025</v>
      </c>
      <c r="E2270" t="str">
        <f>"1983"</f>
        <v>1983</v>
      </c>
      <c r="F2270" t="s">
        <v>12571</v>
      </c>
      <c r="G2270" t="s">
        <v>70</v>
      </c>
      <c r="H2270">
        <v>12</v>
      </c>
      <c r="I2270" t="s">
        <v>12572</v>
      </c>
      <c r="K2270" t="s">
        <v>3028</v>
      </c>
      <c r="L2270" t="s">
        <v>25</v>
      </c>
      <c r="M2270">
        <v>98264</v>
      </c>
      <c r="N2270" t="s">
        <v>12573</v>
      </c>
      <c r="O2270" t="s">
        <v>12574</v>
      </c>
      <c r="P2270" t="s">
        <v>12575</v>
      </c>
      <c r="Q2270" t="s">
        <v>157</v>
      </c>
      <c r="R2270" t="s">
        <v>158</v>
      </c>
      <c r="S2270" t="s">
        <v>330</v>
      </c>
    </row>
    <row r="2271" spans="1:19" x14ac:dyDescent="0.45">
      <c r="A2271" t="str">
        <f>"OSPI"</f>
        <v>OSPI</v>
      </c>
      <c r="B2271" t="s">
        <v>1763</v>
      </c>
      <c r="C2271" t="str">
        <f>"17903"</f>
        <v>17903</v>
      </c>
      <c r="D2271" t="s">
        <v>12576</v>
      </c>
      <c r="E2271" t="str">
        <f>"1986"</f>
        <v>1986</v>
      </c>
      <c r="F2271" t="s">
        <v>12577</v>
      </c>
      <c r="G2271" t="s">
        <v>70</v>
      </c>
      <c r="H2271">
        <v>12</v>
      </c>
      <c r="I2271" t="s">
        <v>12578</v>
      </c>
      <c r="K2271" t="s">
        <v>4320</v>
      </c>
      <c r="L2271" t="s">
        <v>25</v>
      </c>
      <c r="M2271">
        <v>98092</v>
      </c>
      <c r="N2271" t="s">
        <v>79</v>
      </c>
      <c r="Q2271" t="s">
        <v>2836</v>
      </c>
      <c r="R2271" t="s">
        <v>2337</v>
      </c>
      <c r="S2271" t="s">
        <v>58</v>
      </c>
    </row>
    <row r="2272" spans="1:19" x14ac:dyDescent="0.45">
      <c r="A2272" t="str">
        <f>"39801"</f>
        <v>39801</v>
      </c>
      <c r="B2272" t="s">
        <v>2395</v>
      </c>
      <c r="C2272" t="str">
        <f>"19404"</f>
        <v>19404</v>
      </c>
      <c r="D2272" t="s">
        <v>6862</v>
      </c>
      <c r="E2272" t="str">
        <f>"1987"</f>
        <v>1987</v>
      </c>
      <c r="F2272" t="s">
        <v>12579</v>
      </c>
      <c r="G2272">
        <v>9</v>
      </c>
      <c r="H2272">
        <v>12</v>
      </c>
      <c r="I2272" t="s">
        <v>12580</v>
      </c>
      <c r="K2272" t="s">
        <v>6865</v>
      </c>
      <c r="L2272" t="s">
        <v>25</v>
      </c>
      <c r="M2272">
        <v>98922</v>
      </c>
      <c r="N2272" t="s">
        <v>79</v>
      </c>
      <c r="Q2272" t="s">
        <v>157</v>
      </c>
      <c r="R2272" t="s">
        <v>158</v>
      </c>
      <c r="S2272" t="s">
        <v>58</v>
      </c>
    </row>
    <row r="2273" spans="1:19" x14ac:dyDescent="0.45">
      <c r="A2273" t="str">
        <f>"04801"</f>
        <v>04801</v>
      </c>
      <c r="B2273" t="s">
        <v>1549</v>
      </c>
      <c r="C2273" t="str">
        <f>"09206"</f>
        <v>09206</v>
      </c>
      <c r="D2273" t="s">
        <v>3755</v>
      </c>
      <c r="E2273" t="str">
        <f>"4590"</f>
        <v>4590</v>
      </c>
      <c r="F2273" t="s">
        <v>12581</v>
      </c>
      <c r="G2273">
        <v>5</v>
      </c>
      <c r="H2273">
        <v>7</v>
      </c>
      <c r="I2273" t="s">
        <v>12582</v>
      </c>
      <c r="K2273" t="s">
        <v>3765</v>
      </c>
      <c r="L2273" t="s">
        <v>25</v>
      </c>
      <c r="M2273">
        <v>98802</v>
      </c>
      <c r="N2273" t="s">
        <v>12583</v>
      </c>
      <c r="O2273" t="s">
        <v>12584</v>
      </c>
      <c r="P2273" t="s">
        <v>12585</v>
      </c>
      <c r="Q2273" t="s">
        <v>30</v>
      </c>
      <c r="R2273" t="s">
        <v>31</v>
      </c>
      <c r="S2273" t="s">
        <v>104</v>
      </c>
    </row>
    <row r="2274" spans="1:19" x14ac:dyDescent="0.45">
      <c r="A2274" t="str">
        <f>"29801"</f>
        <v>29801</v>
      </c>
      <c r="B2274" t="s">
        <v>2370</v>
      </c>
      <c r="C2274" t="str">
        <f>"29320"</f>
        <v>29320</v>
      </c>
      <c r="D2274" t="s">
        <v>2933</v>
      </c>
      <c r="E2274" t="str">
        <f>"1992"</f>
        <v>1992</v>
      </c>
      <c r="F2274" t="s">
        <v>12586</v>
      </c>
      <c r="G2274" t="s">
        <v>70</v>
      </c>
      <c r="H2274">
        <v>12</v>
      </c>
      <c r="I2274" t="s">
        <v>2935</v>
      </c>
      <c r="K2274" t="s">
        <v>2936</v>
      </c>
      <c r="L2274" t="s">
        <v>25</v>
      </c>
      <c r="M2274">
        <v>98273</v>
      </c>
      <c r="N2274" t="s">
        <v>12587</v>
      </c>
      <c r="O2274" t="s">
        <v>2938</v>
      </c>
      <c r="P2274" t="s">
        <v>2939</v>
      </c>
      <c r="Q2274" t="s">
        <v>157</v>
      </c>
      <c r="R2274" t="s">
        <v>158</v>
      </c>
      <c r="S2274" t="s">
        <v>330</v>
      </c>
    </row>
    <row r="2275" spans="1:19" x14ac:dyDescent="0.45">
      <c r="A2275" t="str">
        <f>"17801"</f>
        <v>17801</v>
      </c>
      <c r="B2275" t="s">
        <v>19</v>
      </c>
      <c r="C2275" t="str">
        <f>"17401"</f>
        <v>17401</v>
      </c>
      <c r="D2275" t="s">
        <v>149</v>
      </c>
      <c r="E2275" t="str">
        <f>"1998"</f>
        <v>1998</v>
      </c>
      <c r="F2275" t="s">
        <v>12588</v>
      </c>
      <c r="G2275" t="s">
        <v>22</v>
      </c>
      <c r="H2275" t="s">
        <v>22</v>
      </c>
      <c r="I2275" t="s">
        <v>12589</v>
      </c>
      <c r="K2275" t="s">
        <v>152</v>
      </c>
      <c r="L2275" t="s">
        <v>25</v>
      </c>
      <c r="M2275">
        <v>98106</v>
      </c>
      <c r="N2275" t="s">
        <v>79</v>
      </c>
      <c r="Q2275" t="s">
        <v>2316</v>
      </c>
      <c r="R2275" t="s">
        <v>31</v>
      </c>
      <c r="S2275" t="s">
        <v>1248</v>
      </c>
    </row>
    <row r="2276" spans="1:19" x14ac:dyDescent="0.45">
      <c r="A2276" t="str">
        <f>"32801"</f>
        <v>32801</v>
      </c>
      <c r="B2276" t="s">
        <v>1108</v>
      </c>
      <c r="C2276" t="str">
        <f>"32356"</f>
        <v>32356</v>
      </c>
      <c r="D2276" t="s">
        <v>2362</v>
      </c>
      <c r="E2276" t="str">
        <f>"5003"</f>
        <v>5003</v>
      </c>
      <c r="F2276" t="s">
        <v>12590</v>
      </c>
      <c r="G2276">
        <v>12</v>
      </c>
      <c r="H2276">
        <v>12</v>
      </c>
      <c r="I2276" t="s">
        <v>10522</v>
      </c>
      <c r="J2276" t="s">
        <v>2341</v>
      </c>
      <c r="K2276" t="s">
        <v>2365</v>
      </c>
      <c r="L2276" t="s">
        <v>25</v>
      </c>
      <c r="M2276" t="s">
        <v>10523</v>
      </c>
      <c r="N2276" t="s">
        <v>10524</v>
      </c>
      <c r="O2276" t="s">
        <v>10525</v>
      </c>
      <c r="P2276" t="s">
        <v>10526</v>
      </c>
      <c r="Q2276" t="s">
        <v>66</v>
      </c>
      <c r="R2276" t="s">
        <v>67</v>
      </c>
      <c r="S2276" t="s">
        <v>58</v>
      </c>
    </row>
    <row r="2277" spans="1:19" x14ac:dyDescent="0.45">
      <c r="A2277" t="str">
        <f>"29801"</f>
        <v>29801</v>
      </c>
      <c r="B2277" t="s">
        <v>2370</v>
      </c>
      <c r="C2277" t="str">
        <f>"31401"</f>
        <v>31401</v>
      </c>
      <c r="D2277" t="s">
        <v>9934</v>
      </c>
      <c r="E2277" t="str">
        <f>"5004"</f>
        <v>5004</v>
      </c>
      <c r="F2277" t="s">
        <v>12591</v>
      </c>
      <c r="G2277" t="s">
        <v>70</v>
      </c>
      <c r="H2277">
        <v>12</v>
      </c>
      <c r="I2277" t="s">
        <v>12592</v>
      </c>
      <c r="K2277" t="s">
        <v>12593</v>
      </c>
      <c r="L2277" t="s">
        <v>25</v>
      </c>
      <c r="M2277">
        <v>98292</v>
      </c>
      <c r="N2277" t="s">
        <v>12594</v>
      </c>
      <c r="O2277" t="s">
        <v>12595</v>
      </c>
      <c r="P2277" t="s">
        <v>12596</v>
      </c>
      <c r="Q2277" t="s">
        <v>157</v>
      </c>
      <c r="R2277" t="s">
        <v>158</v>
      </c>
      <c r="S2277" t="s">
        <v>330</v>
      </c>
    </row>
    <row r="2278" spans="1:19" x14ac:dyDescent="0.45">
      <c r="A2278" t="str">
        <f>"06801"</f>
        <v>06801</v>
      </c>
      <c r="B2278" t="s">
        <v>1870</v>
      </c>
      <c r="C2278" t="str">
        <f>"06114"</f>
        <v>06114</v>
      </c>
      <c r="D2278" t="s">
        <v>2170</v>
      </c>
      <c r="E2278" t="str">
        <f>"4587"</f>
        <v>4587</v>
      </c>
      <c r="F2278" t="s">
        <v>12597</v>
      </c>
      <c r="G2278" t="s">
        <v>22</v>
      </c>
      <c r="H2278">
        <v>5</v>
      </c>
      <c r="I2278" t="s">
        <v>12598</v>
      </c>
      <c r="K2278" t="s">
        <v>2029</v>
      </c>
      <c r="L2278" t="s">
        <v>25</v>
      </c>
      <c r="M2278">
        <v>98683</v>
      </c>
      <c r="N2278" t="s">
        <v>12599</v>
      </c>
      <c r="O2278" t="s">
        <v>12600</v>
      </c>
      <c r="P2278" t="s">
        <v>12601</v>
      </c>
      <c r="Q2278" t="s">
        <v>30</v>
      </c>
      <c r="R2278" t="s">
        <v>31</v>
      </c>
      <c r="S2278" t="s">
        <v>32</v>
      </c>
    </row>
    <row r="2279" spans="1:19" x14ac:dyDescent="0.45">
      <c r="A2279" t="str">
        <f>"39801"</f>
        <v>39801</v>
      </c>
      <c r="B2279" t="s">
        <v>2395</v>
      </c>
      <c r="C2279" t="str">
        <f>"39208"</f>
        <v>39208</v>
      </c>
      <c r="D2279" t="s">
        <v>3199</v>
      </c>
      <c r="E2279" t="str">
        <f>"5008"</f>
        <v>5008</v>
      </c>
      <c r="F2279" t="s">
        <v>12602</v>
      </c>
      <c r="G2279" t="s">
        <v>22</v>
      </c>
      <c r="H2279" t="s">
        <v>22</v>
      </c>
      <c r="I2279" t="s">
        <v>12243</v>
      </c>
      <c r="K2279" t="s">
        <v>2512</v>
      </c>
      <c r="L2279" t="s">
        <v>25</v>
      </c>
      <c r="M2279" t="s">
        <v>12603</v>
      </c>
      <c r="N2279" t="s">
        <v>12245</v>
      </c>
      <c r="O2279" t="s">
        <v>12246</v>
      </c>
      <c r="P2279" t="s">
        <v>12247</v>
      </c>
      <c r="Q2279" t="s">
        <v>66</v>
      </c>
      <c r="R2279" t="s">
        <v>67</v>
      </c>
      <c r="S2279" t="s">
        <v>1248</v>
      </c>
    </row>
    <row r="2280" spans="1:19" x14ac:dyDescent="0.45">
      <c r="A2280" t="str">
        <f>"29801"</f>
        <v>29801</v>
      </c>
      <c r="B2280" t="s">
        <v>2370</v>
      </c>
      <c r="C2280" t="str">
        <f>"31016"</f>
        <v>31016</v>
      </c>
      <c r="D2280" t="s">
        <v>3154</v>
      </c>
      <c r="E2280" t="str">
        <f>"5010"</f>
        <v>5010</v>
      </c>
      <c r="F2280" t="s">
        <v>12604</v>
      </c>
      <c r="G2280">
        <v>6</v>
      </c>
      <c r="H2280">
        <v>8</v>
      </c>
      <c r="I2280" t="s">
        <v>12605</v>
      </c>
      <c r="K2280" t="s">
        <v>3157</v>
      </c>
      <c r="L2280" t="s">
        <v>25</v>
      </c>
      <c r="M2280">
        <v>98223</v>
      </c>
      <c r="N2280" t="s">
        <v>12606</v>
      </c>
      <c r="O2280" t="s">
        <v>12607</v>
      </c>
      <c r="P2280" t="s">
        <v>12608</v>
      </c>
      <c r="Q2280" t="s">
        <v>30</v>
      </c>
      <c r="R2280" t="s">
        <v>31</v>
      </c>
      <c r="S2280" t="s">
        <v>104</v>
      </c>
    </row>
    <row r="2281" spans="1:19" x14ac:dyDescent="0.45">
      <c r="A2281" t="str">
        <f>"17801"</f>
        <v>17801</v>
      </c>
      <c r="B2281" t="s">
        <v>19</v>
      </c>
      <c r="C2281" t="str">
        <f>"27344"</f>
        <v>27344</v>
      </c>
      <c r="D2281" t="s">
        <v>8235</v>
      </c>
      <c r="E2281" t="str">
        <f>"5011"</f>
        <v>5011</v>
      </c>
      <c r="F2281" t="s">
        <v>12609</v>
      </c>
      <c r="G2281" t="s">
        <v>22</v>
      </c>
      <c r="H2281" t="s">
        <v>22</v>
      </c>
      <c r="I2281" t="s">
        <v>12610</v>
      </c>
      <c r="K2281" t="s">
        <v>8238</v>
      </c>
      <c r="L2281" t="s">
        <v>25</v>
      </c>
      <c r="M2281">
        <v>98360</v>
      </c>
      <c r="N2281" t="s">
        <v>12611</v>
      </c>
      <c r="O2281" t="s">
        <v>12612</v>
      </c>
      <c r="P2281" t="s">
        <v>12613</v>
      </c>
      <c r="Q2281" t="s">
        <v>66</v>
      </c>
      <c r="R2281" t="s">
        <v>67</v>
      </c>
      <c r="S2281" t="s">
        <v>1248</v>
      </c>
    </row>
    <row r="2282" spans="1:19" x14ac:dyDescent="0.45">
      <c r="A2282" t="str">
        <f>"OSPI"</f>
        <v>OSPI</v>
      </c>
      <c r="B2282" t="s">
        <v>1763</v>
      </c>
      <c r="C2282" t="str">
        <f>"21926"</f>
        <v>21926</v>
      </c>
      <c r="D2282" t="s">
        <v>12614</v>
      </c>
      <c r="E2282" t="str">
        <f>"3598"</f>
        <v>3598</v>
      </c>
      <c r="F2282" t="s">
        <v>12615</v>
      </c>
      <c r="G2282">
        <v>8</v>
      </c>
      <c r="H2282">
        <v>12</v>
      </c>
      <c r="I2282" t="s">
        <v>12616</v>
      </c>
      <c r="K2282" t="s">
        <v>4280</v>
      </c>
      <c r="L2282" t="s">
        <v>25</v>
      </c>
      <c r="M2282">
        <v>98584</v>
      </c>
      <c r="N2282" t="s">
        <v>12617</v>
      </c>
      <c r="O2282" t="s">
        <v>12618</v>
      </c>
      <c r="P2282" t="s">
        <v>12619</v>
      </c>
      <c r="Q2282" t="s">
        <v>962</v>
      </c>
      <c r="R2282" t="s">
        <v>963</v>
      </c>
      <c r="S2282" t="s">
        <v>58</v>
      </c>
    </row>
    <row r="2283" spans="1:19" x14ac:dyDescent="0.45">
      <c r="A2283" t="str">
        <f>"39801"</f>
        <v>39801</v>
      </c>
      <c r="B2283" t="s">
        <v>2395</v>
      </c>
      <c r="C2283" t="str">
        <f>"20404"</f>
        <v>20404</v>
      </c>
      <c r="D2283" t="s">
        <v>6942</v>
      </c>
      <c r="E2283" t="str">
        <f>"5012"</f>
        <v>5012</v>
      </c>
      <c r="F2283" t="s">
        <v>12620</v>
      </c>
      <c r="G2283" t="s">
        <v>22</v>
      </c>
      <c r="H2283" t="s">
        <v>22</v>
      </c>
      <c r="I2283" t="s">
        <v>12621</v>
      </c>
      <c r="K2283" t="s">
        <v>6945</v>
      </c>
      <c r="L2283" t="s">
        <v>25</v>
      </c>
      <c r="M2283">
        <v>98620</v>
      </c>
      <c r="N2283" t="s">
        <v>12622</v>
      </c>
      <c r="O2283" t="s">
        <v>12623</v>
      </c>
      <c r="P2283" t="s">
        <v>12624</v>
      </c>
      <c r="Q2283" t="s">
        <v>66</v>
      </c>
      <c r="R2283" t="s">
        <v>67</v>
      </c>
      <c r="S2283" t="s">
        <v>1248</v>
      </c>
    </row>
    <row r="2284" spans="1:19" x14ac:dyDescent="0.45">
      <c r="A2284" t="str">
        <f>"17801"</f>
        <v>17801</v>
      </c>
      <c r="B2284" t="s">
        <v>19</v>
      </c>
      <c r="C2284" t="str">
        <f>"27001"</f>
        <v>27001</v>
      </c>
      <c r="D2284" t="s">
        <v>2681</v>
      </c>
      <c r="E2284" t="str">
        <f>"5013"</f>
        <v>5013</v>
      </c>
      <c r="F2284" t="s">
        <v>12625</v>
      </c>
      <c r="G2284" t="s">
        <v>22</v>
      </c>
      <c r="H2284" t="s">
        <v>22</v>
      </c>
      <c r="N2284" t="s">
        <v>2769</v>
      </c>
      <c r="O2284" t="s">
        <v>2686</v>
      </c>
      <c r="P2284" t="s">
        <v>12626</v>
      </c>
      <c r="Q2284" t="s">
        <v>30</v>
      </c>
      <c r="R2284" t="s">
        <v>31</v>
      </c>
      <c r="S2284" t="s">
        <v>1248</v>
      </c>
    </row>
    <row r="2285" spans="1:19" x14ac:dyDescent="0.45">
      <c r="A2285" t="str">
        <f>"34801"</f>
        <v>34801</v>
      </c>
      <c r="B2285" t="s">
        <v>2257</v>
      </c>
      <c r="C2285" t="str">
        <f>"34033"</f>
        <v>34033</v>
      </c>
      <c r="D2285" t="s">
        <v>11037</v>
      </c>
      <c r="E2285" t="str">
        <f>"5014"</f>
        <v>5014</v>
      </c>
      <c r="F2285" t="s">
        <v>12627</v>
      </c>
      <c r="G2285">
        <v>10</v>
      </c>
      <c r="H2285">
        <v>12</v>
      </c>
      <c r="I2285" t="s">
        <v>12628</v>
      </c>
      <c r="K2285" t="s">
        <v>2260</v>
      </c>
      <c r="L2285" t="s">
        <v>25</v>
      </c>
      <c r="M2285">
        <v>98501</v>
      </c>
      <c r="N2285" t="s">
        <v>11083</v>
      </c>
      <c r="O2285" t="s">
        <v>11084</v>
      </c>
      <c r="P2285" t="s">
        <v>11085</v>
      </c>
      <c r="Q2285" t="s">
        <v>157</v>
      </c>
      <c r="R2285" t="s">
        <v>158</v>
      </c>
      <c r="S2285" t="s">
        <v>58</v>
      </c>
    </row>
    <row r="2286" spans="1:19" x14ac:dyDescent="0.45">
      <c r="A2286" t="str">
        <f>"17801"</f>
        <v>17801</v>
      </c>
      <c r="B2286" t="s">
        <v>19</v>
      </c>
      <c r="C2286" t="str">
        <f>"17410"</f>
        <v>17410</v>
      </c>
      <c r="D2286" t="s">
        <v>862</v>
      </c>
      <c r="E2286" t="str">
        <f>"5015"</f>
        <v>5015</v>
      </c>
      <c r="F2286" t="s">
        <v>12629</v>
      </c>
      <c r="G2286" t="s">
        <v>70</v>
      </c>
      <c r="H2286">
        <v>5</v>
      </c>
      <c r="I2286" t="s">
        <v>12630</v>
      </c>
      <c r="K2286" t="s">
        <v>865</v>
      </c>
      <c r="L2286" t="s">
        <v>25</v>
      </c>
      <c r="M2286">
        <v>98065</v>
      </c>
      <c r="N2286" t="s">
        <v>12631</v>
      </c>
      <c r="O2286" t="s">
        <v>12632</v>
      </c>
      <c r="P2286" t="s">
        <v>12633</v>
      </c>
      <c r="Q2286" t="s">
        <v>30</v>
      </c>
      <c r="R2286" t="s">
        <v>31</v>
      </c>
      <c r="S2286" t="s">
        <v>32</v>
      </c>
    </row>
    <row r="2287" spans="1:19" x14ac:dyDescent="0.45">
      <c r="A2287" t="str">
        <f>"17801"</f>
        <v>17801</v>
      </c>
      <c r="B2287" t="s">
        <v>19</v>
      </c>
      <c r="C2287" t="str">
        <f>"17415"</f>
        <v>17415</v>
      </c>
      <c r="D2287" t="s">
        <v>2884</v>
      </c>
      <c r="E2287" t="str">
        <f>"5016"</f>
        <v>5016</v>
      </c>
      <c r="F2287" t="s">
        <v>12634</v>
      </c>
      <c r="G2287">
        <v>7</v>
      </c>
      <c r="H2287">
        <v>8</v>
      </c>
      <c r="I2287" t="s">
        <v>12635</v>
      </c>
      <c r="K2287" t="s">
        <v>2887</v>
      </c>
      <c r="L2287" t="s">
        <v>25</v>
      </c>
      <c r="M2287" t="s">
        <v>12636</v>
      </c>
      <c r="N2287" t="s">
        <v>12637</v>
      </c>
      <c r="O2287" t="s">
        <v>12638</v>
      </c>
      <c r="P2287" t="s">
        <v>12639</v>
      </c>
      <c r="Q2287" t="s">
        <v>30</v>
      </c>
      <c r="R2287" t="s">
        <v>31</v>
      </c>
      <c r="S2287" t="s">
        <v>104</v>
      </c>
    </row>
    <row r="2288" spans="1:19" x14ac:dyDescent="0.45">
      <c r="A2288" t="str">
        <f>"34801"</f>
        <v>34801</v>
      </c>
      <c r="B2288" t="s">
        <v>2257</v>
      </c>
      <c r="C2288" t="str">
        <f>"34002"</f>
        <v>34002</v>
      </c>
      <c r="D2288" t="s">
        <v>10891</v>
      </c>
      <c r="E2288" t="str">
        <f>"5018"</f>
        <v>5018</v>
      </c>
      <c r="F2288" t="s">
        <v>12640</v>
      </c>
      <c r="G2288" t="s">
        <v>22</v>
      </c>
      <c r="H2288">
        <v>5</v>
      </c>
      <c r="I2288" t="s">
        <v>10893</v>
      </c>
      <c r="K2288" t="s">
        <v>10894</v>
      </c>
      <c r="L2288" t="s">
        <v>25</v>
      </c>
      <c r="M2288">
        <v>98597</v>
      </c>
      <c r="N2288" t="s">
        <v>12641</v>
      </c>
      <c r="O2288" t="s">
        <v>12642</v>
      </c>
      <c r="P2288" t="s">
        <v>12643</v>
      </c>
      <c r="Q2288" t="s">
        <v>30</v>
      </c>
      <c r="R2288" t="s">
        <v>31</v>
      </c>
      <c r="S2288" t="s">
        <v>32</v>
      </c>
    </row>
    <row r="2289" spans="1:19" x14ac:dyDescent="0.45">
      <c r="A2289" t="str">
        <f>"39801"</f>
        <v>39801</v>
      </c>
      <c r="B2289" t="s">
        <v>2395</v>
      </c>
      <c r="C2289" t="str">
        <f>"39007"</f>
        <v>39007</v>
      </c>
      <c r="D2289" t="s">
        <v>2508</v>
      </c>
      <c r="E2289" t="str">
        <f>"5019"</f>
        <v>5019</v>
      </c>
      <c r="F2289" t="s">
        <v>2171</v>
      </c>
      <c r="G2289" t="s">
        <v>22</v>
      </c>
      <c r="H2289" t="s">
        <v>22</v>
      </c>
      <c r="I2289" t="s">
        <v>12644</v>
      </c>
      <c r="K2289" t="s">
        <v>2512</v>
      </c>
      <c r="L2289" t="s">
        <v>25</v>
      </c>
      <c r="M2289">
        <v>98902</v>
      </c>
      <c r="N2289" t="s">
        <v>12645</v>
      </c>
      <c r="O2289" t="s">
        <v>12646</v>
      </c>
      <c r="P2289" t="s">
        <v>12647</v>
      </c>
      <c r="Q2289" t="s">
        <v>66</v>
      </c>
      <c r="R2289" t="s">
        <v>67</v>
      </c>
      <c r="S2289" t="s">
        <v>1248</v>
      </c>
    </row>
    <row r="2290" spans="1:19" x14ac:dyDescent="0.45">
      <c r="A2290" t="str">
        <f>"11801"</f>
        <v>11801</v>
      </c>
      <c r="B2290" t="s">
        <v>1122</v>
      </c>
      <c r="C2290" t="str">
        <f>"11001"</f>
        <v>11001</v>
      </c>
      <c r="D2290" t="s">
        <v>2457</v>
      </c>
      <c r="E2290" t="str">
        <f>"5020"</f>
        <v>5020</v>
      </c>
      <c r="F2290" t="s">
        <v>12648</v>
      </c>
      <c r="G2290" t="s">
        <v>70</v>
      </c>
      <c r="H2290">
        <v>6</v>
      </c>
      <c r="I2290" t="s">
        <v>12649</v>
      </c>
      <c r="K2290" t="s">
        <v>2460</v>
      </c>
      <c r="L2290" t="s">
        <v>25</v>
      </c>
      <c r="M2290">
        <v>99301</v>
      </c>
      <c r="N2290" t="s">
        <v>12650</v>
      </c>
      <c r="O2290" t="s">
        <v>12651</v>
      </c>
      <c r="P2290" t="s">
        <v>12652</v>
      </c>
      <c r="Q2290" t="s">
        <v>30</v>
      </c>
      <c r="R2290" t="s">
        <v>31</v>
      </c>
      <c r="S2290" t="s">
        <v>32</v>
      </c>
    </row>
    <row r="2291" spans="1:19" x14ac:dyDescent="0.45">
      <c r="A2291" t="str">
        <f>"29801"</f>
        <v>29801</v>
      </c>
      <c r="B2291" t="s">
        <v>2370</v>
      </c>
      <c r="C2291" t="str">
        <f>"37503"</f>
        <v>37503</v>
      </c>
      <c r="D2291" t="s">
        <v>3018</v>
      </c>
      <c r="E2291" t="str">
        <f>"5021"</f>
        <v>5021</v>
      </c>
      <c r="F2291" t="s">
        <v>12653</v>
      </c>
      <c r="G2291" t="s">
        <v>70</v>
      </c>
      <c r="H2291">
        <v>11</v>
      </c>
      <c r="I2291" t="s">
        <v>12654</v>
      </c>
      <c r="K2291" t="s">
        <v>3021</v>
      </c>
      <c r="L2291" t="s">
        <v>25</v>
      </c>
      <c r="M2291">
        <v>98230</v>
      </c>
      <c r="N2291" t="s">
        <v>12655</v>
      </c>
      <c r="O2291" t="s">
        <v>12656</v>
      </c>
      <c r="P2291" t="s">
        <v>12657</v>
      </c>
      <c r="Q2291" t="s">
        <v>157</v>
      </c>
      <c r="R2291" t="s">
        <v>158</v>
      </c>
      <c r="S2291" t="s">
        <v>159</v>
      </c>
    </row>
    <row r="2292" spans="1:19" x14ac:dyDescent="0.45">
      <c r="A2292" t="str">
        <f>"17801"</f>
        <v>17801</v>
      </c>
      <c r="B2292" t="s">
        <v>19</v>
      </c>
      <c r="C2292" t="str">
        <f>"27320"</f>
        <v>27320</v>
      </c>
      <c r="D2292" t="s">
        <v>4328</v>
      </c>
      <c r="E2292" t="str">
        <f>"4585"</f>
        <v>4585</v>
      </c>
      <c r="F2292" t="s">
        <v>12658</v>
      </c>
      <c r="G2292">
        <v>9</v>
      </c>
      <c r="H2292">
        <v>12</v>
      </c>
      <c r="I2292" t="s">
        <v>12659</v>
      </c>
      <c r="K2292" t="s">
        <v>4331</v>
      </c>
      <c r="L2292" t="s">
        <v>25</v>
      </c>
      <c r="M2292">
        <v>98391</v>
      </c>
      <c r="N2292" t="s">
        <v>12660</v>
      </c>
      <c r="O2292" t="s">
        <v>12661</v>
      </c>
      <c r="P2292" t="s">
        <v>12662</v>
      </c>
      <c r="Q2292" t="s">
        <v>30</v>
      </c>
      <c r="R2292" t="s">
        <v>31</v>
      </c>
      <c r="S2292" t="s">
        <v>58</v>
      </c>
    </row>
    <row r="2293" spans="1:19" x14ac:dyDescent="0.45">
      <c r="A2293" t="str">
        <f>"06801"</f>
        <v>06801</v>
      </c>
      <c r="B2293" t="s">
        <v>1870</v>
      </c>
      <c r="C2293" t="str">
        <f>"08122"</f>
        <v>08122</v>
      </c>
      <c r="D2293" t="s">
        <v>2303</v>
      </c>
      <c r="E2293" t="str">
        <f>"4574"</f>
        <v>4574</v>
      </c>
      <c r="F2293" t="s">
        <v>12663</v>
      </c>
      <c r="G2293">
        <v>6</v>
      </c>
      <c r="H2293">
        <v>8</v>
      </c>
      <c r="I2293" t="s">
        <v>12664</v>
      </c>
      <c r="K2293" t="s">
        <v>2306</v>
      </c>
      <c r="L2293" t="s">
        <v>25</v>
      </c>
      <c r="M2293">
        <v>98632</v>
      </c>
      <c r="N2293" t="s">
        <v>12665</v>
      </c>
      <c r="O2293" t="s">
        <v>12666</v>
      </c>
      <c r="P2293" t="s">
        <v>12667</v>
      </c>
      <c r="Q2293" t="s">
        <v>30</v>
      </c>
      <c r="R2293" t="s">
        <v>31</v>
      </c>
      <c r="S2293" t="s">
        <v>104</v>
      </c>
    </row>
    <row r="2294" spans="1:19" x14ac:dyDescent="0.45">
      <c r="A2294" t="str">
        <f>"17801"</f>
        <v>17801</v>
      </c>
      <c r="B2294" t="s">
        <v>19</v>
      </c>
      <c r="C2294" t="str">
        <f>"27400"</f>
        <v>27400</v>
      </c>
      <c r="D2294" t="s">
        <v>2226</v>
      </c>
      <c r="E2294" t="str">
        <f>"5027"</f>
        <v>5027</v>
      </c>
      <c r="F2294" t="s">
        <v>12668</v>
      </c>
      <c r="G2294">
        <v>6</v>
      </c>
      <c r="H2294">
        <v>12</v>
      </c>
      <c r="I2294" t="s">
        <v>12669</v>
      </c>
      <c r="K2294" t="s">
        <v>2230</v>
      </c>
      <c r="L2294" t="s">
        <v>25</v>
      </c>
      <c r="M2294">
        <v>98499</v>
      </c>
      <c r="N2294" t="s">
        <v>12670</v>
      </c>
      <c r="O2294" t="s">
        <v>12671</v>
      </c>
      <c r="P2294" t="s">
        <v>12672</v>
      </c>
      <c r="Q2294" t="s">
        <v>30</v>
      </c>
      <c r="R2294" t="s">
        <v>31</v>
      </c>
      <c r="S2294" t="s">
        <v>159</v>
      </c>
    </row>
    <row r="2295" spans="1:19" x14ac:dyDescent="0.45">
      <c r="A2295" t="str">
        <f>"17801"</f>
        <v>17801</v>
      </c>
      <c r="B2295" t="s">
        <v>19</v>
      </c>
      <c r="C2295" t="str">
        <f>"17401"</f>
        <v>17401</v>
      </c>
      <c r="D2295" t="s">
        <v>149</v>
      </c>
      <c r="E2295" t="str">
        <f>"5028"</f>
        <v>5028</v>
      </c>
      <c r="F2295" t="s">
        <v>12673</v>
      </c>
      <c r="G2295">
        <v>6</v>
      </c>
      <c r="H2295">
        <v>12</v>
      </c>
      <c r="I2295" t="s">
        <v>12674</v>
      </c>
      <c r="K2295" t="s">
        <v>176</v>
      </c>
      <c r="L2295" t="s">
        <v>25</v>
      </c>
      <c r="M2295">
        <v>98148</v>
      </c>
      <c r="N2295" t="s">
        <v>12675</v>
      </c>
      <c r="O2295" t="s">
        <v>12676</v>
      </c>
      <c r="P2295" t="s">
        <v>12677</v>
      </c>
      <c r="Q2295" t="s">
        <v>157</v>
      </c>
      <c r="R2295" t="s">
        <v>158</v>
      </c>
      <c r="S2295" t="s">
        <v>159</v>
      </c>
    </row>
    <row r="2296" spans="1:19" x14ac:dyDescent="0.45">
      <c r="A2296" t="str">
        <f>"17801"</f>
        <v>17801</v>
      </c>
      <c r="B2296" t="s">
        <v>19</v>
      </c>
      <c r="C2296" t="str">
        <f>"17210"</f>
        <v>17210</v>
      </c>
      <c r="D2296" t="s">
        <v>20</v>
      </c>
      <c r="E2296" t="str">
        <f>"5029"</f>
        <v>5029</v>
      </c>
      <c r="F2296" t="s">
        <v>12678</v>
      </c>
      <c r="G2296">
        <v>6</v>
      </c>
      <c r="H2296">
        <v>8</v>
      </c>
      <c r="I2296" t="s">
        <v>12679</v>
      </c>
      <c r="K2296" t="s">
        <v>4320</v>
      </c>
      <c r="L2296" t="s">
        <v>25</v>
      </c>
      <c r="M2296" t="s">
        <v>12680</v>
      </c>
      <c r="N2296" t="s">
        <v>12681</v>
      </c>
      <c r="O2296" t="s">
        <v>12682</v>
      </c>
      <c r="P2296" t="s">
        <v>12683</v>
      </c>
      <c r="Q2296" t="s">
        <v>30</v>
      </c>
      <c r="R2296" t="s">
        <v>31</v>
      </c>
      <c r="S2296" t="s">
        <v>104</v>
      </c>
    </row>
    <row r="2297" spans="1:19" x14ac:dyDescent="0.45">
      <c r="A2297" t="str">
        <f>"18801"</f>
        <v>18801</v>
      </c>
      <c r="B2297" t="s">
        <v>1731</v>
      </c>
      <c r="C2297" t="str">
        <f>"05313"</f>
        <v>05313</v>
      </c>
      <c r="D2297" t="s">
        <v>1786</v>
      </c>
      <c r="E2297" t="str">
        <f>"5030"</f>
        <v>5030</v>
      </c>
      <c r="F2297" t="s">
        <v>12684</v>
      </c>
      <c r="G2297" t="s">
        <v>70</v>
      </c>
      <c r="H2297">
        <v>12</v>
      </c>
      <c r="I2297" t="s">
        <v>12685</v>
      </c>
      <c r="K2297" t="s">
        <v>1789</v>
      </c>
      <c r="L2297" t="s">
        <v>25</v>
      </c>
      <c r="M2297">
        <v>98343</v>
      </c>
      <c r="N2297" t="s">
        <v>1791</v>
      </c>
      <c r="O2297" t="s">
        <v>1792</v>
      </c>
      <c r="P2297" t="s">
        <v>1793</v>
      </c>
      <c r="Q2297" t="s">
        <v>157</v>
      </c>
      <c r="R2297" t="s">
        <v>158</v>
      </c>
      <c r="S2297" t="s">
        <v>330</v>
      </c>
    </row>
    <row r="2298" spans="1:19" x14ac:dyDescent="0.45">
      <c r="A2298" t="str">
        <f>"34801"</f>
        <v>34801</v>
      </c>
      <c r="B2298" t="s">
        <v>2257</v>
      </c>
      <c r="C2298" t="str">
        <f>"14077"</f>
        <v>14077</v>
      </c>
      <c r="D2298" t="s">
        <v>4832</v>
      </c>
      <c r="E2298" t="str">
        <f>"5032"</f>
        <v>5032</v>
      </c>
      <c r="F2298" t="s">
        <v>12686</v>
      </c>
      <c r="G2298" t="s">
        <v>70</v>
      </c>
      <c r="H2298">
        <v>8</v>
      </c>
      <c r="I2298" t="s">
        <v>4834</v>
      </c>
      <c r="K2298" t="s">
        <v>4835</v>
      </c>
      <c r="L2298" t="s">
        <v>25</v>
      </c>
      <c r="M2298" t="s">
        <v>4836</v>
      </c>
      <c r="N2298" t="s">
        <v>4837</v>
      </c>
      <c r="O2298" t="s">
        <v>4838</v>
      </c>
      <c r="P2298" t="s">
        <v>4839</v>
      </c>
      <c r="Q2298" t="s">
        <v>30</v>
      </c>
      <c r="R2298" t="s">
        <v>31</v>
      </c>
      <c r="S2298" t="s">
        <v>159</v>
      </c>
    </row>
    <row r="2299" spans="1:19" x14ac:dyDescent="0.45">
      <c r="A2299" t="str">
        <f>"17801"</f>
        <v>17801</v>
      </c>
      <c r="B2299" t="s">
        <v>19</v>
      </c>
      <c r="C2299" t="str">
        <f>"27403"</f>
        <v>27403</v>
      </c>
      <c r="D2299" t="s">
        <v>2606</v>
      </c>
      <c r="E2299" t="str">
        <f>"5033"</f>
        <v>5033</v>
      </c>
      <c r="F2299" t="s">
        <v>12687</v>
      </c>
      <c r="G2299">
        <v>9</v>
      </c>
      <c r="H2299">
        <v>12</v>
      </c>
      <c r="I2299" t="s">
        <v>12688</v>
      </c>
      <c r="K2299" t="s">
        <v>8579</v>
      </c>
      <c r="L2299" t="s">
        <v>25</v>
      </c>
      <c r="M2299">
        <v>98338</v>
      </c>
      <c r="N2299" t="s">
        <v>12689</v>
      </c>
      <c r="O2299" t="s">
        <v>12690</v>
      </c>
      <c r="P2299" t="s">
        <v>12691</v>
      </c>
      <c r="Q2299" t="s">
        <v>30</v>
      </c>
      <c r="R2299" t="s">
        <v>31</v>
      </c>
      <c r="S2299" t="s">
        <v>58</v>
      </c>
    </row>
    <row r="2300" spans="1:19" x14ac:dyDescent="0.45">
      <c r="A2300" t="str">
        <f>"29801"</f>
        <v>29801</v>
      </c>
      <c r="B2300" t="s">
        <v>2370</v>
      </c>
      <c r="C2300" t="str">
        <f>"15204"</f>
        <v>15204</v>
      </c>
      <c r="D2300" t="s">
        <v>2775</v>
      </c>
      <c r="E2300" t="str">
        <f>"5034"</f>
        <v>5034</v>
      </c>
      <c r="F2300" t="s">
        <v>12692</v>
      </c>
      <c r="G2300" t="s">
        <v>22</v>
      </c>
      <c r="H2300" t="s">
        <v>22</v>
      </c>
      <c r="I2300" t="s">
        <v>12693</v>
      </c>
      <c r="K2300" t="s">
        <v>2448</v>
      </c>
      <c r="L2300" t="s">
        <v>25</v>
      </c>
      <c r="M2300" t="s">
        <v>12694</v>
      </c>
      <c r="N2300" t="s">
        <v>12695</v>
      </c>
      <c r="O2300" t="s">
        <v>12696</v>
      </c>
      <c r="P2300" t="s">
        <v>12697</v>
      </c>
      <c r="Q2300" t="s">
        <v>66</v>
      </c>
      <c r="R2300" t="s">
        <v>67</v>
      </c>
      <c r="S2300" t="s">
        <v>1248</v>
      </c>
    </row>
    <row r="2301" spans="1:19" x14ac:dyDescent="0.45">
      <c r="A2301" t="str">
        <f>"32801"</f>
        <v>32801</v>
      </c>
      <c r="B2301" t="s">
        <v>1108</v>
      </c>
      <c r="C2301" t="str">
        <f>"32360"</f>
        <v>32360</v>
      </c>
      <c r="D2301" t="s">
        <v>2217</v>
      </c>
      <c r="E2301" t="str">
        <f>"5035"</f>
        <v>5035</v>
      </c>
      <c r="F2301" t="s">
        <v>12698</v>
      </c>
      <c r="G2301" t="s">
        <v>70</v>
      </c>
      <c r="H2301">
        <v>12</v>
      </c>
      <c r="I2301" t="s">
        <v>12699</v>
      </c>
      <c r="K2301" t="s">
        <v>2220</v>
      </c>
      <c r="L2301" t="s">
        <v>25</v>
      </c>
      <c r="M2301">
        <v>99004</v>
      </c>
      <c r="N2301" t="s">
        <v>2552</v>
      </c>
      <c r="O2301" t="s">
        <v>12700</v>
      </c>
      <c r="P2301" t="s">
        <v>12701</v>
      </c>
      <c r="Q2301" t="s">
        <v>157</v>
      </c>
      <c r="R2301" t="s">
        <v>158</v>
      </c>
      <c r="S2301" t="s">
        <v>330</v>
      </c>
    </row>
    <row r="2302" spans="1:19" x14ac:dyDescent="0.45">
      <c r="A2302" t="str">
        <f>"17801"</f>
        <v>17801</v>
      </c>
      <c r="B2302" t="s">
        <v>19</v>
      </c>
      <c r="C2302" t="str">
        <f>"17408"</f>
        <v>17408</v>
      </c>
      <c r="D2302" t="s">
        <v>706</v>
      </c>
      <c r="E2302" t="str">
        <f>"5037"</f>
        <v>5037</v>
      </c>
      <c r="F2302" t="s">
        <v>12702</v>
      </c>
      <c r="G2302">
        <v>9</v>
      </c>
      <c r="H2302">
        <v>12</v>
      </c>
      <c r="I2302" t="s">
        <v>12703</v>
      </c>
      <c r="K2302" t="s">
        <v>4320</v>
      </c>
      <c r="L2302" t="s">
        <v>25</v>
      </c>
      <c r="M2302" t="s">
        <v>12704</v>
      </c>
      <c r="N2302" t="s">
        <v>12705</v>
      </c>
      <c r="O2302" t="s">
        <v>12706</v>
      </c>
      <c r="P2302" t="s">
        <v>12707</v>
      </c>
      <c r="Q2302" t="s">
        <v>30</v>
      </c>
      <c r="R2302" t="s">
        <v>31</v>
      </c>
      <c r="S2302" t="s">
        <v>58</v>
      </c>
    </row>
    <row r="2303" spans="1:19" x14ac:dyDescent="0.45">
      <c r="A2303" t="str">
        <f>"29801"</f>
        <v>29801</v>
      </c>
      <c r="B2303" t="s">
        <v>2370</v>
      </c>
      <c r="C2303" t="str">
        <f>"31103"</f>
        <v>31103</v>
      </c>
      <c r="D2303" t="s">
        <v>9709</v>
      </c>
      <c r="E2303" t="str">
        <f>"5040"</f>
        <v>5040</v>
      </c>
      <c r="F2303" t="s">
        <v>12708</v>
      </c>
      <c r="G2303">
        <v>6</v>
      </c>
      <c r="H2303">
        <v>8</v>
      </c>
      <c r="I2303" t="s">
        <v>12709</v>
      </c>
      <c r="K2303" t="s">
        <v>9719</v>
      </c>
      <c r="L2303" t="s">
        <v>25</v>
      </c>
      <c r="M2303">
        <v>98272</v>
      </c>
      <c r="N2303" t="s">
        <v>12710</v>
      </c>
      <c r="O2303" t="s">
        <v>12711</v>
      </c>
      <c r="P2303" t="s">
        <v>12712</v>
      </c>
      <c r="Q2303" t="s">
        <v>30</v>
      </c>
      <c r="R2303" t="s">
        <v>31</v>
      </c>
      <c r="S2303" t="s">
        <v>104</v>
      </c>
    </row>
    <row r="2304" spans="1:19" x14ac:dyDescent="0.45">
      <c r="A2304" t="str">
        <f>"32801"</f>
        <v>32801</v>
      </c>
      <c r="B2304" t="s">
        <v>1108</v>
      </c>
      <c r="C2304" t="str">
        <f>"32326"</f>
        <v>32326</v>
      </c>
      <c r="D2304" t="s">
        <v>10349</v>
      </c>
      <c r="E2304" t="str">
        <f>"5042"</f>
        <v>5042</v>
      </c>
      <c r="F2304" t="s">
        <v>12713</v>
      </c>
      <c r="G2304">
        <v>6</v>
      </c>
      <c r="H2304">
        <v>12</v>
      </c>
      <c r="I2304" t="s">
        <v>7567</v>
      </c>
      <c r="K2304" t="s">
        <v>12714</v>
      </c>
      <c r="L2304" t="s">
        <v>25</v>
      </c>
      <c r="M2304" t="s">
        <v>10352</v>
      </c>
      <c r="N2304" t="s">
        <v>12715</v>
      </c>
      <c r="O2304" t="s">
        <v>12716</v>
      </c>
      <c r="P2304" t="s">
        <v>12717</v>
      </c>
      <c r="Q2304" t="s">
        <v>157</v>
      </c>
      <c r="R2304" t="s">
        <v>158</v>
      </c>
      <c r="S2304" t="s">
        <v>58</v>
      </c>
    </row>
    <row r="2305" spans="1:19" x14ac:dyDescent="0.45">
      <c r="A2305" t="str">
        <f>"32801"</f>
        <v>32801</v>
      </c>
      <c r="B2305" t="s">
        <v>1108</v>
      </c>
      <c r="C2305" t="str">
        <f>"32356"</f>
        <v>32356</v>
      </c>
      <c r="D2305" t="s">
        <v>2362</v>
      </c>
      <c r="E2305" t="str">
        <f>"5043"</f>
        <v>5043</v>
      </c>
      <c r="F2305" t="s">
        <v>12718</v>
      </c>
      <c r="G2305" t="s">
        <v>22</v>
      </c>
      <c r="H2305" t="s">
        <v>22</v>
      </c>
      <c r="I2305" t="s">
        <v>10522</v>
      </c>
      <c r="J2305" t="s">
        <v>12719</v>
      </c>
      <c r="K2305" t="s">
        <v>2365</v>
      </c>
      <c r="L2305" t="s">
        <v>25</v>
      </c>
      <c r="M2305" t="s">
        <v>12720</v>
      </c>
      <c r="N2305" t="s">
        <v>12721</v>
      </c>
      <c r="O2305" t="s">
        <v>12722</v>
      </c>
      <c r="P2305" t="s">
        <v>12723</v>
      </c>
      <c r="Q2305" t="s">
        <v>66</v>
      </c>
      <c r="R2305" t="s">
        <v>67</v>
      </c>
      <c r="S2305" t="s">
        <v>1248</v>
      </c>
    </row>
    <row r="2306" spans="1:19" x14ac:dyDescent="0.45">
      <c r="A2306" t="str">
        <f>"17801"</f>
        <v>17801</v>
      </c>
      <c r="B2306" t="s">
        <v>19</v>
      </c>
      <c r="C2306" t="str">
        <f>"27416"</f>
        <v>27416</v>
      </c>
      <c r="D2306" t="s">
        <v>2421</v>
      </c>
      <c r="E2306" t="str">
        <f>"5045"</f>
        <v>5045</v>
      </c>
      <c r="F2306" t="s">
        <v>12724</v>
      </c>
      <c r="G2306" t="s">
        <v>22</v>
      </c>
      <c r="H2306" t="s">
        <v>70</v>
      </c>
      <c r="I2306" t="s">
        <v>12725</v>
      </c>
      <c r="K2306" t="s">
        <v>2424</v>
      </c>
      <c r="L2306" t="s">
        <v>25</v>
      </c>
      <c r="M2306">
        <v>98321</v>
      </c>
      <c r="N2306" t="s">
        <v>12726</v>
      </c>
      <c r="O2306" t="s">
        <v>12727</v>
      </c>
      <c r="P2306" t="s">
        <v>12728</v>
      </c>
      <c r="Q2306" t="s">
        <v>66</v>
      </c>
      <c r="R2306" t="s">
        <v>67</v>
      </c>
      <c r="S2306" t="s">
        <v>32</v>
      </c>
    </row>
    <row r="2307" spans="1:19" x14ac:dyDescent="0.45">
      <c r="A2307" t="str">
        <f>"17801"</f>
        <v>17801</v>
      </c>
      <c r="B2307" t="s">
        <v>19</v>
      </c>
      <c r="C2307" t="str">
        <f>"17001"</f>
        <v>17001</v>
      </c>
      <c r="D2307" t="s">
        <v>2209</v>
      </c>
      <c r="E2307" t="str">
        <f>"5046"</f>
        <v>5046</v>
      </c>
      <c r="F2307" t="s">
        <v>12729</v>
      </c>
      <c r="G2307" t="s">
        <v>22</v>
      </c>
      <c r="H2307">
        <v>12</v>
      </c>
      <c r="I2307" t="s">
        <v>5067</v>
      </c>
      <c r="J2307" t="s">
        <v>12730</v>
      </c>
      <c r="K2307" t="s">
        <v>152</v>
      </c>
      <c r="L2307" t="s">
        <v>25</v>
      </c>
      <c r="M2307" t="s">
        <v>5069</v>
      </c>
      <c r="N2307" t="s">
        <v>8261</v>
      </c>
      <c r="O2307" t="s">
        <v>12731</v>
      </c>
      <c r="P2307" t="s">
        <v>12732</v>
      </c>
      <c r="Q2307" t="s">
        <v>66</v>
      </c>
      <c r="R2307" t="s">
        <v>67</v>
      </c>
      <c r="S2307" t="s">
        <v>68</v>
      </c>
    </row>
    <row r="2308" spans="1:19" x14ac:dyDescent="0.45">
      <c r="A2308" t="str">
        <f>"29801"</f>
        <v>29801</v>
      </c>
      <c r="B2308" t="s">
        <v>2370</v>
      </c>
      <c r="C2308" t="str">
        <f>"37505"</f>
        <v>37505</v>
      </c>
      <c r="D2308" t="s">
        <v>2928</v>
      </c>
      <c r="E2308" t="str">
        <f>"5047"</f>
        <v>5047</v>
      </c>
      <c r="F2308" t="s">
        <v>12733</v>
      </c>
      <c r="G2308" t="s">
        <v>70</v>
      </c>
      <c r="H2308">
        <v>8</v>
      </c>
      <c r="I2308" t="s">
        <v>12734</v>
      </c>
      <c r="K2308" t="s">
        <v>2440</v>
      </c>
      <c r="L2308" t="s">
        <v>25</v>
      </c>
      <c r="M2308">
        <v>98226</v>
      </c>
      <c r="N2308" t="s">
        <v>12735</v>
      </c>
      <c r="O2308" t="s">
        <v>12736</v>
      </c>
      <c r="P2308" t="s">
        <v>12737</v>
      </c>
      <c r="Q2308" t="s">
        <v>157</v>
      </c>
      <c r="R2308" t="s">
        <v>158</v>
      </c>
      <c r="S2308" t="s">
        <v>159</v>
      </c>
    </row>
    <row r="2309" spans="1:19" x14ac:dyDescent="0.45">
      <c r="A2309" t="str">
        <f>"17801"</f>
        <v>17801</v>
      </c>
      <c r="B2309" t="s">
        <v>19</v>
      </c>
      <c r="C2309" t="str">
        <f>"17001"</f>
        <v>17001</v>
      </c>
      <c r="D2309" t="s">
        <v>2209</v>
      </c>
      <c r="E2309" t="str">
        <f>"5048"</f>
        <v>5048</v>
      </c>
      <c r="F2309" t="s">
        <v>12738</v>
      </c>
      <c r="G2309" t="s">
        <v>22</v>
      </c>
      <c r="H2309" t="s">
        <v>22</v>
      </c>
      <c r="I2309" t="s">
        <v>12739</v>
      </c>
      <c r="K2309" t="s">
        <v>152</v>
      </c>
      <c r="L2309" t="s">
        <v>25</v>
      </c>
      <c r="M2309" t="s">
        <v>5069</v>
      </c>
      <c r="N2309" t="s">
        <v>12740</v>
      </c>
      <c r="O2309" t="s">
        <v>12741</v>
      </c>
      <c r="P2309" t="s">
        <v>12742</v>
      </c>
      <c r="Q2309" t="s">
        <v>66</v>
      </c>
      <c r="R2309" t="s">
        <v>67</v>
      </c>
      <c r="S2309" t="s">
        <v>1248</v>
      </c>
    </row>
    <row r="2310" spans="1:19" x14ac:dyDescent="0.45">
      <c r="A2310" t="str">
        <f>"39801"</f>
        <v>39801</v>
      </c>
      <c r="B2310" t="s">
        <v>2395</v>
      </c>
      <c r="C2310" t="str">
        <f>"39201"</f>
        <v>39201</v>
      </c>
      <c r="D2310" t="s">
        <v>2495</v>
      </c>
      <c r="E2310" t="str">
        <f>"5049"</f>
        <v>5049</v>
      </c>
      <c r="F2310" t="s">
        <v>12743</v>
      </c>
      <c r="G2310">
        <v>6</v>
      </c>
      <c r="H2310">
        <v>8</v>
      </c>
      <c r="I2310" t="s">
        <v>12744</v>
      </c>
      <c r="K2310" t="s">
        <v>2498</v>
      </c>
      <c r="L2310" t="s">
        <v>25</v>
      </c>
      <c r="M2310">
        <v>98944</v>
      </c>
      <c r="N2310" t="s">
        <v>12745</v>
      </c>
      <c r="O2310" t="s">
        <v>12746</v>
      </c>
      <c r="P2310" t="s">
        <v>12747</v>
      </c>
      <c r="Q2310" t="s">
        <v>30</v>
      </c>
      <c r="R2310" t="s">
        <v>31</v>
      </c>
      <c r="S2310" t="s">
        <v>104</v>
      </c>
    </row>
    <row r="2311" spans="1:19" x14ac:dyDescent="0.45">
      <c r="A2311" t="str">
        <f>"17801"</f>
        <v>17801</v>
      </c>
      <c r="B2311" t="s">
        <v>19</v>
      </c>
      <c r="C2311" t="str">
        <f>"17408"</f>
        <v>17408</v>
      </c>
      <c r="D2311" t="s">
        <v>706</v>
      </c>
      <c r="E2311" t="str">
        <f>"5051"</f>
        <v>5051</v>
      </c>
      <c r="F2311" t="s">
        <v>12748</v>
      </c>
      <c r="G2311" t="s">
        <v>70</v>
      </c>
      <c r="H2311">
        <v>5</v>
      </c>
      <c r="I2311" t="s">
        <v>12749</v>
      </c>
      <c r="K2311" t="s">
        <v>47</v>
      </c>
      <c r="L2311" t="s">
        <v>25</v>
      </c>
      <c r="M2311" t="s">
        <v>12750</v>
      </c>
      <c r="N2311" t="s">
        <v>12751</v>
      </c>
      <c r="O2311" t="s">
        <v>12752</v>
      </c>
      <c r="P2311" t="s">
        <v>12753</v>
      </c>
      <c r="Q2311" t="s">
        <v>30</v>
      </c>
      <c r="R2311" t="s">
        <v>31</v>
      </c>
      <c r="S2311" t="s">
        <v>32</v>
      </c>
    </row>
    <row r="2312" spans="1:19" x14ac:dyDescent="0.45">
      <c r="A2312" t="str">
        <f>"34801"</f>
        <v>34801</v>
      </c>
      <c r="B2312" t="s">
        <v>2257</v>
      </c>
      <c r="C2312" t="str">
        <f>"34002"</f>
        <v>34002</v>
      </c>
      <c r="D2312" t="s">
        <v>10891</v>
      </c>
      <c r="E2312" t="str">
        <f>"5052"</f>
        <v>5052</v>
      </c>
      <c r="F2312" t="s">
        <v>12754</v>
      </c>
      <c r="G2312">
        <v>6</v>
      </c>
      <c r="H2312">
        <v>8</v>
      </c>
      <c r="I2312" t="s">
        <v>10915</v>
      </c>
      <c r="K2312" t="s">
        <v>10894</v>
      </c>
      <c r="L2312" t="s">
        <v>25</v>
      </c>
      <c r="M2312">
        <v>98597</v>
      </c>
      <c r="N2312" t="s">
        <v>12755</v>
      </c>
      <c r="O2312" t="s">
        <v>12756</v>
      </c>
      <c r="P2312" t="s">
        <v>12757</v>
      </c>
      <c r="Q2312" t="s">
        <v>30</v>
      </c>
      <c r="R2312" t="s">
        <v>31</v>
      </c>
      <c r="S2312" t="s">
        <v>104</v>
      </c>
    </row>
    <row r="2313" spans="1:19" x14ac:dyDescent="0.45">
      <c r="A2313" t="str">
        <f>"17801"</f>
        <v>17801</v>
      </c>
      <c r="B2313" t="s">
        <v>19</v>
      </c>
      <c r="C2313" t="str">
        <f>"17414"</f>
        <v>17414</v>
      </c>
      <c r="D2313" t="s">
        <v>4253</v>
      </c>
      <c r="E2313" t="str">
        <f>"5053"</f>
        <v>5053</v>
      </c>
      <c r="F2313" t="s">
        <v>12758</v>
      </c>
      <c r="G2313" t="s">
        <v>70</v>
      </c>
      <c r="H2313">
        <v>5</v>
      </c>
      <c r="I2313" t="s">
        <v>12759</v>
      </c>
      <c r="K2313" t="s">
        <v>4256</v>
      </c>
      <c r="L2313" t="s">
        <v>25</v>
      </c>
      <c r="M2313" t="s">
        <v>12760</v>
      </c>
      <c r="N2313" t="s">
        <v>12761</v>
      </c>
      <c r="O2313" t="s">
        <v>12762</v>
      </c>
      <c r="P2313" t="s">
        <v>12763</v>
      </c>
      <c r="Q2313" t="s">
        <v>30</v>
      </c>
      <c r="R2313" t="s">
        <v>31</v>
      </c>
      <c r="S2313" t="s">
        <v>32</v>
      </c>
    </row>
    <row r="2314" spans="1:19" x14ac:dyDescent="0.45">
      <c r="A2314" t="str">
        <f>"06801"</f>
        <v>06801</v>
      </c>
      <c r="B2314" t="s">
        <v>1870</v>
      </c>
      <c r="C2314" t="str">
        <f>"06117"</f>
        <v>06117</v>
      </c>
      <c r="D2314" t="s">
        <v>2285</v>
      </c>
      <c r="E2314" t="str">
        <f>"5054"</f>
        <v>5054</v>
      </c>
      <c r="F2314" t="s">
        <v>12764</v>
      </c>
      <c r="G2314">
        <v>6</v>
      </c>
      <c r="H2314">
        <v>8</v>
      </c>
      <c r="I2314" t="s">
        <v>12765</v>
      </c>
      <c r="K2314" t="s">
        <v>2288</v>
      </c>
      <c r="L2314" t="s">
        <v>25</v>
      </c>
      <c r="M2314">
        <v>98607</v>
      </c>
      <c r="N2314" t="s">
        <v>12766</v>
      </c>
      <c r="O2314" t="s">
        <v>12767</v>
      </c>
      <c r="P2314" t="s">
        <v>12768</v>
      </c>
      <c r="Q2314" t="s">
        <v>30</v>
      </c>
      <c r="R2314" t="s">
        <v>31</v>
      </c>
      <c r="S2314" t="s">
        <v>104</v>
      </c>
    </row>
    <row r="2315" spans="1:19" x14ac:dyDescent="0.45">
      <c r="A2315" t="str">
        <f>"06801"</f>
        <v>06801</v>
      </c>
      <c r="B2315" t="s">
        <v>1870</v>
      </c>
      <c r="C2315" t="str">
        <f>"06117"</f>
        <v>06117</v>
      </c>
      <c r="D2315" t="s">
        <v>2285</v>
      </c>
      <c r="E2315" t="str">
        <f>"5055"</f>
        <v>5055</v>
      </c>
      <c r="F2315" t="s">
        <v>12769</v>
      </c>
      <c r="G2315" t="s">
        <v>22</v>
      </c>
      <c r="H2315" t="s">
        <v>22</v>
      </c>
      <c r="I2315" t="s">
        <v>12770</v>
      </c>
      <c r="K2315" t="s">
        <v>2288</v>
      </c>
      <c r="L2315" t="s">
        <v>25</v>
      </c>
      <c r="M2315">
        <v>98607</v>
      </c>
      <c r="N2315" t="s">
        <v>4551</v>
      </c>
      <c r="O2315" t="s">
        <v>4552</v>
      </c>
      <c r="P2315" t="s">
        <v>12771</v>
      </c>
      <c r="Q2315" t="s">
        <v>30</v>
      </c>
      <c r="R2315" t="s">
        <v>31</v>
      </c>
      <c r="S2315" t="s">
        <v>1248</v>
      </c>
    </row>
    <row r="2316" spans="1:19" x14ac:dyDescent="0.45">
      <c r="A2316" t="str">
        <f>"17801"</f>
        <v>17801</v>
      </c>
      <c r="B2316" t="s">
        <v>19</v>
      </c>
      <c r="C2316" t="str">
        <f>"17411"</f>
        <v>17411</v>
      </c>
      <c r="D2316" t="s">
        <v>910</v>
      </c>
      <c r="E2316" t="str">
        <f>"5056"</f>
        <v>5056</v>
      </c>
      <c r="F2316" t="s">
        <v>12772</v>
      </c>
      <c r="G2316" t="s">
        <v>70</v>
      </c>
      <c r="H2316">
        <v>5</v>
      </c>
      <c r="I2316" t="s">
        <v>12773</v>
      </c>
      <c r="K2316" t="s">
        <v>2871</v>
      </c>
      <c r="L2316" t="s">
        <v>25</v>
      </c>
      <c r="M2316">
        <v>98029</v>
      </c>
      <c r="N2316" t="s">
        <v>12774</v>
      </c>
      <c r="O2316" t="s">
        <v>12775</v>
      </c>
      <c r="P2316" t="s">
        <v>12776</v>
      </c>
      <c r="Q2316" t="s">
        <v>30</v>
      </c>
      <c r="R2316" t="s">
        <v>31</v>
      </c>
      <c r="S2316" t="s">
        <v>32</v>
      </c>
    </row>
    <row r="2317" spans="1:19" x14ac:dyDescent="0.45">
      <c r="A2317" t="str">
        <f>"17801"</f>
        <v>17801</v>
      </c>
      <c r="B2317" t="s">
        <v>19</v>
      </c>
      <c r="C2317" t="str">
        <f>"17414"</f>
        <v>17414</v>
      </c>
      <c r="D2317" t="s">
        <v>4253</v>
      </c>
      <c r="E2317" t="str">
        <f>"5057"</f>
        <v>5057</v>
      </c>
      <c r="F2317" t="s">
        <v>12777</v>
      </c>
      <c r="G2317">
        <v>6</v>
      </c>
      <c r="H2317">
        <v>8</v>
      </c>
      <c r="I2317" t="s">
        <v>12778</v>
      </c>
      <c r="K2317" t="s">
        <v>5962</v>
      </c>
      <c r="L2317" t="s">
        <v>25</v>
      </c>
      <c r="M2317">
        <v>98074</v>
      </c>
      <c r="N2317" t="s">
        <v>6021</v>
      </c>
      <c r="O2317" t="s">
        <v>12779</v>
      </c>
      <c r="P2317" t="s">
        <v>12780</v>
      </c>
      <c r="Q2317" t="s">
        <v>157</v>
      </c>
      <c r="R2317" t="s">
        <v>158</v>
      </c>
      <c r="S2317" t="s">
        <v>104</v>
      </c>
    </row>
    <row r="2318" spans="1:19" x14ac:dyDescent="0.45">
      <c r="A2318" t="str">
        <f>"29801"</f>
        <v>29801</v>
      </c>
      <c r="B2318" t="s">
        <v>2370</v>
      </c>
      <c r="C2318" t="str">
        <f>"29101"</f>
        <v>29101</v>
      </c>
      <c r="D2318" t="s">
        <v>2967</v>
      </c>
      <c r="E2318" t="str">
        <f>"5058"</f>
        <v>5058</v>
      </c>
      <c r="F2318" t="s">
        <v>12781</v>
      </c>
      <c r="G2318" t="s">
        <v>22</v>
      </c>
      <c r="H2318" t="s">
        <v>22</v>
      </c>
      <c r="I2318" t="s">
        <v>12782</v>
      </c>
      <c r="K2318" t="s">
        <v>2970</v>
      </c>
      <c r="L2318" t="s">
        <v>25</v>
      </c>
      <c r="M2318">
        <v>98273</v>
      </c>
      <c r="N2318" t="s">
        <v>12783</v>
      </c>
      <c r="O2318" t="s">
        <v>12784</v>
      </c>
      <c r="P2318" t="s">
        <v>12785</v>
      </c>
      <c r="Q2318" t="s">
        <v>66</v>
      </c>
      <c r="R2318" t="s">
        <v>67</v>
      </c>
      <c r="S2318" t="s">
        <v>1248</v>
      </c>
    </row>
    <row r="2319" spans="1:19" x14ac:dyDescent="0.45">
      <c r="A2319" t="str">
        <f>"29801"</f>
        <v>29801</v>
      </c>
      <c r="B2319" t="s">
        <v>2370</v>
      </c>
      <c r="C2319" t="str">
        <f>"15204"</f>
        <v>15204</v>
      </c>
      <c r="D2319" t="s">
        <v>2775</v>
      </c>
      <c r="E2319" t="str">
        <f>"5059"</f>
        <v>5059</v>
      </c>
      <c r="F2319" t="s">
        <v>12786</v>
      </c>
      <c r="G2319">
        <v>7</v>
      </c>
      <c r="H2319">
        <v>12</v>
      </c>
      <c r="I2319" t="s">
        <v>12787</v>
      </c>
      <c r="K2319" t="s">
        <v>2778</v>
      </c>
      <c r="L2319" t="s">
        <v>25</v>
      </c>
      <c r="M2319">
        <v>98239</v>
      </c>
      <c r="N2319" t="s">
        <v>12788</v>
      </c>
      <c r="O2319" t="s">
        <v>2780</v>
      </c>
      <c r="P2319" t="s">
        <v>12789</v>
      </c>
      <c r="Q2319" t="s">
        <v>1312</v>
      </c>
      <c r="R2319" t="s">
        <v>1313</v>
      </c>
      <c r="S2319" t="s">
        <v>159</v>
      </c>
    </row>
    <row r="2320" spans="1:19" x14ac:dyDescent="0.45">
      <c r="A2320" t="str">
        <f>"OSPI"</f>
        <v>OSPI</v>
      </c>
      <c r="B2320" t="s">
        <v>1763</v>
      </c>
      <c r="C2320" t="str">
        <f>"27931"</f>
        <v>27931</v>
      </c>
      <c r="D2320" t="s">
        <v>2837</v>
      </c>
      <c r="E2320" t="str">
        <f>"5950"</f>
        <v>5950</v>
      </c>
      <c r="F2320" t="s">
        <v>12790</v>
      </c>
      <c r="G2320">
        <v>9</v>
      </c>
      <c r="H2320">
        <v>12</v>
      </c>
      <c r="I2320" t="s">
        <v>12791</v>
      </c>
      <c r="K2320" t="s">
        <v>2276</v>
      </c>
      <c r="L2320" t="s">
        <v>25</v>
      </c>
      <c r="M2320" t="s">
        <v>12792</v>
      </c>
      <c r="N2320" t="s">
        <v>12793</v>
      </c>
      <c r="O2320" t="s">
        <v>12794</v>
      </c>
      <c r="P2320" t="s">
        <v>12795</v>
      </c>
      <c r="Q2320" t="s">
        <v>12796</v>
      </c>
      <c r="R2320" t="s">
        <v>31</v>
      </c>
      <c r="S2320" t="s">
        <v>58</v>
      </c>
    </row>
    <row r="2321" spans="1:19" x14ac:dyDescent="0.45">
      <c r="A2321" t="str">
        <f>"17801"</f>
        <v>17801</v>
      </c>
      <c r="B2321" t="s">
        <v>19</v>
      </c>
      <c r="C2321" t="str">
        <f>"17411"</f>
        <v>17411</v>
      </c>
      <c r="D2321" t="s">
        <v>910</v>
      </c>
      <c r="E2321" t="str">
        <f>"5062"</f>
        <v>5062</v>
      </c>
      <c r="F2321" t="s">
        <v>12797</v>
      </c>
      <c r="G2321" t="s">
        <v>22</v>
      </c>
      <c r="H2321" t="s">
        <v>22</v>
      </c>
      <c r="I2321" t="s">
        <v>12798</v>
      </c>
      <c r="K2321" t="s">
        <v>951</v>
      </c>
      <c r="L2321" t="s">
        <v>25</v>
      </c>
      <c r="M2321">
        <v>98059</v>
      </c>
      <c r="N2321" t="s">
        <v>12799</v>
      </c>
      <c r="O2321" t="s">
        <v>12800</v>
      </c>
      <c r="P2321" t="s">
        <v>12801</v>
      </c>
      <c r="Q2321" t="s">
        <v>30</v>
      </c>
      <c r="R2321" t="s">
        <v>31</v>
      </c>
      <c r="S2321" t="s">
        <v>1248</v>
      </c>
    </row>
    <row r="2322" spans="1:19" x14ac:dyDescent="0.45">
      <c r="A2322" t="str">
        <f>"17801"</f>
        <v>17801</v>
      </c>
      <c r="B2322" t="s">
        <v>19</v>
      </c>
      <c r="C2322" t="str">
        <f>"27010"</f>
        <v>27010</v>
      </c>
      <c r="D2322" t="s">
        <v>2273</v>
      </c>
      <c r="E2322" t="str">
        <f>"5066"</f>
        <v>5066</v>
      </c>
      <c r="F2322" t="s">
        <v>12802</v>
      </c>
      <c r="G2322" t="s">
        <v>22</v>
      </c>
      <c r="H2322">
        <v>5</v>
      </c>
      <c r="I2322" t="s">
        <v>12803</v>
      </c>
      <c r="K2322" t="s">
        <v>2276</v>
      </c>
      <c r="L2322" t="s">
        <v>25</v>
      </c>
      <c r="M2322">
        <v>98444</v>
      </c>
      <c r="N2322" t="s">
        <v>12804</v>
      </c>
      <c r="O2322" t="s">
        <v>12805</v>
      </c>
      <c r="P2322" t="s">
        <v>12806</v>
      </c>
      <c r="Q2322" t="s">
        <v>30</v>
      </c>
      <c r="R2322" t="s">
        <v>31</v>
      </c>
      <c r="S2322" t="s">
        <v>32</v>
      </c>
    </row>
    <row r="2323" spans="1:19" x14ac:dyDescent="0.45">
      <c r="A2323" t="str">
        <f>"17801"</f>
        <v>17801</v>
      </c>
      <c r="B2323" t="s">
        <v>19</v>
      </c>
      <c r="C2323" t="str">
        <f>"17403"</f>
        <v>17403</v>
      </c>
      <c r="D2323" t="s">
        <v>344</v>
      </c>
      <c r="E2323" t="str">
        <f>"5070"</f>
        <v>5070</v>
      </c>
      <c r="F2323" t="s">
        <v>12807</v>
      </c>
      <c r="G2323" t="s">
        <v>70</v>
      </c>
      <c r="H2323">
        <v>12</v>
      </c>
      <c r="I2323" t="s">
        <v>359</v>
      </c>
      <c r="K2323" t="s">
        <v>347</v>
      </c>
      <c r="L2323" t="s">
        <v>25</v>
      </c>
      <c r="M2323">
        <v>98055</v>
      </c>
      <c r="N2323" t="s">
        <v>349</v>
      </c>
      <c r="O2323" t="s">
        <v>350</v>
      </c>
      <c r="P2323" t="s">
        <v>351</v>
      </c>
      <c r="Q2323" t="s">
        <v>157</v>
      </c>
      <c r="R2323" t="s">
        <v>158</v>
      </c>
      <c r="S2323" t="s">
        <v>330</v>
      </c>
    </row>
    <row r="2324" spans="1:19" x14ac:dyDescent="0.45">
      <c r="A2324" t="str">
        <f>"18801"</f>
        <v>18801</v>
      </c>
      <c r="B2324" t="s">
        <v>1731</v>
      </c>
      <c r="C2324" t="str">
        <f>"05402"</f>
        <v>05402</v>
      </c>
      <c r="D2324" t="s">
        <v>1851</v>
      </c>
      <c r="E2324" t="str">
        <f>"5071"</f>
        <v>5071</v>
      </c>
      <c r="F2324" t="s">
        <v>12808</v>
      </c>
      <c r="G2324">
        <v>9</v>
      </c>
      <c r="H2324">
        <v>12</v>
      </c>
      <c r="I2324" t="s">
        <v>12809</v>
      </c>
      <c r="K2324" t="s">
        <v>1854</v>
      </c>
      <c r="L2324" t="s">
        <v>25</v>
      </c>
      <c r="M2324">
        <v>98331</v>
      </c>
      <c r="N2324" t="s">
        <v>12810</v>
      </c>
      <c r="O2324" t="s">
        <v>12811</v>
      </c>
      <c r="P2324" t="s">
        <v>12812</v>
      </c>
      <c r="Q2324" t="s">
        <v>157</v>
      </c>
      <c r="R2324" t="s">
        <v>158</v>
      </c>
      <c r="S2324" t="s">
        <v>58</v>
      </c>
    </row>
    <row r="2325" spans="1:19" x14ac:dyDescent="0.45">
      <c r="A2325" t="str">
        <f>"18801"</f>
        <v>18801</v>
      </c>
      <c r="B2325" t="s">
        <v>1731</v>
      </c>
      <c r="C2325" t="str">
        <f>"18402"</f>
        <v>18402</v>
      </c>
      <c r="D2325" t="s">
        <v>4504</v>
      </c>
      <c r="E2325" t="str">
        <f>"5072"</f>
        <v>5072</v>
      </c>
      <c r="F2325" t="s">
        <v>12813</v>
      </c>
      <c r="G2325" t="s">
        <v>22</v>
      </c>
      <c r="H2325" t="s">
        <v>22</v>
      </c>
      <c r="I2325" t="s">
        <v>12814</v>
      </c>
      <c r="K2325" t="s">
        <v>6745</v>
      </c>
      <c r="L2325" t="s">
        <v>25</v>
      </c>
      <c r="M2325">
        <v>98366</v>
      </c>
      <c r="N2325" t="s">
        <v>12815</v>
      </c>
      <c r="O2325" t="s">
        <v>12816</v>
      </c>
      <c r="P2325" t="s">
        <v>12817</v>
      </c>
      <c r="Q2325" t="s">
        <v>2316</v>
      </c>
      <c r="R2325" t="s">
        <v>31</v>
      </c>
      <c r="S2325" t="s">
        <v>1248</v>
      </c>
    </row>
    <row r="2326" spans="1:19" x14ac:dyDescent="0.45">
      <c r="A2326" t="str">
        <f>"32801"</f>
        <v>32801</v>
      </c>
      <c r="B2326" t="s">
        <v>1108</v>
      </c>
      <c r="C2326" t="str">
        <f>"26070"</f>
        <v>26070</v>
      </c>
      <c r="D2326" t="s">
        <v>12818</v>
      </c>
      <c r="E2326" t="str">
        <f>"5075"</f>
        <v>5075</v>
      </c>
      <c r="F2326" t="s">
        <v>12819</v>
      </c>
      <c r="G2326" t="s">
        <v>22</v>
      </c>
      <c r="H2326">
        <v>5</v>
      </c>
      <c r="I2326" t="s">
        <v>12820</v>
      </c>
      <c r="K2326" t="s">
        <v>12821</v>
      </c>
      <c r="L2326" t="s">
        <v>25</v>
      </c>
      <c r="M2326">
        <v>99153</v>
      </c>
      <c r="N2326" t="s">
        <v>12822</v>
      </c>
      <c r="O2326" t="s">
        <v>12823</v>
      </c>
      <c r="P2326" t="s">
        <v>12824</v>
      </c>
      <c r="Q2326" t="s">
        <v>30</v>
      </c>
      <c r="R2326" t="s">
        <v>31</v>
      </c>
      <c r="S2326" t="s">
        <v>32</v>
      </c>
    </row>
    <row r="2327" spans="1:19" x14ac:dyDescent="0.45">
      <c r="A2327" t="str">
        <f>"06801"</f>
        <v>06801</v>
      </c>
      <c r="B2327" t="s">
        <v>1870</v>
      </c>
      <c r="C2327" t="str">
        <f>"08458"</f>
        <v>08458</v>
      </c>
      <c r="D2327" t="s">
        <v>3657</v>
      </c>
      <c r="E2327" t="str">
        <f>"5076"</f>
        <v>5076</v>
      </c>
      <c r="F2327" t="s">
        <v>1733</v>
      </c>
      <c r="G2327" t="s">
        <v>22</v>
      </c>
      <c r="H2327">
        <v>12</v>
      </c>
      <c r="I2327" t="s">
        <v>12825</v>
      </c>
      <c r="K2327" t="s">
        <v>3660</v>
      </c>
      <c r="L2327" t="s">
        <v>25</v>
      </c>
      <c r="M2327">
        <v>98626</v>
      </c>
      <c r="N2327" t="s">
        <v>79</v>
      </c>
      <c r="Q2327" t="s">
        <v>66</v>
      </c>
      <c r="R2327" t="s">
        <v>67</v>
      </c>
      <c r="S2327" t="s">
        <v>68</v>
      </c>
    </row>
    <row r="2328" spans="1:19" x14ac:dyDescent="0.45">
      <c r="A2328" t="str">
        <f>"34801"</f>
        <v>34801</v>
      </c>
      <c r="B2328" t="s">
        <v>2257</v>
      </c>
      <c r="C2328" t="str">
        <f>"34111"</f>
        <v>34111</v>
      </c>
      <c r="D2328" t="s">
        <v>11105</v>
      </c>
      <c r="E2328" t="str">
        <f>"5078"</f>
        <v>5078</v>
      </c>
      <c r="F2328" t="s">
        <v>12826</v>
      </c>
      <c r="G2328" t="s">
        <v>70</v>
      </c>
      <c r="H2328">
        <v>12</v>
      </c>
      <c r="I2328" t="s">
        <v>12827</v>
      </c>
      <c r="K2328" t="s">
        <v>3164</v>
      </c>
      <c r="L2328" t="s">
        <v>25</v>
      </c>
      <c r="M2328">
        <v>98501</v>
      </c>
      <c r="N2328" t="s">
        <v>12828</v>
      </c>
      <c r="O2328" t="s">
        <v>12829</v>
      </c>
      <c r="P2328" t="s">
        <v>12830</v>
      </c>
      <c r="Q2328" t="s">
        <v>157</v>
      </c>
      <c r="R2328" t="s">
        <v>158</v>
      </c>
      <c r="S2328" t="s">
        <v>330</v>
      </c>
    </row>
    <row r="2329" spans="1:19" x14ac:dyDescent="0.45">
      <c r="A2329" t="str">
        <f>"06801"</f>
        <v>06801</v>
      </c>
      <c r="B2329" t="s">
        <v>1870</v>
      </c>
      <c r="C2329" t="str">
        <f>"20405"</f>
        <v>20405</v>
      </c>
      <c r="D2329" t="s">
        <v>2590</v>
      </c>
      <c r="E2329" t="str">
        <f>"5077"</f>
        <v>5077</v>
      </c>
      <c r="F2329" t="s">
        <v>12831</v>
      </c>
      <c r="G2329">
        <v>9</v>
      </c>
      <c r="H2329">
        <v>12</v>
      </c>
      <c r="I2329" t="s">
        <v>6963</v>
      </c>
      <c r="K2329" t="s">
        <v>2593</v>
      </c>
      <c r="L2329" t="s">
        <v>25</v>
      </c>
      <c r="M2329">
        <v>98672</v>
      </c>
      <c r="N2329" t="s">
        <v>12832</v>
      </c>
      <c r="O2329" t="s">
        <v>12833</v>
      </c>
      <c r="P2329" t="s">
        <v>6968</v>
      </c>
      <c r="Q2329" t="s">
        <v>157</v>
      </c>
      <c r="R2329" t="s">
        <v>158</v>
      </c>
      <c r="S2329" t="s">
        <v>58</v>
      </c>
    </row>
    <row r="2330" spans="1:19" x14ac:dyDescent="0.45">
      <c r="A2330" t="str">
        <f>"17801"</f>
        <v>17801</v>
      </c>
      <c r="B2330" t="s">
        <v>19</v>
      </c>
      <c r="C2330" t="str">
        <f>"27404"</f>
        <v>27404</v>
      </c>
      <c r="D2330" t="s">
        <v>2236</v>
      </c>
      <c r="E2330" t="str">
        <f>"5079"</f>
        <v>5079</v>
      </c>
      <c r="F2330" t="s">
        <v>12834</v>
      </c>
      <c r="G2330" t="s">
        <v>22</v>
      </c>
      <c r="H2330" t="s">
        <v>22</v>
      </c>
      <c r="I2330" t="s">
        <v>4364</v>
      </c>
      <c r="K2330" t="s">
        <v>2239</v>
      </c>
      <c r="L2330" t="s">
        <v>25</v>
      </c>
      <c r="M2330">
        <v>98328</v>
      </c>
      <c r="N2330" t="s">
        <v>12835</v>
      </c>
      <c r="O2330" t="s">
        <v>12836</v>
      </c>
      <c r="P2330" t="s">
        <v>12837</v>
      </c>
      <c r="Q2330" t="s">
        <v>66</v>
      </c>
      <c r="R2330" t="s">
        <v>67</v>
      </c>
      <c r="S2330" t="s">
        <v>1248</v>
      </c>
    </row>
    <row r="2331" spans="1:19" x14ac:dyDescent="0.45">
      <c r="A2331" t="str">
        <f>"17801"</f>
        <v>17801</v>
      </c>
      <c r="B2331" t="s">
        <v>19</v>
      </c>
      <c r="C2331" t="str">
        <f>"17408"</f>
        <v>17408</v>
      </c>
      <c r="D2331" t="s">
        <v>706</v>
      </c>
      <c r="E2331" t="str">
        <f>"5082"</f>
        <v>5082</v>
      </c>
      <c r="F2331" t="s">
        <v>12838</v>
      </c>
      <c r="G2331" t="s">
        <v>70</v>
      </c>
      <c r="H2331">
        <v>5</v>
      </c>
      <c r="I2331" t="s">
        <v>12839</v>
      </c>
      <c r="K2331" t="s">
        <v>4320</v>
      </c>
      <c r="L2331" t="s">
        <v>25</v>
      </c>
      <c r="M2331" t="s">
        <v>12840</v>
      </c>
      <c r="N2331" t="s">
        <v>12841</v>
      </c>
      <c r="O2331" t="s">
        <v>12842</v>
      </c>
      <c r="P2331" t="s">
        <v>12843</v>
      </c>
      <c r="Q2331" t="s">
        <v>30</v>
      </c>
      <c r="R2331" t="s">
        <v>31</v>
      </c>
      <c r="S2331" t="s">
        <v>32</v>
      </c>
    </row>
    <row r="2332" spans="1:19" x14ac:dyDescent="0.45">
      <c r="A2332" t="str">
        <f>"29801"</f>
        <v>29801</v>
      </c>
      <c r="B2332" t="s">
        <v>2370</v>
      </c>
      <c r="C2332" t="str">
        <f>"37502"</f>
        <v>37502</v>
      </c>
      <c r="D2332" t="s">
        <v>3011</v>
      </c>
      <c r="E2332" t="str">
        <f>"5084"</f>
        <v>5084</v>
      </c>
      <c r="F2332" t="s">
        <v>12844</v>
      </c>
      <c r="G2332" t="s">
        <v>22</v>
      </c>
      <c r="H2332" t="s">
        <v>22</v>
      </c>
      <c r="I2332" t="s">
        <v>4364</v>
      </c>
      <c r="K2332" t="s">
        <v>3072</v>
      </c>
      <c r="L2332" t="s">
        <v>25</v>
      </c>
      <c r="M2332">
        <v>98248</v>
      </c>
      <c r="N2332" t="s">
        <v>12845</v>
      </c>
      <c r="O2332" t="s">
        <v>12846</v>
      </c>
      <c r="P2332" t="s">
        <v>12847</v>
      </c>
      <c r="Q2332" t="s">
        <v>66</v>
      </c>
      <c r="R2332" t="s">
        <v>67</v>
      </c>
      <c r="S2332" t="s">
        <v>1248</v>
      </c>
    </row>
    <row r="2333" spans="1:19" x14ac:dyDescent="0.45">
      <c r="A2333" t="str">
        <f>"18801"</f>
        <v>18801</v>
      </c>
      <c r="B2333" t="s">
        <v>1731</v>
      </c>
      <c r="C2333" t="str">
        <f>"16048"</f>
        <v>16048</v>
      </c>
      <c r="D2333" t="s">
        <v>5001</v>
      </c>
      <c r="E2333" t="str">
        <f>"5081"</f>
        <v>5081</v>
      </c>
      <c r="F2333" t="s">
        <v>12848</v>
      </c>
      <c r="G2333">
        <v>9</v>
      </c>
      <c r="H2333">
        <v>12</v>
      </c>
      <c r="I2333" t="s">
        <v>5003</v>
      </c>
      <c r="K2333" t="s">
        <v>5004</v>
      </c>
      <c r="L2333" t="s">
        <v>25</v>
      </c>
      <c r="M2333">
        <v>98376</v>
      </c>
      <c r="N2333" t="s">
        <v>12849</v>
      </c>
      <c r="O2333" t="s">
        <v>12850</v>
      </c>
      <c r="P2333" t="s">
        <v>12851</v>
      </c>
      <c r="Q2333" t="s">
        <v>157</v>
      </c>
      <c r="R2333" t="s">
        <v>158</v>
      </c>
      <c r="S2333" t="s">
        <v>58</v>
      </c>
    </row>
    <row r="2334" spans="1:19" x14ac:dyDescent="0.45">
      <c r="A2334" t="str">
        <f>"39801"</f>
        <v>39801</v>
      </c>
      <c r="B2334" t="s">
        <v>2395</v>
      </c>
      <c r="C2334" t="str">
        <f>"19403"</f>
        <v>19403</v>
      </c>
      <c r="D2334" t="s">
        <v>6847</v>
      </c>
      <c r="E2334" t="str">
        <f>"5086"</f>
        <v>5086</v>
      </c>
      <c r="F2334" t="s">
        <v>12852</v>
      </c>
      <c r="G2334" t="s">
        <v>22</v>
      </c>
      <c r="H2334" t="s">
        <v>22</v>
      </c>
      <c r="I2334" t="s">
        <v>12853</v>
      </c>
      <c r="K2334" t="s">
        <v>6850</v>
      </c>
      <c r="L2334" t="s">
        <v>25</v>
      </c>
      <c r="M2334">
        <v>98934</v>
      </c>
      <c r="N2334" t="s">
        <v>6851</v>
      </c>
      <c r="O2334" t="s">
        <v>6852</v>
      </c>
      <c r="P2334" t="s">
        <v>6853</v>
      </c>
      <c r="Q2334" t="s">
        <v>66</v>
      </c>
      <c r="R2334" t="s">
        <v>67</v>
      </c>
      <c r="S2334" t="s">
        <v>1248</v>
      </c>
    </row>
    <row r="2335" spans="1:19" x14ac:dyDescent="0.45">
      <c r="A2335" t="str">
        <f>"OSPI"</f>
        <v>OSPI</v>
      </c>
      <c r="B2335" t="s">
        <v>1763</v>
      </c>
      <c r="C2335" t="str">
        <f>"27932"</f>
        <v>27932</v>
      </c>
      <c r="D2335" t="s">
        <v>12854</v>
      </c>
      <c r="E2335" t="str">
        <f>"5951"</f>
        <v>5951</v>
      </c>
      <c r="F2335" t="s">
        <v>12855</v>
      </c>
      <c r="G2335">
        <v>9</v>
      </c>
      <c r="H2335">
        <v>12</v>
      </c>
      <c r="I2335" t="s">
        <v>12856</v>
      </c>
      <c r="K2335" t="s">
        <v>2230</v>
      </c>
      <c r="L2335" t="s">
        <v>25</v>
      </c>
      <c r="M2335" t="s">
        <v>12857</v>
      </c>
      <c r="N2335" t="s">
        <v>12858</v>
      </c>
      <c r="O2335" t="s">
        <v>12859</v>
      </c>
      <c r="P2335" t="s">
        <v>12860</v>
      </c>
      <c r="Q2335" t="s">
        <v>12861</v>
      </c>
      <c r="R2335" t="s">
        <v>173</v>
      </c>
      <c r="S2335" t="s">
        <v>58</v>
      </c>
    </row>
    <row r="2336" spans="1:19" x14ac:dyDescent="0.45">
      <c r="A2336" t="str">
        <f>"18801"</f>
        <v>18801</v>
      </c>
      <c r="B2336" t="s">
        <v>1731</v>
      </c>
      <c r="C2336" t="str">
        <f>"18400"</f>
        <v>18400</v>
      </c>
      <c r="D2336" t="s">
        <v>4425</v>
      </c>
      <c r="E2336" t="str">
        <f>"5085"</f>
        <v>5085</v>
      </c>
      <c r="F2336" t="s">
        <v>12862</v>
      </c>
      <c r="G2336">
        <v>9</v>
      </c>
      <c r="H2336">
        <v>12</v>
      </c>
      <c r="I2336" t="s">
        <v>12863</v>
      </c>
      <c r="K2336" t="s">
        <v>4428</v>
      </c>
      <c r="L2336" t="s">
        <v>25</v>
      </c>
      <c r="M2336">
        <v>98346</v>
      </c>
      <c r="N2336" t="s">
        <v>12864</v>
      </c>
      <c r="O2336" t="s">
        <v>12865</v>
      </c>
      <c r="P2336" t="s">
        <v>12866</v>
      </c>
      <c r="Q2336" t="s">
        <v>30</v>
      </c>
      <c r="R2336" t="s">
        <v>31</v>
      </c>
      <c r="S2336" t="s">
        <v>58</v>
      </c>
    </row>
    <row r="2337" spans="1:19" x14ac:dyDescent="0.45">
      <c r="A2337" t="str">
        <f>"29801"</f>
        <v>29801</v>
      </c>
      <c r="B2337" t="s">
        <v>2370</v>
      </c>
      <c r="C2337" t="str">
        <f>"29011"</f>
        <v>29011</v>
      </c>
      <c r="D2337" t="s">
        <v>8825</v>
      </c>
      <c r="E2337" t="str">
        <f>"5087"</f>
        <v>5087</v>
      </c>
      <c r="F2337" t="s">
        <v>12867</v>
      </c>
      <c r="G2337" t="s">
        <v>22</v>
      </c>
      <c r="H2337" t="s">
        <v>22</v>
      </c>
      <c r="I2337" t="s">
        <v>8827</v>
      </c>
      <c r="K2337" t="s">
        <v>8828</v>
      </c>
      <c r="L2337" t="s">
        <v>25</v>
      </c>
      <c r="M2337">
        <v>98237</v>
      </c>
      <c r="N2337" t="s">
        <v>12868</v>
      </c>
      <c r="O2337" t="s">
        <v>12869</v>
      </c>
      <c r="P2337" t="s">
        <v>12870</v>
      </c>
      <c r="Q2337" t="s">
        <v>66</v>
      </c>
      <c r="R2337" t="s">
        <v>67</v>
      </c>
      <c r="S2337" t="s">
        <v>1248</v>
      </c>
    </row>
    <row r="2338" spans="1:19" x14ac:dyDescent="0.45">
      <c r="A2338" t="str">
        <f>"17801"</f>
        <v>17801</v>
      </c>
      <c r="B2338" t="s">
        <v>19</v>
      </c>
      <c r="C2338" t="str">
        <f>"27003"</f>
        <v>27003</v>
      </c>
      <c r="D2338" t="s">
        <v>2338</v>
      </c>
      <c r="E2338" t="str">
        <f>"5088"</f>
        <v>5088</v>
      </c>
      <c r="F2338" t="s">
        <v>9074</v>
      </c>
      <c r="G2338" t="s">
        <v>22</v>
      </c>
      <c r="H2338">
        <v>6</v>
      </c>
      <c r="I2338" t="s">
        <v>12871</v>
      </c>
      <c r="K2338" t="s">
        <v>2347</v>
      </c>
      <c r="L2338" t="s">
        <v>25</v>
      </c>
      <c r="M2338">
        <v>98375</v>
      </c>
      <c r="N2338" t="s">
        <v>12872</v>
      </c>
      <c r="O2338" t="s">
        <v>12873</v>
      </c>
      <c r="P2338" t="s">
        <v>12874</v>
      </c>
      <c r="Q2338" t="s">
        <v>30</v>
      </c>
      <c r="R2338" t="s">
        <v>31</v>
      </c>
      <c r="S2338" t="s">
        <v>32</v>
      </c>
    </row>
    <row r="2339" spans="1:19" x14ac:dyDescent="0.45">
      <c r="A2339" t="str">
        <f>"06801"</f>
        <v>06801</v>
      </c>
      <c r="B2339" t="s">
        <v>1870</v>
      </c>
      <c r="C2339" t="str">
        <f>"06119"</f>
        <v>06119</v>
      </c>
      <c r="D2339" t="s">
        <v>2543</v>
      </c>
      <c r="E2339" t="str">
        <f>"5089"</f>
        <v>5089</v>
      </c>
      <c r="F2339" t="s">
        <v>12875</v>
      </c>
      <c r="G2339">
        <v>5</v>
      </c>
      <c r="H2339">
        <v>8</v>
      </c>
      <c r="I2339" t="s">
        <v>2545</v>
      </c>
      <c r="K2339" t="s">
        <v>2546</v>
      </c>
      <c r="L2339" t="s">
        <v>25</v>
      </c>
      <c r="M2339">
        <v>98604</v>
      </c>
      <c r="N2339" t="s">
        <v>12876</v>
      </c>
      <c r="O2339" t="s">
        <v>12877</v>
      </c>
      <c r="P2339" t="s">
        <v>12878</v>
      </c>
      <c r="Q2339" t="s">
        <v>30</v>
      </c>
      <c r="R2339" t="s">
        <v>31</v>
      </c>
      <c r="S2339" t="s">
        <v>104</v>
      </c>
    </row>
    <row r="2340" spans="1:19" x14ac:dyDescent="0.45">
      <c r="A2340" t="str">
        <f>"06801"</f>
        <v>06801</v>
      </c>
      <c r="B2340" t="s">
        <v>1870</v>
      </c>
      <c r="C2340" t="str">
        <f>"06119"</f>
        <v>06119</v>
      </c>
      <c r="D2340" t="s">
        <v>2543</v>
      </c>
      <c r="E2340" t="str">
        <f>"5090"</f>
        <v>5090</v>
      </c>
      <c r="F2340" t="s">
        <v>12879</v>
      </c>
      <c r="G2340" t="s">
        <v>22</v>
      </c>
      <c r="H2340">
        <v>4</v>
      </c>
      <c r="I2340" t="s">
        <v>2545</v>
      </c>
      <c r="K2340" t="s">
        <v>2546</v>
      </c>
      <c r="L2340" t="s">
        <v>25</v>
      </c>
      <c r="M2340">
        <v>98604</v>
      </c>
      <c r="N2340" t="s">
        <v>1926</v>
      </c>
      <c r="O2340" t="s">
        <v>12880</v>
      </c>
      <c r="P2340" t="s">
        <v>12881</v>
      </c>
      <c r="Q2340" t="s">
        <v>30</v>
      </c>
      <c r="R2340" t="s">
        <v>31</v>
      </c>
      <c r="S2340" t="s">
        <v>32</v>
      </c>
    </row>
    <row r="2341" spans="1:19" x14ac:dyDescent="0.45">
      <c r="A2341" t="str">
        <f>"29801"</f>
        <v>29801</v>
      </c>
      <c r="B2341" t="s">
        <v>2370</v>
      </c>
      <c r="C2341" t="str">
        <f>"31002"</f>
        <v>31002</v>
      </c>
      <c r="D2341" t="s">
        <v>2378</v>
      </c>
      <c r="E2341" t="str">
        <f>"5091"</f>
        <v>5091</v>
      </c>
      <c r="F2341" t="s">
        <v>12882</v>
      </c>
      <c r="G2341" t="s">
        <v>22</v>
      </c>
      <c r="H2341">
        <v>5</v>
      </c>
      <c r="I2341" t="s">
        <v>12883</v>
      </c>
      <c r="K2341" t="s">
        <v>2381</v>
      </c>
      <c r="L2341" t="s">
        <v>25</v>
      </c>
      <c r="M2341" t="s">
        <v>9223</v>
      </c>
      <c r="N2341" t="s">
        <v>12884</v>
      </c>
      <c r="O2341" t="s">
        <v>9130</v>
      </c>
      <c r="P2341" t="s">
        <v>12885</v>
      </c>
      <c r="Q2341" t="s">
        <v>30</v>
      </c>
      <c r="R2341" t="s">
        <v>31</v>
      </c>
      <c r="S2341" t="s">
        <v>32</v>
      </c>
    </row>
    <row r="2342" spans="1:19" x14ac:dyDescent="0.45">
      <c r="A2342" t="str">
        <f>"11801"</f>
        <v>11801</v>
      </c>
      <c r="B2342" t="s">
        <v>1122</v>
      </c>
      <c r="C2342" t="str">
        <f>"03400"</f>
        <v>03400</v>
      </c>
      <c r="D2342" t="s">
        <v>1462</v>
      </c>
      <c r="E2342" t="str">
        <f>"5092"</f>
        <v>5092</v>
      </c>
      <c r="F2342" t="s">
        <v>12886</v>
      </c>
      <c r="G2342" t="s">
        <v>22</v>
      </c>
      <c r="H2342">
        <v>5</v>
      </c>
      <c r="I2342" t="s">
        <v>12887</v>
      </c>
      <c r="K2342" t="s">
        <v>1465</v>
      </c>
      <c r="L2342" t="s">
        <v>25</v>
      </c>
      <c r="M2342">
        <v>99352</v>
      </c>
      <c r="N2342" t="s">
        <v>12888</v>
      </c>
      <c r="O2342" t="s">
        <v>12889</v>
      </c>
      <c r="P2342" t="s">
        <v>12890</v>
      </c>
      <c r="Q2342" t="s">
        <v>30</v>
      </c>
      <c r="R2342" t="s">
        <v>31</v>
      </c>
      <c r="S2342" t="s">
        <v>32</v>
      </c>
    </row>
    <row r="2343" spans="1:19" x14ac:dyDescent="0.45">
      <c r="A2343" t="str">
        <f>"17801"</f>
        <v>17801</v>
      </c>
      <c r="B2343" t="s">
        <v>19</v>
      </c>
      <c r="C2343" t="str">
        <f>"27003"</f>
        <v>27003</v>
      </c>
      <c r="D2343" t="s">
        <v>2338</v>
      </c>
      <c r="E2343" t="str">
        <f>"5093"</f>
        <v>5093</v>
      </c>
      <c r="F2343" t="s">
        <v>12891</v>
      </c>
      <c r="G2343" t="s">
        <v>22</v>
      </c>
      <c r="H2343">
        <v>6</v>
      </c>
      <c r="I2343" t="s">
        <v>12892</v>
      </c>
      <c r="K2343" t="s">
        <v>2347</v>
      </c>
      <c r="L2343" t="s">
        <v>25</v>
      </c>
      <c r="M2343">
        <v>98374</v>
      </c>
      <c r="N2343" t="s">
        <v>12893</v>
      </c>
      <c r="O2343" t="s">
        <v>12894</v>
      </c>
      <c r="P2343" t="s">
        <v>12895</v>
      </c>
      <c r="Q2343" t="s">
        <v>30</v>
      </c>
      <c r="R2343" t="s">
        <v>31</v>
      </c>
      <c r="S2343" t="s">
        <v>32</v>
      </c>
    </row>
    <row r="2344" spans="1:19" x14ac:dyDescent="0.45">
      <c r="A2344" t="str">
        <f>"32801"</f>
        <v>32801</v>
      </c>
      <c r="B2344" t="s">
        <v>1108</v>
      </c>
      <c r="C2344" t="str">
        <f>"32354"</f>
        <v>32354</v>
      </c>
      <c r="D2344" t="s">
        <v>2735</v>
      </c>
      <c r="E2344" t="str">
        <f>"5094"</f>
        <v>5094</v>
      </c>
      <c r="F2344" t="s">
        <v>12896</v>
      </c>
      <c r="G2344" t="s">
        <v>70</v>
      </c>
      <c r="H2344">
        <v>5</v>
      </c>
      <c r="I2344" t="s">
        <v>12897</v>
      </c>
      <c r="K2344" t="s">
        <v>2246</v>
      </c>
      <c r="L2344" t="s">
        <v>25</v>
      </c>
      <c r="M2344">
        <v>99208</v>
      </c>
      <c r="N2344" t="s">
        <v>12898</v>
      </c>
      <c r="O2344" t="s">
        <v>12899</v>
      </c>
      <c r="P2344" t="s">
        <v>12900</v>
      </c>
      <c r="Q2344" t="s">
        <v>30</v>
      </c>
      <c r="R2344" t="s">
        <v>31</v>
      </c>
      <c r="S2344" t="s">
        <v>32</v>
      </c>
    </row>
    <row r="2345" spans="1:19" x14ac:dyDescent="0.45">
      <c r="A2345" t="str">
        <f>"39801"</f>
        <v>39801</v>
      </c>
      <c r="B2345" t="s">
        <v>2395</v>
      </c>
      <c r="C2345" t="str">
        <f>"39208"</f>
        <v>39208</v>
      </c>
      <c r="D2345" t="s">
        <v>3199</v>
      </c>
      <c r="E2345" t="str">
        <f>"5096"</f>
        <v>5096</v>
      </c>
      <c r="F2345" t="s">
        <v>12901</v>
      </c>
      <c r="G2345" t="s">
        <v>22</v>
      </c>
      <c r="H2345" t="s">
        <v>22</v>
      </c>
      <c r="I2345" t="s">
        <v>12902</v>
      </c>
      <c r="K2345" t="s">
        <v>2512</v>
      </c>
      <c r="L2345" t="s">
        <v>25</v>
      </c>
      <c r="M2345">
        <v>98902</v>
      </c>
      <c r="N2345" t="s">
        <v>12903</v>
      </c>
      <c r="O2345" t="s">
        <v>12904</v>
      </c>
      <c r="P2345" t="s">
        <v>12905</v>
      </c>
      <c r="Q2345" t="s">
        <v>66</v>
      </c>
      <c r="R2345" t="s">
        <v>67</v>
      </c>
      <c r="S2345" t="s">
        <v>1248</v>
      </c>
    </row>
    <row r="2346" spans="1:19" x14ac:dyDescent="0.45">
      <c r="A2346" t="str">
        <f>"39801"</f>
        <v>39801</v>
      </c>
      <c r="B2346" t="s">
        <v>2395</v>
      </c>
      <c r="C2346" t="str">
        <f>"19401"</f>
        <v>19401</v>
      </c>
      <c r="D2346" t="s">
        <v>6821</v>
      </c>
      <c r="E2346" t="str">
        <f>"5097"</f>
        <v>5097</v>
      </c>
      <c r="F2346" t="s">
        <v>12906</v>
      </c>
      <c r="G2346" t="s">
        <v>70</v>
      </c>
      <c r="H2346">
        <v>12</v>
      </c>
      <c r="I2346" t="s">
        <v>12907</v>
      </c>
      <c r="K2346" t="s">
        <v>6799</v>
      </c>
      <c r="L2346" t="s">
        <v>25</v>
      </c>
      <c r="M2346">
        <v>98926</v>
      </c>
      <c r="N2346" t="s">
        <v>12908</v>
      </c>
      <c r="O2346" t="s">
        <v>12909</v>
      </c>
      <c r="P2346" t="s">
        <v>12910</v>
      </c>
      <c r="Q2346" t="s">
        <v>157</v>
      </c>
      <c r="R2346" t="s">
        <v>158</v>
      </c>
      <c r="S2346" t="s">
        <v>330</v>
      </c>
    </row>
    <row r="2347" spans="1:19" x14ac:dyDescent="0.45">
      <c r="A2347" t="str">
        <f>"17801"</f>
        <v>17801</v>
      </c>
      <c r="B2347" t="s">
        <v>19</v>
      </c>
      <c r="C2347" t="str">
        <f>"17415"</f>
        <v>17415</v>
      </c>
      <c r="D2347" t="s">
        <v>2884</v>
      </c>
      <c r="E2347" t="str">
        <f>"5098"</f>
        <v>5098</v>
      </c>
      <c r="F2347" t="s">
        <v>12911</v>
      </c>
      <c r="G2347">
        <v>9</v>
      </c>
      <c r="H2347">
        <v>12</v>
      </c>
      <c r="I2347" t="s">
        <v>12912</v>
      </c>
      <c r="K2347" t="s">
        <v>2887</v>
      </c>
      <c r="L2347" t="s">
        <v>25</v>
      </c>
      <c r="M2347" t="s">
        <v>6056</v>
      </c>
      <c r="N2347" t="s">
        <v>6057</v>
      </c>
      <c r="O2347" t="s">
        <v>6058</v>
      </c>
      <c r="P2347" t="s">
        <v>12913</v>
      </c>
      <c r="Q2347" t="s">
        <v>157</v>
      </c>
      <c r="R2347" t="s">
        <v>158</v>
      </c>
      <c r="S2347" t="s">
        <v>58</v>
      </c>
    </row>
    <row r="2348" spans="1:19" x14ac:dyDescent="0.45">
      <c r="A2348" t="str">
        <f>"29801"</f>
        <v>29801</v>
      </c>
      <c r="B2348" t="s">
        <v>2370</v>
      </c>
      <c r="C2348" t="str">
        <f>"31004"</f>
        <v>31004</v>
      </c>
      <c r="D2348" t="s">
        <v>2892</v>
      </c>
      <c r="E2348" t="str">
        <f>"5099"</f>
        <v>5099</v>
      </c>
      <c r="F2348" t="s">
        <v>12914</v>
      </c>
      <c r="G2348">
        <v>8</v>
      </c>
      <c r="H2348">
        <v>9</v>
      </c>
      <c r="I2348" t="s">
        <v>12915</v>
      </c>
      <c r="K2348" t="s">
        <v>2894</v>
      </c>
      <c r="L2348" t="s">
        <v>25</v>
      </c>
      <c r="M2348">
        <v>98258</v>
      </c>
      <c r="N2348" t="s">
        <v>12916</v>
      </c>
      <c r="O2348" t="s">
        <v>12917</v>
      </c>
      <c r="P2348" t="s">
        <v>12918</v>
      </c>
      <c r="Q2348" t="s">
        <v>30</v>
      </c>
      <c r="R2348" t="s">
        <v>31</v>
      </c>
      <c r="S2348" t="s">
        <v>58</v>
      </c>
    </row>
    <row r="2349" spans="1:19" x14ac:dyDescent="0.45">
      <c r="A2349" t="str">
        <f>"29801"</f>
        <v>29801</v>
      </c>
      <c r="B2349" t="s">
        <v>2370</v>
      </c>
      <c r="C2349" t="str">
        <f>"31201"</f>
        <v>31201</v>
      </c>
      <c r="D2349" t="s">
        <v>9773</v>
      </c>
      <c r="E2349" t="str">
        <f>"5100"</f>
        <v>5100</v>
      </c>
      <c r="F2349" t="s">
        <v>12919</v>
      </c>
      <c r="G2349" t="s">
        <v>70</v>
      </c>
      <c r="H2349">
        <v>6</v>
      </c>
      <c r="I2349" t="s">
        <v>9775</v>
      </c>
      <c r="K2349" t="s">
        <v>9739</v>
      </c>
      <c r="L2349" t="s">
        <v>25</v>
      </c>
      <c r="M2349" t="s">
        <v>12920</v>
      </c>
      <c r="N2349" t="s">
        <v>12921</v>
      </c>
      <c r="O2349" t="s">
        <v>12922</v>
      </c>
      <c r="P2349" t="s">
        <v>12923</v>
      </c>
      <c r="Q2349" t="s">
        <v>30</v>
      </c>
      <c r="R2349" t="s">
        <v>31</v>
      </c>
      <c r="S2349" t="s">
        <v>32</v>
      </c>
    </row>
    <row r="2350" spans="1:19" x14ac:dyDescent="0.45">
      <c r="A2350" t="str">
        <f>"06801"</f>
        <v>06801</v>
      </c>
      <c r="B2350" t="s">
        <v>1870</v>
      </c>
      <c r="C2350" t="str">
        <f>"06117"</f>
        <v>06117</v>
      </c>
      <c r="D2350" t="s">
        <v>2285</v>
      </c>
      <c r="E2350" t="str">
        <f>"5104"</f>
        <v>5104</v>
      </c>
      <c r="F2350" t="s">
        <v>12924</v>
      </c>
      <c r="G2350">
        <v>9</v>
      </c>
      <c r="H2350">
        <v>12</v>
      </c>
      <c r="I2350" t="s">
        <v>4369</v>
      </c>
      <c r="K2350" t="s">
        <v>2288</v>
      </c>
      <c r="L2350" t="s">
        <v>25</v>
      </c>
      <c r="M2350">
        <v>98607</v>
      </c>
      <c r="N2350" t="s">
        <v>12925</v>
      </c>
      <c r="O2350" t="s">
        <v>4371</v>
      </c>
      <c r="P2350" t="s">
        <v>12926</v>
      </c>
      <c r="Q2350" t="s">
        <v>30</v>
      </c>
      <c r="R2350" t="s">
        <v>31</v>
      </c>
      <c r="S2350" t="s">
        <v>58</v>
      </c>
    </row>
    <row r="2351" spans="1:19" x14ac:dyDescent="0.45">
      <c r="A2351" t="str">
        <f>"OSPI"</f>
        <v>OSPI</v>
      </c>
      <c r="B2351" t="s">
        <v>1763</v>
      </c>
      <c r="C2351" t="str">
        <f>"17937"</f>
        <v>17937</v>
      </c>
      <c r="D2351" t="s">
        <v>2266</v>
      </c>
      <c r="E2351" t="str">
        <f>"5953"</f>
        <v>5953</v>
      </c>
      <c r="F2351" t="s">
        <v>12927</v>
      </c>
      <c r="G2351">
        <v>11</v>
      </c>
      <c r="H2351">
        <v>12</v>
      </c>
      <c r="I2351" t="s">
        <v>2268</v>
      </c>
      <c r="K2351" t="s">
        <v>2269</v>
      </c>
      <c r="L2351" t="s">
        <v>25</v>
      </c>
      <c r="M2351" t="s">
        <v>12928</v>
      </c>
      <c r="N2351" t="s">
        <v>2270</v>
      </c>
      <c r="O2351" t="s">
        <v>12929</v>
      </c>
      <c r="P2351" t="s">
        <v>2272</v>
      </c>
      <c r="Q2351" t="s">
        <v>1410</v>
      </c>
      <c r="R2351" t="s">
        <v>31</v>
      </c>
      <c r="S2351" t="s">
        <v>58</v>
      </c>
    </row>
    <row r="2352" spans="1:19" x14ac:dyDescent="0.45">
      <c r="A2352" t="str">
        <f>"11801"</f>
        <v>11801</v>
      </c>
      <c r="B2352" t="s">
        <v>1122</v>
      </c>
      <c r="C2352" t="str">
        <f>"03017"</f>
        <v>03017</v>
      </c>
      <c r="D2352" t="s">
        <v>1235</v>
      </c>
      <c r="E2352" t="str">
        <f>"5106"</f>
        <v>5106</v>
      </c>
      <c r="F2352" t="s">
        <v>12930</v>
      </c>
      <c r="G2352">
        <v>9</v>
      </c>
      <c r="H2352">
        <v>12</v>
      </c>
      <c r="I2352" t="s">
        <v>12931</v>
      </c>
      <c r="K2352" t="s">
        <v>1263</v>
      </c>
      <c r="L2352" t="s">
        <v>25</v>
      </c>
      <c r="M2352">
        <v>99338</v>
      </c>
      <c r="N2352" t="s">
        <v>12932</v>
      </c>
      <c r="O2352" t="s">
        <v>12933</v>
      </c>
      <c r="P2352" t="s">
        <v>12934</v>
      </c>
      <c r="Q2352" t="s">
        <v>157</v>
      </c>
      <c r="R2352" t="s">
        <v>158</v>
      </c>
      <c r="S2352" t="s">
        <v>58</v>
      </c>
    </row>
    <row r="2353" spans="1:19" x14ac:dyDescent="0.45">
      <c r="A2353" t="str">
        <f>"17801"</f>
        <v>17801</v>
      </c>
      <c r="B2353" t="s">
        <v>19</v>
      </c>
      <c r="C2353" t="str">
        <f>"17210"</f>
        <v>17210</v>
      </c>
      <c r="D2353" t="s">
        <v>20</v>
      </c>
      <c r="E2353" t="str">
        <f>"5107"</f>
        <v>5107</v>
      </c>
      <c r="F2353" t="s">
        <v>12935</v>
      </c>
      <c r="G2353">
        <v>11</v>
      </c>
      <c r="H2353">
        <v>12</v>
      </c>
      <c r="I2353" t="s">
        <v>12442</v>
      </c>
      <c r="K2353" t="s">
        <v>2472</v>
      </c>
      <c r="L2353" t="s">
        <v>25</v>
      </c>
      <c r="M2353">
        <v>98003</v>
      </c>
      <c r="N2353" t="s">
        <v>12936</v>
      </c>
      <c r="O2353" t="s">
        <v>12937</v>
      </c>
      <c r="P2353" t="s">
        <v>12446</v>
      </c>
      <c r="Q2353" t="s">
        <v>30</v>
      </c>
      <c r="R2353" t="s">
        <v>31</v>
      </c>
      <c r="S2353" t="s">
        <v>58</v>
      </c>
    </row>
    <row r="2354" spans="1:19" x14ac:dyDescent="0.45">
      <c r="A2354" t="str">
        <f>"29801"</f>
        <v>29801</v>
      </c>
      <c r="B2354" t="s">
        <v>2370</v>
      </c>
      <c r="C2354" t="str">
        <f>"31401"</f>
        <v>31401</v>
      </c>
      <c r="D2354" t="s">
        <v>9934</v>
      </c>
      <c r="E2354" t="str">
        <f>"5108"</f>
        <v>5108</v>
      </c>
      <c r="F2354" t="s">
        <v>12938</v>
      </c>
      <c r="G2354">
        <v>6</v>
      </c>
      <c r="H2354">
        <v>8</v>
      </c>
      <c r="I2354" t="s">
        <v>12939</v>
      </c>
      <c r="K2354" t="s">
        <v>12593</v>
      </c>
      <c r="L2354" t="s">
        <v>25</v>
      </c>
      <c r="M2354">
        <v>98292</v>
      </c>
      <c r="N2354" t="s">
        <v>9939</v>
      </c>
      <c r="O2354" t="s">
        <v>9940</v>
      </c>
      <c r="P2354" t="s">
        <v>9941</v>
      </c>
      <c r="Q2354" t="s">
        <v>157</v>
      </c>
      <c r="R2354" t="s">
        <v>158</v>
      </c>
      <c r="S2354" t="s">
        <v>104</v>
      </c>
    </row>
    <row r="2355" spans="1:19" x14ac:dyDescent="0.45">
      <c r="A2355" t="str">
        <f>"06801"</f>
        <v>06801</v>
      </c>
      <c r="B2355" t="s">
        <v>1870</v>
      </c>
      <c r="C2355" t="str">
        <f>"06114"</f>
        <v>06114</v>
      </c>
      <c r="D2355" t="s">
        <v>2170</v>
      </c>
      <c r="E2355" t="str">
        <f>"5111"</f>
        <v>5111</v>
      </c>
      <c r="F2355" t="s">
        <v>12940</v>
      </c>
      <c r="G2355">
        <v>9</v>
      </c>
      <c r="H2355">
        <v>12</v>
      </c>
      <c r="I2355" t="s">
        <v>12941</v>
      </c>
      <c r="K2355" t="s">
        <v>2288</v>
      </c>
      <c r="L2355" t="s">
        <v>25</v>
      </c>
      <c r="M2355" t="s">
        <v>12942</v>
      </c>
      <c r="N2355" t="s">
        <v>12943</v>
      </c>
      <c r="O2355" t="s">
        <v>12944</v>
      </c>
      <c r="P2355" t="s">
        <v>12945</v>
      </c>
      <c r="Q2355" t="s">
        <v>30</v>
      </c>
      <c r="R2355" t="s">
        <v>31</v>
      </c>
      <c r="S2355" t="s">
        <v>58</v>
      </c>
    </row>
    <row r="2356" spans="1:19" x14ac:dyDescent="0.45">
      <c r="A2356" t="str">
        <f>"29801"</f>
        <v>29801</v>
      </c>
      <c r="B2356" t="s">
        <v>2370</v>
      </c>
      <c r="C2356" t="str">
        <f>"37507"</f>
        <v>37507</v>
      </c>
      <c r="D2356" t="s">
        <v>11691</v>
      </c>
      <c r="E2356" t="str">
        <f>"5112"</f>
        <v>5112</v>
      </c>
      <c r="F2356" t="s">
        <v>12946</v>
      </c>
      <c r="G2356" t="s">
        <v>70</v>
      </c>
      <c r="H2356">
        <v>12</v>
      </c>
      <c r="I2356" t="s">
        <v>12947</v>
      </c>
      <c r="K2356" t="s">
        <v>12948</v>
      </c>
      <c r="L2356" t="s">
        <v>25</v>
      </c>
      <c r="M2356" t="s">
        <v>11704</v>
      </c>
      <c r="N2356" t="s">
        <v>11697</v>
      </c>
      <c r="O2356" t="s">
        <v>11698</v>
      </c>
      <c r="P2356" t="s">
        <v>11699</v>
      </c>
      <c r="Q2356" t="s">
        <v>157</v>
      </c>
      <c r="R2356" t="s">
        <v>158</v>
      </c>
      <c r="S2356" t="s">
        <v>330</v>
      </c>
    </row>
    <row r="2357" spans="1:19" x14ac:dyDescent="0.45">
      <c r="A2357" t="str">
        <f>"32801"</f>
        <v>32801</v>
      </c>
      <c r="B2357" t="s">
        <v>1108</v>
      </c>
      <c r="C2357" t="str">
        <f>"32081"</f>
        <v>32081</v>
      </c>
      <c r="D2357" t="s">
        <v>2243</v>
      </c>
      <c r="E2357" t="str">
        <f>"5113"</f>
        <v>5113</v>
      </c>
      <c r="F2357" t="s">
        <v>12949</v>
      </c>
      <c r="G2357" t="s">
        <v>22</v>
      </c>
      <c r="H2357" t="s">
        <v>22</v>
      </c>
      <c r="I2357" t="s">
        <v>12950</v>
      </c>
      <c r="K2357" t="s">
        <v>2246</v>
      </c>
      <c r="L2357" t="s">
        <v>25</v>
      </c>
      <c r="M2357">
        <v>99201</v>
      </c>
      <c r="N2357" t="s">
        <v>79</v>
      </c>
      <c r="Q2357" t="s">
        <v>2316</v>
      </c>
      <c r="R2357" t="s">
        <v>31</v>
      </c>
      <c r="S2357" t="s">
        <v>1248</v>
      </c>
    </row>
    <row r="2358" spans="1:19" x14ac:dyDescent="0.45">
      <c r="A2358" t="str">
        <f>"29801"</f>
        <v>29801</v>
      </c>
      <c r="B2358" t="s">
        <v>2370</v>
      </c>
      <c r="C2358" t="str">
        <f>"31311"</f>
        <v>31311</v>
      </c>
      <c r="D2358" t="s">
        <v>2371</v>
      </c>
      <c r="E2358" t="str">
        <f>"5114"</f>
        <v>5114</v>
      </c>
      <c r="F2358" t="s">
        <v>12951</v>
      </c>
      <c r="G2358">
        <v>9</v>
      </c>
      <c r="H2358">
        <v>12</v>
      </c>
      <c r="I2358" t="s">
        <v>2373</v>
      </c>
      <c r="K2358" t="s">
        <v>2374</v>
      </c>
      <c r="L2358" t="s">
        <v>25</v>
      </c>
      <c r="M2358">
        <v>98294</v>
      </c>
      <c r="N2358" t="s">
        <v>9892</v>
      </c>
      <c r="O2358" t="s">
        <v>2376</v>
      </c>
      <c r="P2358" t="s">
        <v>2377</v>
      </c>
      <c r="Q2358" t="s">
        <v>157</v>
      </c>
      <c r="R2358" t="s">
        <v>158</v>
      </c>
      <c r="S2358" t="s">
        <v>58</v>
      </c>
    </row>
    <row r="2359" spans="1:19" x14ac:dyDescent="0.45">
      <c r="A2359" t="str">
        <f>"18801"</f>
        <v>18801</v>
      </c>
      <c r="B2359" t="s">
        <v>1731</v>
      </c>
      <c r="C2359" t="str">
        <f>"05121"</f>
        <v>05121</v>
      </c>
      <c r="D2359" t="s">
        <v>1732</v>
      </c>
      <c r="E2359" t="str">
        <f>"5115"</f>
        <v>5115</v>
      </c>
      <c r="F2359" t="s">
        <v>2077</v>
      </c>
      <c r="G2359" t="s">
        <v>22</v>
      </c>
      <c r="H2359">
        <v>6</v>
      </c>
      <c r="I2359" t="s">
        <v>12952</v>
      </c>
      <c r="K2359" t="s">
        <v>12953</v>
      </c>
      <c r="L2359" t="s">
        <v>25</v>
      </c>
      <c r="M2359">
        <v>98362</v>
      </c>
      <c r="N2359" t="s">
        <v>12954</v>
      </c>
      <c r="O2359" t="s">
        <v>12955</v>
      </c>
      <c r="P2359" t="s">
        <v>12956</v>
      </c>
      <c r="Q2359" t="s">
        <v>30</v>
      </c>
      <c r="R2359" t="s">
        <v>31</v>
      </c>
      <c r="S2359" t="s">
        <v>32</v>
      </c>
    </row>
    <row r="2360" spans="1:19" x14ac:dyDescent="0.45">
      <c r="A2360" t="str">
        <f>"17801"</f>
        <v>17801</v>
      </c>
      <c r="B2360" t="s">
        <v>19</v>
      </c>
      <c r="C2360" t="str">
        <f>"17401"</f>
        <v>17401</v>
      </c>
      <c r="D2360" t="s">
        <v>149</v>
      </c>
      <c r="E2360" t="str">
        <f>"5116"</f>
        <v>5116</v>
      </c>
      <c r="F2360" t="s">
        <v>12957</v>
      </c>
      <c r="G2360">
        <v>9</v>
      </c>
      <c r="H2360">
        <v>12</v>
      </c>
      <c r="I2360" t="s">
        <v>12958</v>
      </c>
      <c r="J2360" t="s">
        <v>12532</v>
      </c>
      <c r="K2360" t="s">
        <v>152</v>
      </c>
      <c r="L2360" t="s">
        <v>25</v>
      </c>
      <c r="M2360">
        <v>98146</v>
      </c>
      <c r="N2360" t="s">
        <v>154</v>
      </c>
      <c r="O2360" t="s">
        <v>155</v>
      </c>
      <c r="P2360" t="s">
        <v>156</v>
      </c>
      <c r="Q2360" t="s">
        <v>157</v>
      </c>
      <c r="R2360" t="s">
        <v>158</v>
      </c>
      <c r="S2360" t="s">
        <v>58</v>
      </c>
    </row>
    <row r="2361" spans="1:19" x14ac:dyDescent="0.45">
      <c r="A2361" t="str">
        <f>"32801"</f>
        <v>32801</v>
      </c>
      <c r="B2361" t="s">
        <v>1108</v>
      </c>
      <c r="C2361" t="str">
        <f>"26056"</f>
        <v>26056</v>
      </c>
      <c r="D2361" t="s">
        <v>7583</v>
      </c>
      <c r="E2361" t="str">
        <f>"5118"</f>
        <v>5118</v>
      </c>
      <c r="F2361" t="s">
        <v>12959</v>
      </c>
      <c r="G2361">
        <v>8</v>
      </c>
      <c r="H2361">
        <v>12</v>
      </c>
      <c r="I2361" t="s">
        <v>7585</v>
      </c>
      <c r="K2361" t="s">
        <v>7586</v>
      </c>
      <c r="L2361" t="s">
        <v>25</v>
      </c>
      <c r="M2361">
        <v>99156</v>
      </c>
      <c r="N2361" t="s">
        <v>7588</v>
      </c>
      <c r="O2361" t="s">
        <v>7589</v>
      </c>
      <c r="P2361" t="s">
        <v>12960</v>
      </c>
      <c r="Q2361" t="s">
        <v>157</v>
      </c>
      <c r="R2361" t="s">
        <v>158</v>
      </c>
      <c r="S2361" t="s">
        <v>58</v>
      </c>
    </row>
    <row r="2362" spans="1:19" x14ac:dyDescent="0.45">
      <c r="A2362" t="str">
        <f>"17801"</f>
        <v>17801</v>
      </c>
      <c r="B2362" t="s">
        <v>19</v>
      </c>
      <c r="C2362" t="str">
        <f>"17401"</f>
        <v>17401</v>
      </c>
      <c r="D2362" t="s">
        <v>149</v>
      </c>
      <c r="E2362" t="str">
        <f>"5119"</f>
        <v>5119</v>
      </c>
      <c r="F2362" t="s">
        <v>12961</v>
      </c>
      <c r="G2362" t="s">
        <v>22</v>
      </c>
      <c r="H2362" t="s">
        <v>22</v>
      </c>
      <c r="I2362" t="s">
        <v>12962</v>
      </c>
      <c r="K2362" t="s">
        <v>198</v>
      </c>
      <c r="L2362" t="s">
        <v>25</v>
      </c>
      <c r="M2362" t="s">
        <v>12963</v>
      </c>
      <c r="N2362" t="s">
        <v>12964</v>
      </c>
      <c r="O2362" t="s">
        <v>12965</v>
      </c>
      <c r="P2362" t="s">
        <v>12966</v>
      </c>
      <c r="Q2362" t="s">
        <v>2316</v>
      </c>
      <c r="R2362" t="s">
        <v>31</v>
      </c>
      <c r="S2362" t="s">
        <v>1248</v>
      </c>
    </row>
    <row r="2363" spans="1:19" x14ac:dyDescent="0.45">
      <c r="A2363" t="str">
        <f>"39801"</f>
        <v>39801</v>
      </c>
      <c r="B2363" t="s">
        <v>2395</v>
      </c>
      <c r="C2363" t="str">
        <f>"13073"</f>
        <v>13073</v>
      </c>
      <c r="D2363" t="s">
        <v>4015</v>
      </c>
      <c r="E2363" t="str">
        <f>"5120"</f>
        <v>5120</v>
      </c>
      <c r="F2363" t="s">
        <v>12967</v>
      </c>
      <c r="G2363" t="s">
        <v>22</v>
      </c>
      <c r="H2363" t="s">
        <v>22</v>
      </c>
      <c r="I2363" t="s">
        <v>4017</v>
      </c>
      <c r="K2363" t="s">
        <v>4018</v>
      </c>
      <c r="L2363" t="s">
        <v>25</v>
      </c>
      <c r="M2363" t="s">
        <v>12968</v>
      </c>
      <c r="N2363" t="s">
        <v>12570</v>
      </c>
      <c r="O2363" t="s">
        <v>4025</v>
      </c>
      <c r="P2363" t="s">
        <v>4026</v>
      </c>
      <c r="Q2363" t="s">
        <v>2316</v>
      </c>
      <c r="R2363" t="s">
        <v>31</v>
      </c>
      <c r="S2363" t="s">
        <v>1248</v>
      </c>
    </row>
    <row r="2364" spans="1:19" x14ac:dyDescent="0.45">
      <c r="A2364" t="str">
        <f>"32801"</f>
        <v>32801</v>
      </c>
      <c r="B2364" t="s">
        <v>1108</v>
      </c>
      <c r="C2364" t="str">
        <f>"32354"</f>
        <v>32354</v>
      </c>
      <c r="D2364" t="s">
        <v>2735</v>
      </c>
      <c r="E2364" t="str">
        <f>"5122"</f>
        <v>5122</v>
      </c>
      <c r="F2364" t="s">
        <v>12969</v>
      </c>
      <c r="G2364" t="s">
        <v>22</v>
      </c>
      <c r="H2364" t="s">
        <v>22</v>
      </c>
      <c r="I2364" t="s">
        <v>12970</v>
      </c>
      <c r="K2364" t="s">
        <v>2738</v>
      </c>
      <c r="L2364" t="s">
        <v>25</v>
      </c>
      <c r="M2364">
        <v>99021</v>
      </c>
      <c r="N2364" t="s">
        <v>79</v>
      </c>
      <c r="Q2364" t="s">
        <v>2316</v>
      </c>
      <c r="R2364" t="s">
        <v>31</v>
      </c>
      <c r="S2364" t="s">
        <v>1248</v>
      </c>
    </row>
    <row r="2365" spans="1:19" x14ac:dyDescent="0.45">
      <c r="A2365" t="str">
        <f>"29801"</f>
        <v>29801</v>
      </c>
      <c r="B2365" t="s">
        <v>2370</v>
      </c>
      <c r="C2365" t="str">
        <f>"31025"</f>
        <v>31025</v>
      </c>
      <c r="D2365" t="s">
        <v>2483</v>
      </c>
      <c r="E2365" t="str">
        <f>"5123"</f>
        <v>5123</v>
      </c>
      <c r="F2365" t="s">
        <v>12971</v>
      </c>
      <c r="G2365" t="s">
        <v>70</v>
      </c>
      <c r="H2365">
        <v>5</v>
      </c>
      <c r="I2365" t="s">
        <v>12972</v>
      </c>
      <c r="K2365" t="s">
        <v>2744</v>
      </c>
      <c r="L2365" t="s">
        <v>25</v>
      </c>
      <c r="M2365">
        <v>98270</v>
      </c>
      <c r="N2365" t="s">
        <v>12973</v>
      </c>
      <c r="O2365" t="s">
        <v>12974</v>
      </c>
      <c r="P2365" t="s">
        <v>12975</v>
      </c>
      <c r="Q2365" t="s">
        <v>30</v>
      </c>
      <c r="R2365" t="s">
        <v>31</v>
      </c>
      <c r="S2365" t="s">
        <v>32</v>
      </c>
    </row>
    <row r="2366" spans="1:19" x14ac:dyDescent="0.45">
      <c r="A2366" t="str">
        <f>"32801"</f>
        <v>32801</v>
      </c>
      <c r="B2366" t="s">
        <v>1108</v>
      </c>
      <c r="C2366" t="str">
        <f>"32414"</f>
        <v>32414</v>
      </c>
      <c r="D2366" t="s">
        <v>10709</v>
      </c>
      <c r="E2366" t="str">
        <f>"5124"</f>
        <v>5124</v>
      </c>
      <c r="F2366" t="s">
        <v>12976</v>
      </c>
      <c r="G2366" t="s">
        <v>22</v>
      </c>
      <c r="H2366" t="s">
        <v>22</v>
      </c>
      <c r="I2366" t="s">
        <v>12977</v>
      </c>
      <c r="K2366" t="s">
        <v>10712</v>
      </c>
      <c r="L2366" t="s">
        <v>25</v>
      </c>
      <c r="M2366">
        <v>99006</v>
      </c>
      <c r="N2366" t="s">
        <v>12978</v>
      </c>
      <c r="O2366" t="s">
        <v>12979</v>
      </c>
      <c r="P2366" t="s">
        <v>12980</v>
      </c>
      <c r="Q2366" t="s">
        <v>66</v>
      </c>
      <c r="R2366" t="s">
        <v>67</v>
      </c>
      <c r="S2366" t="s">
        <v>1248</v>
      </c>
    </row>
    <row r="2367" spans="1:19" x14ac:dyDescent="0.45">
      <c r="A2367" t="str">
        <f>"29801"</f>
        <v>29801</v>
      </c>
      <c r="B2367" t="s">
        <v>2370</v>
      </c>
      <c r="C2367" t="str">
        <f>"37501"</f>
        <v>37501</v>
      </c>
      <c r="D2367" t="s">
        <v>2437</v>
      </c>
      <c r="E2367" t="str">
        <f>"5125"</f>
        <v>5125</v>
      </c>
      <c r="F2367" t="s">
        <v>12981</v>
      </c>
      <c r="G2367" t="s">
        <v>22</v>
      </c>
      <c r="H2367">
        <v>5</v>
      </c>
      <c r="I2367" t="s">
        <v>12982</v>
      </c>
      <c r="K2367" t="s">
        <v>2440</v>
      </c>
      <c r="L2367" t="s">
        <v>25</v>
      </c>
      <c r="M2367" t="s">
        <v>12983</v>
      </c>
      <c r="N2367" t="s">
        <v>12984</v>
      </c>
      <c r="O2367" t="s">
        <v>12985</v>
      </c>
      <c r="P2367" t="s">
        <v>12986</v>
      </c>
      <c r="Q2367" t="s">
        <v>30</v>
      </c>
      <c r="R2367" t="s">
        <v>31</v>
      </c>
      <c r="S2367" t="s">
        <v>32</v>
      </c>
    </row>
    <row r="2368" spans="1:19" x14ac:dyDescent="0.45">
      <c r="A2368" t="str">
        <f>"32801"</f>
        <v>32801</v>
      </c>
      <c r="B2368" t="s">
        <v>1108</v>
      </c>
      <c r="C2368" t="str">
        <f>"32360"</f>
        <v>32360</v>
      </c>
      <c r="D2368" t="s">
        <v>2217</v>
      </c>
      <c r="E2368" t="str">
        <f>"5126"</f>
        <v>5126</v>
      </c>
      <c r="F2368" t="s">
        <v>12987</v>
      </c>
      <c r="G2368" t="s">
        <v>22</v>
      </c>
      <c r="H2368" t="s">
        <v>22</v>
      </c>
      <c r="I2368" t="s">
        <v>12988</v>
      </c>
      <c r="K2368" t="s">
        <v>2220</v>
      </c>
      <c r="L2368" t="s">
        <v>25</v>
      </c>
      <c r="M2368">
        <v>99004</v>
      </c>
      <c r="N2368" t="s">
        <v>12989</v>
      </c>
      <c r="O2368" t="s">
        <v>12990</v>
      </c>
      <c r="P2368" t="s">
        <v>12991</v>
      </c>
      <c r="Q2368" t="s">
        <v>66</v>
      </c>
      <c r="R2368" t="s">
        <v>67</v>
      </c>
      <c r="S2368" t="s">
        <v>1248</v>
      </c>
    </row>
    <row r="2369" spans="1:19" x14ac:dyDescent="0.45">
      <c r="A2369" t="str">
        <f>"29801"</f>
        <v>29801</v>
      </c>
      <c r="B2369" t="s">
        <v>2370</v>
      </c>
      <c r="C2369" t="str">
        <f>"31201"</f>
        <v>31201</v>
      </c>
      <c r="D2369" t="s">
        <v>9773</v>
      </c>
      <c r="E2369" t="str">
        <f>"5128"</f>
        <v>5128</v>
      </c>
      <c r="F2369" t="s">
        <v>12992</v>
      </c>
      <c r="G2369">
        <v>9</v>
      </c>
      <c r="H2369">
        <v>12</v>
      </c>
      <c r="I2369" t="s">
        <v>12993</v>
      </c>
      <c r="K2369" t="s">
        <v>12994</v>
      </c>
      <c r="L2369" t="s">
        <v>25</v>
      </c>
      <c r="M2369">
        <v>98296</v>
      </c>
      <c r="N2369" t="s">
        <v>12995</v>
      </c>
      <c r="O2369" t="s">
        <v>12996</v>
      </c>
      <c r="P2369" t="s">
        <v>12997</v>
      </c>
      <c r="Q2369" t="s">
        <v>30</v>
      </c>
      <c r="R2369" t="s">
        <v>31</v>
      </c>
      <c r="S2369" t="s">
        <v>58</v>
      </c>
    </row>
    <row r="2370" spans="1:19" x14ac:dyDescent="0.45">
      <c r="A2370" t="str">
        <f>"17801"</f>
        <v>17801</v>
      </c>
      <c r="B2370" t="s">
        <v>19</v>
      </c>
      <c r="C2370" t="str">
        <f>"27402"</f>
        <v>27402</v>
      </c>
      <c r="D2370" t="s">
        <v>2863</v>
      </c>
      <c r="E2370" t="str">
        <f>"5129"</f>
        <v>5129</v>
      </c>
      <c r="F2370" t="s">
        <v>12998</v>
      </c>
      <c r="G2370" t="s">
        <v>22</v>
      </c>
      <c r="H2370" t="s">
        <v>22</v>
      </c>
      <c r="I2370" t="s">
        <v>12999</v>
      </c>
      <c r="K2370" t="s">
        <v>2276</v>
      </c>
      <c r="L2370" t="s">
        <v>25</v>
      </c>
      <c r="M2370">
        <v>98444</v>
      </c>
      <c r="N2370" t="s">
        <v>13000</v>
      </c>
      <c r="O2370" t="s">
        <v>13001</v>
      </c>
      <c r="P2370" t="s">
        <v>13002</v>
      </c>
      <c r="Q2370" t="s">
        <v>2316</v>
      </c>
      <c r="R2370" t="s">
        <v>31</v>
      </c>
      <c r="S2370" t="s">
        <v>1248</v>
      </c>
    </row>
    <row r="2371" spans="1:19" x14ac:dyDescent="0.45">
      <c r="A2371" t="str">
        <f>"04801"</f>
        <v>04801</v>
      </c>
      <c r="B2371" t="s">
        <v>1549</v>
      </c>
      <c r="C2371" t="str">
        <f>"09206"</f>
        <v>09206</v>
      </c>
      <c r="D2371" t="s">
        <v>3755</v>
      </c>
      <c r="E2371" t="str">
        <f>"5130"</f>
        <v>5130</v>
      </c>
      <c r="F2371" t="s">
        <v>13003</v>
      </c>
      <c r="G2371" t="s">
        <v>22</v>
      </c>
      <c r="H2371" t="s">
        <v>22</v>
      </c>
      <c r="I2371" t="s">
        <v>13004</v>
      </c>
      <c r="K2371" t="s">
        <v>3765</v>
      </c>
      <c r="L2371" t="s">
        <v>25</v>
      </c>
      <c r="M2371">
        <v>98802</v>
      </c>
      <c r="N2371" t="s">
        <v>13005</v>
      </c>
      <c r="O2371" t="s">
        <v>13006</v>
      </c>
      <c r="P2371" t="s">
        <v>13007</v>
      </c>
      <c r="Q2371" t="s">
        <v>66</v>
      </c>
      <c r="R2371" t="s">
        <v>67</v>
      </c>
      <c r="S2371" t="s">
        <v>1248</v>
      </c>
    </row>
    <row r="2372" spans="1:19" x14ac:dyDescent="0.45">
      <c r="A2372" t="str">
        <f>"06801"</f>
        <v>06801</v>
      </c>
      <c r="B2372" t="s">
        <v>1870</v>
      </c>
      <c r="C2372" t="str">
        <f>"06119"</f>
        <v>06119</v>
      </c>
      <c r="D2372" t="s">
        <v>2543</v>
      </c>
      <c r="E2372" t="str">
        <f>"5131"</f>
        <v>5131</v>
      </c>
      <c r="F2372" t="s">
        <v>13008</v>
      </c>
      <c r="G2372">
        <v>5</v>
      </c>
      <c r="H2372">
        <v>8</v>
      </c>
      <c r="I2372" t="s">
        <v>2545</v>
      </c>
      <c r="K2372" t="s">
        <v>13009</v>
      </c>
      <c r="L2372" t="s">
        <v>25</v>
      </c>
      <c r="M2372">
        <v>98604</v>
      </c>
      <c r="N2372" t="s">
        <v>2167</v>
      </c>
      <c r="O2372" t="s">
        <v>13010</v>
      </c>
      <c r="P2372" t="s">
        <v>13011</v>
      </c>
      <c r="Q2372" t="s">
        <v>30</v>
      </c>
      <c r="R2372" t="s">
        <v>31</v>
      </c>
      <c r="S2372" t="s">
        <v>104</v>
      </c>
    </row>
    <row r="2373" spans="1:19" x14ac:dyDescent="0.45">
      <c r="A2373" t="str">
        <f>"06801"</f>
        <v>06801</v>
      </c>
      <c r="B2373" t="s">
        <v>1870</v>
      </c>
      <c r="C2373" t="str">
        <f>"06119"</f>
        <v>06119</v>
      </c>
      <c r="D2373" t="s">
        <v>2543</v>
      </c>
      <c r="E2373" t="str">
        <f>"5132"</f>
        <v>5132</v>
      </c>
      <c r="F2373" t="s">
        <v>13012</v>
      </c>
      <c r="G2373" t="s">
        <v>22</v>
      </c>
      <c r="H2373">
        <v>4</v>
      </c>
      <c r="I2373" t="s">
        <v>2545</v>
      </c>
      <c r="K2373" t="s">
        <v>2546</v>
      </c>
      <c r="L2373" t="s">
        <v>25</v>
      </c>
      <c r="M2373">
        <v>98642</v>
      </c>
      <c r="N2373" t="s">
        <v>13013</v>
      </c>
      <c r="O2373" t="s">
        <v>13014</v>
      </c>
      <c r="P2373" t="s">
        <v>13015</v>
      </c>
      <c r="Q2373" t="s">
        <v>30</v>
      </c>
      <c r="R2373" t="s">
        <v>31</v>
      </c>
      <c r="S2373" t="s">
        <v>32</v>
      </c>
    </row>
    <row r="2374" spans="1:19" x14ac:dyDescent="0.45">
      <c r="A2374" t="str">
        <f>"06801"</f>
        <v>06801</v>
      </c>
      <c r="B2374" t="s">
        <v>1870</v>
      </c>
      <c r="C2374" t="str">
        <f>"06119"</f>
        <v>06119</v>
      </c>
      <c r="D2374" t="s">
        <v>2543</v>
      </c>
      <c r="E2374" t="str">
        <f>"5133"</f>
        <v>5133</v>
      </c>
      <c r="F2374" t="s">
        <v>13016</v>
      </c>
      <c r="G2374">
        <v>5</v>
      </c>
      <c r="H2374">
        <v>8</v>
      </c>
      <c r="I2374" t="s">
        <v>13017</v>
      </c>
      <c r="K2374" t="s">
        <v>2546</v>
      </c>
      <c r="L2374" t="s">
        <v>25</v>
      </c>
      <c r="M2374">
        <v>98604</v>
      </c>
      <c r="N2374" t="s">
        <v>13018</v>
      </c>
      <c r="O2374" t="s">
        <v>13019</v>
      </c>
      <c r="P2374" t="s">
        <v>13020</v>
      </c>
      <c r="Q2374" t="s">
        <v>30</v>
      </c>
      <c r="R2374" t="s">
        <v>31</v>
      </c>
      <c r="S2374" t="s">
        <v>104</v>
      </c>
    </row>
    <row r="2375" spans="1:19" x14ac:dyDescent="0.45">
      <c r="A2375" t="str">
        <f>"17801"</f>
        <v>17801</v>
      </c>
      <c r="B2375" t="s">
        <v>19</v>
      </c>
      <c r="C2375" t="str">
        <f>"17410"</f>
        <v>17410</v>
      </c>
      <c r="D2375" t="s">
        <v>862</v>
      </c>
      <c r="E2375" t="str">
        <f>"5135"</f>
        <v>5135</v>
      </c>
      <c r="F2375" t="s">
        <v>13021</v>
      </c>
      <c r="G2375">
        <v>6</v>
      </c>
      <c r="H2375">
        <v>8</v>
      </c>
      <c r="I2375" t="s">
        <v>13022</v>
      </c>
      <c r="K2375" t="s">
        <v>13023</v>
      </c>
      <c r="L2375" t="s">
        <v>25</v>
      </c>
      <c r="M2375">
        <v>98045</v>
      </c>
      <c r="N2375" t="s">
        <v>13024</v>
      </c>
      <c r="O2375" t="s">
        <v>13025</v>
      </c>
      <c r="P2375" t="s">
        <v>13026</v>
      </c>
      <c r="Q2375" t="s">
        <v>30</v>
      </c>
      <c r="R2375" t="s">
        <v>31</v>
      </c>
      <c r="S2375" t="s">
        <v>104</v>
      </c>
    </row>
    <row r="2376" spans="1:19" x14ac:dyDescent="0.45">
      <c r="A2376" t="str">
        <f>"06801"</f>
        <v>06801</v>
      </c>
      <c r="B2376" t="s">
        <v>1870</v>
      </c>
      <c r="C2376" t="str">
        <f>"06114"</f>
        <v>06114</v>
      </c>
      <c r="D2376" t="s">
        <v>2170</v>
      </c>
      <c r="E2376" t="str">
        <f>"5136"</f>
        <v>5136</v>
      </c>
      <c r="F2376" t="s">
        <v>1022</v>
      </c>
      <c r="G2376" t="s">
        <v>22</v>
      </c>
      <c r="H2376">
        <v>5</v>
      </c>
      <c r="I2376" t="s">
        <v>13027</v>
      </c>
      <c r="K2376" t="s">
        <v>2029</v>
      </c>
      <c r="L2376" t="s">
        <v>25</v>
      </c>
      <c r="M2376">
        <v>98684</v>
      </c>
      <c r="N2376" t="s">
        <v>13028</v>
      </c>
      <c r="O2376" t="s">
        <v>13029</v>
      </c>
      <c r="P2376" t="s">
        <v>13030</v>
      </c>
      <c r="Q2376" t="s">
        <v>30</v>
      </c>
      <c r="R2376" t="s">
        <v>31</v>
      </c>
      <c r="S2376" t="s">
        <v>32</v>
      </c>
    </row>
    <row r="2377" spans="1:19" x14ac:dyDescent="0.45">
      <c r="A2377" t="str">
        <f>"39801"</f>
        <v>39801</v>
      </c>
      <c r="B2377" t="s">
        <v>2395</v>
      </c>
      <c r="C2377" t="str">
        <f>"39201"</f>
        <v>39201</v>
      </c>
      <c r="D2377" t="s">
        <v>2495</v>
      </c>
      <c r="E2377" t="str">
        <f>"5137"</f>
        <v>5137</v>
      </c>
      <c r="F2377" t="s">
        <v>13031</v>
      </c>
      <c r="G2377" t="s">
        <v>22</v>
      </c>
      <c r="H2377" t="s">
        <v>70</v>
      </c>
      <c r="I2377" t="s">
        <v>13032</v>
      </c>
      <c r="K2377" t="s">
        <v>2498</v>
      </c>
      <c r="L2377" t="s">
        <v>25</v>
      </c>
      <c r="M2377">
        <v>98944</v>
      </c>
      <c r="N2377" t="s">
        <v>13033</v>
      </c>
      <c r="O2377" t="s">
        <v>13034</v>
      </c>
      <c r="P2377" t="s">
        <v>13035</v>
      </c>
      <c r="Q2377" t="s">
        <v>30</v>
      </c>
      <c r="R2377" t="s">
        <v>31</v>
      </c>
      <c r="S2377" t="s">
        <v>32</v>
      </c>
    </row>
    <row r="2378" spans="1:19" x14ac:dyDescent="0.45">
      <c r="A2378" t="str">
        <f>"17801"</f>
        <v>17801</v>
      </c>
      <c r="B2378" t="s">
        <v>19</v>
      </c>
      <c r="C2378" t="str">
        <f>"17414"</f>
        <v>17414</v>
      </c>
      <c r="D2378" t="s">
        <v>4253</v>
      </c>
      <c r="E2378" t="str">
        <f>"5139"</f>
        <v>5139</v>
      </c>
      <c r="F2378" t="s">
        <v>9074</v>
      </c>
      <c r="G2378" t="s">
        <v>22</v>
      </c>
      <c r="H2378">
        <v>5</v>
      </c>
      <c r="I2378" t="s">
        <v>13036</v>
      </c>
      <c r="K2378" t="s">
        <v>5962</v>
      </c>
      <c r="L2378" t="s">
        <v>25</v>
      </c>
      <c r="M2378">
        <v>98074</v>
      </c>
      <c r="N2378" t="s">
        <v>13037</v>
      </c>
      <c r="O2378" t="s">
        <v>13038</v>
      </c>
      <c r="P2378" t="s">
        <v>13039</v>
      </c>
      <c r="Q2378" t="s">
        <v>30</v>
      </c>
      <c r="R2378" t="s">
        <v>31</v>
      </c>
      <c r="S2378" t="s">
        <v>32</v>
      </c>
    </row>
    <row r="2379" spans="1:19" x14ac:dyDescent="0.45">
      <c r="A2379" t="str">
        <f>"17801"</f>
        <v>17801</v>
      </c>
      <c r="B2379" t="s">
        <v>19</v>
      </c>
      <c r="C2379" t="str">
        <f>"27003"</f>
        <v>27003</v>
      </c>
      <c r="D2379" t="s">
        <v>2338</v>
      </c>
      <c r="E2379" t="str">
        <f>"5142"</f>
        <v>5142</v>
      </c>
      <c r="F2379" t="s">
        <v>13040</v>
      </c>
      <c r="G2379">
        <v>7</v>
      </c>
      <c r="H2379">
        <v>9</v>
      </c>
      <c r="I2379" t="s">
        <v>13041</v>
      </c>
      <c r="K2379" t="s">
        <v>2347</v>
      </c>
      <c r="L2379" t="s">
        <v>25</v>
      </c>
      <c r="M2379">
        <v>98374</v>
      </c>
      <c r="N2379" t="s">
        <v>13042</v>
      </c>
      <c r="O2379" t="s">
        <v>13043</v>
      </c>
      <c r="P2379" t="s">
        <v>13044</v>
      </c>
      <c r="Q2379" t="s">
        <v>30</v>
      </c>
      <c r="R2379" t="s">
        <v>31</v>
      </c>
      <c r="S2379" t="s">
        <v>6608</v>
      </c>
    </row>
    <row r="2380" spans="1:19" x14ac:dyDescent="0.45">
      <c r="A2380" t="str">
        <f>"39801"</f>
        <v>39801</v>
      </c>
      <c r="B2380" t="s">
        <v>2395</v>
      </c>
      <c r="C2380" t="str">
        <f>"13073"</f>
        <v>13073</v>
      </c>
      <c r="D2380" t="s">
        <v>4015</v>
      </c>
      <c r="E2380" t="str">
        <f>"5144"</f>
        <v>5144</v>
      </c>
      <c r="F2380" t="s">
        <v>13045</v>
      </c>
      <c r="G2380">
        <v>6</v>
      </c>
      <c r="H2380">
        <v>8</v>
      </c>
      <c r="I2380" t="s">
        <v>12568</v>
      </c>
      <c r="K2380" t="s">
        <v>4018</v>
      </c>
      <c r="L2380" t="s">
        <v>25</v>
      </c>
      <c r="M2380">
        <v>99349</v>
      </c>
      <c r="N2380" t="s">
        <v>13046</v>
      </c>
      <c r="O2380" t="s">
        <v>13047</v>
      </c>
      <c r="P2380" t="s">
        <v>13048</v>
      </c>
      <c r="Q2380" t="s">
        <v>30</v>
      </c>
      <c r="R2380" t="s">
        <v>31</v>
      </c>
      <c r="S2380" t="s">
        <v>104</v>
      </c>
    </row>
    <row r="2381" spans="1:19" x14ac:dyDescent="0.45">
      <c r="A2381" t="str">
        <f>"06801"</f>
        <v>06801</v>
      </c>
      <c r="B2381" t="s">
        <v>1870</v>
      </c>
      <c r="C2381" t="str">
        <f>"06037"</f>
        <v>06037</v>
      </c>
      <c r="D2381" t="s">
        <v>1871</v>
      </c>
      <c r="E2381" t="str">
        <f>"5149"</f>
        <v>5149</v>
      </c>
      <c r="F2381" t="s">
        <v>13049</v>
      </c>
      <c r="G2381">
        <v>6</v>
      </c>
      <c r="H2381">
        <v>12</v>
      </c>
      <c r="I2381" t="s">
        <v>1906</v>
      </c>
      <c r="K2381" t="s">
        <v>1874</v>
      </c>
      <c r="L2381" t="s">
        <v>25</v>
      </c>
      <c r="M2381" t="s">
        <v>1907</v>
      </c>
      <c r="N2381" t="s">
        <v>2442</v>
      </c>
      <c r="O2381" t="s">
        <v>12530</v>
      </c>
      <c r="P2381" t="s">
        <v>2444</v>
      </c>
      <c r="Q2381" t="s">
        <v>157</v>
      </c>
      <c r="R2381" t="s">
        <v>158</v>
      </c>
      <c r="S2381" t="s">
        <v>330</v>
      </c>
    </row>
    <row r="2382" spans="1:19" x14ac:dyDescent="0.45">
      <c r="A2382" t="str">
        <f>"17801"</f>
        <v>17801</v>
      </c>
      <c r="B2382" t="s">
        <v>19</v>
      </c>
      <c r="C2382" t="str">
        <f>"17415"</f>
        <v>17415</v>
      </c>
      <c r="D2382" t="s">
        <v>2884</v>
      </c>
      <c r="E2382" t="str">
        <f>"5150"</f>
        <v>5150</v>
      </c>
      <c r="F2382" t="s">
        <v>13050</v>
      </c>
      <c r="G2382" t="s">
        <v>22</v>
      </c>
      <c r="H2382" t="s">
        <v>22</v>
      </c>
      <c r="I2382" t="s">
        <v>13051</v>
      </c>
      <c r="K2382" t="s">
        <v>2887</v>
      </c>
      <c r="L2382" t="s">
        <v>25</v>
      </c>
      <c r="M2382" t="s">
        <v>6032</v>
      </c>
      <c r="N2382" t="s">
        <v>13052</v>
      </c>
      <c r="O2382" t="s">
        <v>13053</v>
      </c>
      <c r="P2382" t="s">
        <v>13054</v>
      </c>
      <c r="Q2382" t="s">
        <v>66</v>
      </c>
      <c r="R2382" t="s">
        <v>67</v>
      </c>
      <c r="S2382" t="s">
        <v>1248</v>
      </c>
    </row>
    <row r="2383" spans="1:19" x14ac:dyDescent="0.45">
      <c r="A2383" t="str">
        <f>"04801"</f>
        <v>04801</v>
      </c>
      <c r="B2383" t="s">
        <v>1549</v>
      </c>
      <c r="C2383" t="str">
        <f>"24105"</f>
        <v>24105</v>
      </c>
      <c r="D2383" t="s">
        <v>7397</v>
      </c>
      <c r="E2383" t="str">
        <f>"5151"</f>
        <v>5151</v>
      </c>
      <c r="F2383" t="s">
        <v>13055</v>
      </c>
      <c r="G2383">
        <v>6</v>
      </c>
      <c r="H2383">
        <v>12</v>
      </c>
      <c r="I2383" t="s">
        <v>7399</v>
      </c>
      <c r="K2383" t="s">
        <v>7400</v>
      </c>
      <c r="L2383" t="s">
        <v>25</v>
      </c>
      <c r="M2383">
        <v>98840</v>
      </c>
      <c r="N2383" t="s">
        <v>12566</v>
      </c>
      <c r="O2383" t="s">
        <v>7416</v>
      </c>
      <c r="P2383" t="s">
        <v>7417</v>
      </c>
      <c r="Q2383" t="s">
        <v>157</v>
      </c>
      <c r="R2383" t="s">
        <v>158</v>
      </c>
      <c r="S2383" t="s">
        <v>159</v>
      </c>
    </row>
    <row r="2384" spans="1:19" x14ac:dyDescent="0.45">
      <c r="A2384" t="str">
        <f>"39801"</f>
        <v>39801</v>
      </c>
      <c r="B2384" t="s">
        <v>2395</v>
      </c>
      <c r="C2384" t="str">
        <f>"39007"</f>
        <v>39007</v>
      </c>
      <c r="D2384" t="s">
        <v>2508</v>
      </c>
      <c r="E2384" t="str">
        <f>"5153"</f>
        <v>5153</v>
      </c>
      <c r="F2384" t="s">
        <v>13056</v>
      </c>
      <c r="G2384">
        <v>6</v>
      </c>
      <c r="H2384">
        <v>12</v>
      </c>
      <c r="I2384" t="s">
        <v>2508</v>
      </c>
      <c r="J2384" t="s">
        <v>13057</v>
      </c>
      <c r="K2384" t="s">
        <v>2512</v>
      </c>
      <c r="L2384" t="s">
        <v>25</v>
      </c>
      <c r="M2384">
        <v>98902</v>
      </c>
      <c r="N2384" t="s">
        <v>2513</v>
      </c>
      <c r="O2384" t="s">
        <v>2514</v>
      </c>
      <c r="P2384" t="s">
        <v>2515</v>
      </c>
      <c r="Q2384" t="s">
        <v>157</v>
      </c>
      <c r="R2384" t="s">
        <v>158</v>
      </c>
      <c r="S2384" t="s">
        <v>159</v>
      </c>
    </row>
    <row r="2385" spans="1:19" x14ac:dyDescent="0.45">
      <c r="A2385" t="str">
        <f>"29801"</f>
        <v>29801</v>
      </c>
      <c r="B2385" t="s">
        <v>2370</v>
      </c>
      <c r="C2385" t="str">
        <f>"31103"</f>
        <v>31103</v>
      </c>
      <c r="D2385" t="s">
        <v>9709</v>
      </c>
      <c r="E2385" t="str">
        <f>"5154"</f>
        <v>5154</v>
      </c>
      <c r="F2385" t="s">
        <v>13058</v>
      </c>
      <c r="G2385">
        <v>9</v>
      </c>
      <c r="H2385">
        <v>12</v>
      </c>
      <c r="I2385" t="s">
        <v>13059</v>
      </c>
      <c r="K2385" t="s">
        <v>9719</v>
      </c>
      <c r="L2385" t="s">
        <v>25</v>
      </c>
      <c r="M2385">
        <v>98272</v>
      </c>
      <c r="N2385" t="s">
        <v>9734</v>
      </c>
      <c r="O2385" t="s">
        <v>9735</v>
      </c>
      <c r="P2385" t="s">
        <v>9736</v>
      </c>
      <c r="Q2385" t="s">
        <v>157</v>
      </c>
      <c r="R2385" t="s">
        <v>158</v>
      </c>
      <c r="S2385" t="s">
        <v>58</v>
      </c>
    </row>
    <row r="2386" spans="1:19" x14ac:dyDescent="0.45">
      <c r="A2386" t="str">
        <f>"11801"</f>
        <v>11801</v>
      </c>
      <c r="B2386" t="s">
        <v>1122</v>
      </c>
      <c r="C2386" t="str">
        <f>"36402"</f>
        <v>36402</v>
      </c>
      <c r="D2386" t="s">
        <v>11405</v>
      </c>
      <c r="E2386" t="str">
        <f>"5157"</f>
        <v>5157</v>
      </c>
      <c r="F2386" t="s">
        <v>13060</v>
      </c>
      <c r="G2386" t="s">
        <v>22</v>
      </c>
      <c r="H2386" t="s">
        <v>22</v>
      </c>
      <c r="I2386" t="s">
        <v>11407</v>
      </c>
      <c r="K2386" t="s">
        <v>11409</v>
      </c>
      <c r="L2386" t="s">
        <v>25</v>
      </c>
      <c r="M2386">
        <v>99348</v>
      </c>
      <c r="N2386" t="s">
        <v>11411</v>
      </c>
      <c r="O2386" t="s">
        <v>11412</v>
      </c>
      <c r="P2386" t="s">
        <v>11413</v>
      </c>
      <c r="Q2386" t="s">
        <v>66</v>
      </c>
      <c r="R2386" t="s">
        <v>67</v>
      </c>
      <c r="S2386" t="s">
        <v>1248</v>
      </c>
    </row>
    <row r="2387" spans="1:19" x14ac:dyDescent="0.45">
      <c r="A2387" t="str">
        <f>"06801"</f>
        <v>06801</v>
      </c>
      <c r="B2387" t="s">
        <v>1870</v>
      </c>
      <c r="C2387" t="str">
        <f>"06117"</f>
        <v>06117</v>
      </c>
      <c r="D2387" t="s">
        <v>2285</v>
      </c>
      <c r="E2387" t="str">
        <f>"5158"</f>
        <v>5158</v>
      </c>
      <c r="F2387" t="s">
        <v>13061</v>
      </c>
      <c r="G2387" t="s">
        <v>70</v>
      </c>
      <c r="H2387">
        <v>5</v>
      </c>
      <c r="I2387" t="s">
        <v>13062</v>
      </c>
      <c r="K2387" t="s">
        <v>2288</v>
      </c>
      <c r="L2387" t="s">
        <v>25</v>
      </c>
      <c r="M2387">
        <v>98607</v>
      </c>
      <c r="N2387" t="s">
        <v>13063</v>
      </c>
      <c r="O2387" t="s">
        <v>13064</v>
      </c>
      <c r="P2387" t="s">
        <v>13065</v>
      </c>
      <c r="Q2387" t="s">
        <v>30</v>
      </c>
      <c r="R2387" t="s">
        <v>31</v>
      </c>
      <c r="S2387" t="s">
        <v>32</v>
      </c>
    </row>
    <row r="2388" spans="1:19" x14ac:dyDescent="0.45">
      <c r="A2388" t="str">
        <f>"17801"</f>
        <v>17801</v>
      </c>
      <c r="B2388" t="s">
        <v>19</v>
      </c>
      <c r="C2388" t="str">
        <f>"27403"</f>
        <v>27403</v>
      </c>
      <c r="D2388" t="s">
        <v>2606</v>
      </c>
      <c r="E2388" t="str">
        <f>"5159"</f>
        <v>5159</v>
      </c>
      <c r="F2388" t="s">
        <v>13066</v>
      </c>
      <c r="G2388" t="s">
        <v>70</v>
      </c>
      <c r="H2388">
        <v>5</v>
      </c>
      <c r="I2388" t="s">
        <v>13067</v>
      </c>
      <c r="K2388" t="s">
        <v>13068</v>
      </c>
      <c r="L2388" t="s">
        <v>25</v>
      </c>
      <c r="M2388">
        <v>98375</v>
      </c>
      <c r="N2388" t="s">
        <v>13069</v>
      </c>
      <c r="O2388" t="s">
        <v>13070</v>
      </c>
      <c r="P2388" t="s">
        <v>13071</v>
      </c>
      <c r="Q2388" t="s">
        <v>30</v>
      </c>
      <c r="R2388" t="s">
        <v>31</v>
      </c>
      <c r="S2388" t="s">
        <v>32</v>
      </c>
    </row>
    <row r="2389" spans="1:19" x14ac:dyDescent="0.45">
      <c r="A2389" t="str">
        <f>"17801"</f>
        <v>17801</v>
      </c>
      <c r="B2389" t="s">
        <v>19</v>
      </c>
      <c r="C2389" t="str">
        <f>"27403"</f>
        <v>27403</v>
      </c>
      <c r="D2389" t="s">
        <v>2606</v>
      </c>
      <c r="E2389" t="str">
        <f>"5160"</f>
        <v>5160</v>
      </c>
      <c r="F2389" t="s">
        <v>13072</v>
      </c>
      <c r="G2389" t="s">
        <v>70</v>
      </c>
      <c r="H2389">
        <v>5</v>
      </c>
      <c r="I2389" t="s">
        <v>13073</v>
      </c>
      <c r="K2389" t="s">
        <v>8579</v>
      </c>
      <c r="L2389" t="s">
        <v>25</v>
      </c>
      <c r="M2389">
        <v>98338</v>
      </c>
      <c r="N2389" t="s">
        <v>13074</v>
      </c>
      <c r="O2389" t="s">
        <v>13075</v>
      </c>
      <c r="P2389" t="s">
        <v>13076</v>
      </c>
      <c r="Q2389" t="s">
        <v>30</v>
      </c>
      <c r="R2389" t="s">
        <v>31</v>
      </c>
      <c r="S2389" t="s">
        <v>32</v>
      </c>
    </row>
    <row r="2390" spans="1:19" x14ac:dyDescent="0.45">
      <c r="A2390" t="str">
        <f>"18801"</f>
        <v>18801</v>
      </c>
      <c r="B2390" t="s">
        <v>1731</v>
      </c>
      <c r="C2390" t="str">
        <f>"18100"</f>
        <v>18100</v>
      </c>
      <c r="D2390" t="s">
        <v>2712</v>
      </c>
      <c r="E2390" t="str">
        <f>"5161"</f>
        <v>5161</v>
      </c>
      <c r="F2390" t="s">
        <v>1214</v>
      </c>
      <c r="G2390" t="s">
        <v>22</v>
      </c>
      <c r="H2390" t="s">
        <v>22</v>
      </c>
      <c r="I2390" t="s">
        <v>2714</v>
      </c>
      <c r="K2390" t="s">
        <v>13077</v>
      </c>
      <c r="L2390" t="s">
        <v>25</v>
      </c>
      <c r="M2390">
        <v>98312</v>
      </c>
      <c r="N2390" t="s">
        <v>13078</v>
      </c>
      <c r="O2390" t="s">
        <v>13079</v>
      </c>
      <c r="P2390" t="s">
        <v>13080</v>
      </c>
      <c r="Q2390" t="s">
        <v>66</v>
      </c>
      <c r="R2390" t="s">
        <v>67</v>
      </c>
      <c r="S2390" t="s">
        <v>1248</v>
      </c>
    </row>
    <row r="2391" spans="1:19" x14ac:dyDescent="0.45">
      <c r="A2391" t="str">
        <f>"17801"</f>
        <v>17801</v>
      </c>
      <c r="B2391" t="s">
        <v>19</v>
      </c>
      <c r="C2391" t="str">
        <f>"17414"</f>
        <v>17414</v>
      </c>
      <c r="D2391" t="s">
        <v>4253</v>
      </c>
      <c r="E2391" t="str">
        <f>"5958"</f>
        <v>5958</v>
      </c>
      <c r="F2391" t="s">
        <v>13081</v>
      </c>
      <c r="G2391">
        <v>9</v>
      </c>
      <c r="H2391">
        <v>12</v>
      </c>
      <c r="I2391" t="s">
        <v>13082</v>
      </c>
      <c r="K2391" t="s">
        <v>4256</v>
      </c>
      <c r="L2391" t="s">
        <v>25</v>
      </c>
      <c r="M2391" t="s">
        <v>5775</v>
      </c>
      <c r="N2391" t="s">
        <v>13083</v>
      </c>
      <c r="O2391" t="s">
        <v>13084</v>
      </c>
      <c r="P2391" t="s">
        <v>13085</v>
      </c>
      <c r="Q2391" t="s">
        <v>172</v>
      </c>
      <c r="R2391" t="s">
        <v>173</v>
      </c>
      <c r="S2391" t="s">
        <v>58</v>
      </c>
    </row>
    <row r="2392" spans="1:19" x14ac:dyDescent="0.45">
      <c r="A2392" t="str">
        <f>"17801"</f>
        <v>17801</v>
      </c>
      <c r="B2392" t="s">
        <v>19</v>
      </c>
      <c r="C2392" t="str">
        <f>"17210"</f>
        <v>17210</v>
      </c>
      <c r="D2392" t="s">
        <v>20</v>
      </c>
      <c r="E2392" t="str">
        <f>"5163"</f>
        <v>5163</v>
      </c>
      <c r="F2392" t="s">
        <v>13086</v>
      </c>
      <c r="G2392">
        <v>9</v>
      </c>
      <c r="H2392">
        <v>12</v>
      </c>
      <c r="I2392" t="s">
        <v>2471</v>
      </c>
      <c r="K2392" t="s">
        <v>2472</v>
      </c>
      <c r="L2392" t="s">
        <v>25</v>
      </c>
      <c r="M2392">
        <v>98003</v>
      </c>
      <c r="N2392" t="s">
        <v>2473</v>
      </c>
      <c r="O2392" t="s">
        <v>2474</v>
      </c>
      <c r="P2392" t="s">
        <v>13087</v>
      </c>
      <c r="Q2392" t="s">
        <v>157</v>
      </c>
      <c r="R2392" t="s">
        <v>158</v>
      </c>
      <c r="S2392" t="s">
        <v>58</v>
      </c>
    </row>
    <row r="2393" spans="1:19" x14ac:dyDescent="0.45">
      <c r="A2393" t="str">
        <f>"11801"</f>
        <v>11801</v>
      </c>
      <c r="B2393" t="s">
        <v>1122</v>
      </c>
      <c r="C2393" t="str">
        <f>"11001"</f>
        <v>11001</v>
      </c>
      <c r="D2393" t="s">
        <v>2457</v>
      </c>
      <c r="E2393" t="str">
        <f>"5164"</f>
        <v>5164</v>
      </c>
      <c r="F2393" t="s">
        <v>13088</v>
      </c>
      <c r="G2393">
        <v>8</v>
      </c>
      <c r="H2393">
        <v>12</v>
      </c>
      <c r="I2393" t="s">
        <v>13089</v>
      </c>
      <c r="J2393" t="s">
        <v>13090</v>
      </c>
      <c r="K2393" t="s">
        <v>2460</v>
      </c>
      <c r="L2393" t="s">
        <v>25</v>
      </c>
      <c r="M2393">
        <v>99301</v>
      </c>
      <c r="N2393" t="s">
        <v>13091</v>
      </c>
      <c r="O2393" t="s">
        <v>13092</v>
      </c>
      <c r="P2393" t="s">
        <v>13093</v>
      </c>
      <c r="Q2393" t="s">
        <v>30</v>
      </c>
      <c r="R2393" t="s">
        <v>31</v>
      </c>
      <c r="S2393" t="s">
        <v>58</v>
      </c>
    </row>
    <row r="2394" spans="1:19" x14ac:dyDescent="0.45">
      <c r="A2394" t="str">
        <f>"11801"</f>
        <v>11801</v>
      </c>
      <c r="B2394" t="s">
        <v>1122</v>
      </c>
      <c r="C2394" t="str">
        <f>"03400"</f>
        <v>03400</v>
      </c>
      <c r="D2394" t="s">
        <v>1462</v>
      </c>
      <c r="E2394" t="str">
        <f>"5165"</f>
        <v>5165</v>
      </c>
      <c r="F2394" t="s">
        <v>13094</v>
      </c>
      <c r="G2394" t="s">
        <v>70</v>
      </c>
      <c r="H2394">
        <v>12</v>
      </c>
      <c r="I2394" t="s">
        <v>13095</v>
      </c>
      <c r="K2394" t="s">
        <v>1465</v>
      </c>
      <c r="L2394" t="s">
        <v>25</v>
      </c>
      <c r="M2394">
        <v>99352</v>
      </c>
      <c r="N2394" t="s">
        <v>13096</v>
      </c>
      <c r="O2394" t="s">
        <v>13097</v>
      </c>
      <c r="P2394" t="s">
        <v>1543</v>
      </c>
      <c r="Q2394" t="s">
        <v>157</v>
      </c>
      <c r="R2394" t="s">
        <v>158</v>
      </c>
      <c r="S2394" t="s">
        <v>330</v>
      </c>
    </row>
    <row r="2395" spans="1:19" x14ac:dyDescent="0.45">
      <c r="A2395" t="str">
        <f>"32801"</f>
        <v>32801</v>
      </c>
      <c r="B2395" t="s">
        <v>1108</v>
      </c>
      <c r="C2395" t="str">
        <f>"32356"</f>
        <v>32356</v>
      </c>
      <c r="D2395" t="s">
        <v>2362</v>
      </c>
      <c r="E2395" t="str">
        <f>"5166"</f>
        <v>5166</v>
      </c>
      <c r="F2395" t="s">
        <v>13098</v>
      </c>
      <c r="G2395">
        <v>9</v>
      </c>
      <c r="H2395">
        <v>12</v>
      </c>
      <c r="I2395" t="s">
        <v>10522</v>
      </c>
      <c r="J2395" t="s">
        <v>2341</v>
      </c>
      <c r="K2395" t="s">
        <v>2365</v>
      </c>
      <c r="L2395" t="s">
        <v>25</v>
      </c>
      <c r="M2395" t="s">
        <v>10523</v>
      </c>
      <c r="N2395" t="s">
        <v>10524</v>
      </c>
      <c r="O2395" t="s">
        <v>10525</v>
      </c>
      <c r="P2395" t="s">
        <v>10526</v>
      </c>
      <c r="Q2395" t="s">
        <v>157</v>
      </c>
      <c r="R2395" t="s">
        <v>158</v>
      </c>
      <c r="S2395" t="s">
        <v>58</v>
      </c>
    </row>
    <row r="2396" spans="1:19" x14ac:dyDescent="0.45">
      <c r="A2396" t="str">
        <f>"34801"</f>
        <v>34801</v>
      </c>
      <c r="B2396" t="s">
        <v>2257</v>
      </c>
      <c r="C2396" t="str">
        <f>"34003"</f>
        <v>34003</v>
      </c>
      <c r="D2396" t="s">
        <v>2953</v>
      </c>
      <c r="E2396" t="str">
        <f>"5167"</f>
        <v>5167</v>
      </c>
      <c r="F2396" t="s">
        <v>13099</v>
      </c>
      <c r="G2396" t="s">
        <v>70</v>
      </c>
      <c r="H2396">
        <v>5</v>
      </c>
      <c r="I2396" t="s">
        <v>13100</v>
      </c>
      <c r="K2396" t="s">
        <v>2956</v>
      </c>
      <c r="L2396" t="s">
        <v>25</v>
      </c>
      <c r="M2396">
        <v>98513</v>
      </c>
      <c r="N2396" t="s">
        <v>13101</v>
      </c>
      <c r="O2396" t="s">
        <v>13102</v>
      </c>
      <c r="P2396" t="s">
        <v>13103</v>
      </c>
      <c r="Q2396" t="s">
        <v>30</v>
      </c>
      <c r="R2396" t="s">
        <v>31</v>
      </c>
      <c r="S2396" t="s">
        <v>32</v>
      </c>
    </row>
    <row r="2397" spans="1:19" x14ac:dyDescent="0.45">
      <c r="A2397" t="str">
        <f>"34801"</f>
        <v>34801</v>
      </c>
      <c r="B2397" t="s">
        <v>2257</v>
      </c>
      <c r="C2397" t="str">
        <f>"34003"</f>
        <v>34003</v>
      </c>
      <c r="D2397" t="s">
        <v>2953</v>
      </c>
      <c r="E2397" t="str">
        <f>"5168"</f>
        <v>5168</v>
      </c>
      <c r="F2397" t="s">
        <v>13104</v>
      </c>
      <c r="G2397">
        <v>6</v>
      </c>
      <c r="H2397">
        <v>8</v>
      </c>
      <c r="I2397" t="s">
        <v>13105</v>
      </c>
      <c r="K2397" t="s">
        <v>2956</v>
      </c>
      <c r="L2397" t="s">
        <v>25</v>
      </c>
      <c r="M2397">
        <v>98513</v>
      </c>
      <c r="N2397" t="s">
        <v>13106</v>
      </c>
      <c r="O2397" t="s">
        <v>13107</v>
      </c>
      <c r="P2397" t="s">
        <v>13108</v>
      </c>
      <c r="Q2397" t="s">
        <v>30</v>
      </c>
      <c r="R2397" t="s">
        <v>31</v>
      </c>
      <c r="S2397" t="s">
        <v>104</v>
      </c>
    </row>
    <row r="2398" spans="1:19" x14ac:dyDescent="0.45">
      <c r="A2398" t="str">
        <f>"29801"</f>
        <v>29801</v>
      </c>
      <c r="B2398" t="s">
        <v>2370</v>
      </c>
      <c r="C2398" t="str">
        <f>"29320"</f>
        <v>29320</v>
      </c>
      <c r="D2398" t="s">
        <v>2933</v>
      </c>
      <c r="E2398" t="str">
        <f>"5960"</f>
        <v>5960</v>
      </c>
      <c r="F2398" t="s">
        <v>13109</v>
      </c>
      <c r="G2398">
        <v>9</v>
      </c>
      <c r="H2398">
        <v>12</v>
      </c>
      <c r="I2398" t="s">
        <v>13110</v>
      </c>
      <c r="K2398" t="s">
        <v>2936</v>
      </c>
      <c r="L2398" t="s">
        <v>25</v>
      </c>
      <c r="M2398">
        <v>98273</v>
      </c>
      <c r="N2398" t="s">
        <v>13111</v>
      </c>
      <c r="O2398" t="s">
        <v>13112</v>
      </c>
      <c r="P2398" t="s">
        <v>13113</v>
      </c>
      <c r="Q2398" t="s">
        <v>172</v>
      </c>
      <c r="R2398" t="s">
        <v>173</v>
      </c>
      <c r="S2398" t="s">
        <v>58</v>
      </c>
    </row>
    <row r="2399" spans="1:19" x14ac:dyDescent="0.45">
      <c r="A2399" t="str">
        <f>"17801"</f>
        <v>17801</v>
      </c>
      <c r="B2399" t="s">
        <v>19</v>
      </c>
      <c r="C2399" t="str">
        <f>"27010"</f>
        <v>27010</v>
      </c>
      <c r="D2399" t="s">
        <v>2273</v>
      </c>
      <c r="E2399" t="str">
        <f>"5169"</f>
        <v>5169</v>
      </c>
      <c r="F2399" t="s">
        <v>13114</v>
      </c>
      <c r="G2399">
        <v>9</v>
      </c>
      <c r="H2399">
        <v>12</v>
      </c>
      <c r="I2399" t="s">
        <v>13115</v>
      </c>
      <c r="K2399" t="s">
        <v>2276</v>
      </c>
      <c r="L2399" t="s">
        <v>25</v>
      </c>
      <c r="M2399">
        <v>98407</v>
      </c>
      <c r="N2399" t="s">
        <v>13116</v>
      </c>
      <c r="O2399" t="s">
        <v>7837</v>
      </c>
      <c r="P2399" t="s">
        <v>13117</v>
      </c>
      <c r="Q2399" t="s">
        <v>30</v>
      </c>
      <c r="R2399" t="s">
        <v>31</v>
      </c>
      <c r="S2399" t="s">
        <v>58</v>
      </c>
    </row>
    <row r="2400" spans="1:19" x14ac:dyDescent="0.45">
      <c r="A2400" t="str">
        <f>"17801"</f>
        <v>17801</v>
      </c>
      <c r="B2400" t="s">
        <v>19</v>
      </c>
      <c r="C2400" t="str">
        <f>"27010"</f>
        <v>27010</v>
      </c>
      <c r="D2400" t="s">
        <v>2273</v>
      </c>
      <c r="E2400" t="str">
        <f>"5170"</f>
        <v>5170</v>
      </c>
      <c r="F2400" t="s">
        <v>13118</v>
      </c>
      <c r="G2400">
        <v>6</v>
      </c>
      <c r="H2400">
        <v>8</v>
      </c>
      <c r="I2400" t="s">
        <v>13119</v>
      </c>
      <c r="K2400" t="s">
        <v>2276</v>
      </c>
      <c r="L2400" t="s">
        <v>25</v>
      </c>
      <c r="M2400">
        <v>98404</v>
      </c>
      <c r="N2400" t="s">
        <v>13120</v>
      </c>
      <c r="O2400" t="s">
        <v>13121</v>
      </c>
      <c r="P2400" t="s">
        <v>13122</v>
      </c>
      <c r="Q2400" t="s">
        <v>30</v>
      </c>
      <c r="R2400" t="s">
        <v>31</v>
      </c>
      <c r="S2400" t="s">
        <v>104</v>
      </c>
    </row>
    <row r="2401" spans="1:19" x14ac:dyDescent="0.45">
      <c r="A2401" t="str">
        <f>"29801"</f>
        <v>29801</v>
      </c>
      <c r="B2401" t="s">
        <v>2370</v>
      </c>
      <c r="C2401" t="str">
        <f>"31332"</f>
        <v>31332</v>
      </c>
      <c r="D2401" t="s">
        <v>2476</v>
      </c>
      <c r="E2401" t="str">
        <f>"5171"</f>
        <v>5171</v>
      </c>
      <c r="F2401" t="s">
        <v>13123</v>
      </c>
      <c r="G2401">
        <v>9</v>
      </c>
      <c r="H2401">
        <v>12</v>
      </c>
      <c r="I2401" t="s">
        <v>13124</v>
      </c>
      <c r="K2401" t="s">
        <v>2479</v>
      </c>
      <c r="L2401" t="s">
        <v>25</v>
      </c>
      <c r="M2401">
        <v>98252</v>
      </c>
      <c r="N2401" t="s">
        <v>2480</v>
      </c>
      <c r="O2401" t="s">
        <v>2481</v>
      </c>
      <c r="P2401" t="s">
        <v>13125</v>
      </c>
      <c r="Q2401" t="s">
        <v>157</v>
      </c>
      <c r="R2401" t="s">
        <v>158</v>
      </c>
      <c r="S2401" t="s">
        <v>58</v>
      </c>
    </row>
    <row r="2402" spans="1:19" x14ac:dyDescent="0.45">
      <c r="A2402" t="str">
        <f>"17801"</f>
        <v>17801</v>
      </c>
      <c r="B2402" t="s">
        <v>19</v>
      </c>
      <c r="C2402" t="str">
        <f>"27403"</f>
        <v>27403</v>
      </c>
      <c r="D2402" t="s">
        <v>2606</v>
      </c>
      <c r="E2402" t="str">
        <f>"5961"</f>
        <v>5961</v>
      </c>
      <c r="F2402" t="s">
        <v>13126</v>
      </c>
      <c r="G2402">
        <v>8</v>
      </c>
      <c r="H2402">
        <v>12</v>
      </c>
      <c r="I2402" t="s">
        <v>13127</v>
      </c>
      <c r="K2402" t="s">
        <v>2347</v>
      </c>
      <c r="L2402" t="s">
        <v>25</v>
      </c>
      <c r="M2402">
        <v>98375</v>
      </c>
      <c r="N2402" t="s">
        <v>13128</v>
      </c>
      <c r="O2402" t="s">
        <v>13129</v>
      </c>
      <c r="P2402" t="s">
        <v>13130</v>
      </c>
      <c r="Q2402" t="s">
        <v>172</v>
      </c>
      <c r="R2402" t="s">
        <v>173</v>
      </c>
      <c r="S2402" t="s">
        <v>58</v>
      </c>
    </row>
    <row r="2403" spans="1:19" x14ac:dyDescent="0.45">
      <c r="A2403" t="str">
        <f>"17801"</f>
        <v>17801</v>
      </c>
      <c r="B2403" t="s">
        <v>19</v>
      </c>
      <c r="C2403" t="str">
        <f>"17401"</f>
        <v>17401</v>
      </c>
      <c r="D2403" t="s">
        <v>149</v>
      </c>
      <c r="E2403" t="str">
        <f>"5172"</f>
        <v>5172</v>
      </c>
      <c r="F2403" t="s">
        <v>13131</v>
      </c>
      <c r="G2403">
        <v>9</v>
      </c>
      <c r="H2403">
        <v>12</v>
      </c>
      <c r="I2403" t="s">
        <v>13132</v>
      </c>
      <c r="K2403" t="s">
        <v>176</v>
      </c>
      <c r="L2403" t="s">
        <v>25</v>
      </c>
      <c r="M2403">
        <v>98148</v>
      </c>
      <c r="N2403" t="s">
        <v>169</v>
      </c>
      <c r="O2403" t="s">
        <v>170</v>
      </c>
      <c r="P2403" t="s">
        <v>171</v>
      </c>
      <c r="Q2403" t="s">
        <v>157</v>
      </c>
      <c r="R2403" t="s">
        <v>158</v>
      </c>
      <c r="S2403" t="s">
        <v>58</v>
      </c>
    </row>
    <row r="2404" spans="1:19" x14ac:dyDescent="0.45">
      <c r="A2404" t="str">
        <f>"04801"</f>
        <v>04801</v>
      </c>
      <c r="B2404" t="s">
        <v>1549</v>
      </c>
      <c r="C2404" t="str">
        <f>"13161"</f>
        <v>13161</v>
      </c>
      <c r="D2404" t="s">
        <v>2348</v>
      </c>
      <c r="E2404" t="str">
        <f>"5173"</f>
        <v>5173</v>
      </c>
      <c r="F2404" t="s">
        <v>13133</v>
      </c>
      <c r="G2404" t="s">
        <v>70</v>
      </c>
      <c r="H2404">
        <v>5</v>
      </c>
      <c r="I2404" t="s">
        <v>13134</v>
      </c>
      <c r="K2404" t="s">
        <v>2351</v>
      </c>
      <c r="L2404" t="s">
        <v>25</v>
      </c>
      <c r="M2404">
        <v>98837</v>
      </c>
      <c r="N2404" t="s">
        <v>13135</v>
      </c>
      <c r="O2404" t="s">
        <v>13136</v>
      </c>
      <c r="P2404" t="s">
        <v>13137</v>
      </c>
      <c r="Q2404" t="s">
        <v>30</v>
      </c>
      <c r="R2404" t="s">
        <v>31</v>
      </c>
      <c r="S2404" t="s">
        <v>32</v>
      </c>
    </row>
    <row r="2405" spans="1:19" x14ac:dyDescent="0.45">
      <c r="A2405" t="str">
        <f>"17801"</f>
        <v>17801</v>
      </c>
      <c r="B2405" t="s">
        <v>19</v>
      </c>
      <c r="C2405" t="str">
        <f>"17001"</f>
        <v>17001</v>
      </c>
      <c r="D2405" t="s">
        <v>2209</v>
      </c>
      <c r="E2405" t="str">
        <f>"5175"</f>
        <v>5175</v>
      </c>
      <c r="F2405" t="s">
        <v>13138</v>
      </c>
      <c r="G2405" t="s">
        <v>70</v>
      </c>
      <c r="H2405">
        <v>8</v>
      </c>
      <c r="I2405" t="s">
        <v>13139</v>
      </c>
      <c r="K2405" t="s">
        <v>152</v>
      </c>
      <c r="L2405" t="s">
        <v>25</v>
      </c>
      <c r="M2405">
        <v>98125</v>
      </c>
      <c r="N2405" t="s">
        <v>13140</v>
      </c>
      <c r="O2405" t="s">
        <v>13141</v>
      </c>
      <c r="P2405" t="s">
        <v>13142</v>
      </c>
      <c r="Q2405" t="s">
        <v>30</v>
      </c>
      <c r="R2405" t="s">
        <v>31</v>
      </c>
      <c r="S2405" t="s">
        <v>159</v>
      </c>
    </row>
    <row r="2406" spans="1:19" x14ac:dyDescent="0.45">
      <c r="A2406" t="str">
        <f>"29801"</f>
        <v>29801</v>
      </c>
      <c r="B2406" t="s">
        <v>2370</v>
      </c>
      <c r="C2406" t="str">
        <f>"29103"</f>
        <v>29103</v>
      </c>
      <c r="D2406" t="s">
        <v>4625</v>
      </c>
      <c r="E2406" t="str">
        <f>"5176"</f>
        <v>5176</v>
      </c>
      <c r="F2406" t="s">
        <v>13143</v>
      </c>
      <c r="G2406">
        <v>9</v>
      </c>
      <c r="H2406">
        <v>12</v>
      </c>
      <c r="I2406" t="s">
        <v>8932</v>
      </c>
      <c r="K2406" t="s">
        <v>3186</v>
      </c>
      <c r="L2406" t="s">
        <v>25</v>
      </c>
      <c r="M2406">
        <v>98221</v>
      </c>
      <c r="N2406" t="s">
        <v>8934</v>
      </c>
      <c r="O2406" t="s">
        <v>8935</v>
      </c>
      <c r="P2406" t="s">
        <v>13144</v>
      </c>
      <c r="Q2406" t="s">
        <v>157</v>
      </c>
      <c r="R2406" t="s">
        <v>158</v>
      </c>
      <c r="S2406" t="s">
        <v>58</v>
      </c>
    </row>
    <row r="2407" spans="1:19" x14ac:dyDescent="0.45">
      <c r="A2407" t="str">
        <f>"17801"</f>
        <v>17801</v>
      </c>
      <c r="B2407" t="s">
        <v>19</v>
      </c>
      <c r="C2407" t="str">
        <f>"17415"</f>
        <v>17415</v>
      </c>
      <c r="D2407" t="s">
        <v>2884</v>
      </c>
      <c r="E2407" t="str">
        <f>"5178"</f>
        <v>5178</v>
      </c>
      <c r="F2407" t="s">
        <v>5613</v>
      </c>
      <c r="G2407" t="s">
        <v>22</v>
      </c>
      <c r="H2407">
        <v>6</v>
      </c>
      <c r="I2407" t="s">
        <v>13145</v>
      </c>
      <c r="K2407" t="s">
        <v>2887</v>
      </c>
      <c r="L2407" t="s">
        <v>25</v>
      </c>
      <c r="M2407" t="s">
        <v>13146</v>
      </c>
      <c r="N2407" t="s">
        <v>13147</v>
      </c>
      <c r="O2407" t="s">
        <v>13148</v>
      </c>
      <c r="P2407" t="s">
        <v>13149</v>
      </c>
      <c r="Q2407" t="s">
        <v>30</v>
      </c>
      <c r="R2407" t="s">
        <v>31</v>
      </c>
      <c r="S2407" t="s">
        <v>32</v>
      </c>
    </row>
    <row r="2408" spans="1:19" x14ac:dyDescent="0.45">
      <c r="A2408" t="str">
        <f>"06801"</f>
        <v>06801</v>
      </c>
      <c r="B2408" t="s">
        <v>1870</v>
      </c>
      <c r="C2408" t="str">
        <f>"25101"</f>
        <v>25101</v>
      </c>
      <c r="D2408" t="s">
        <v>2960</v>
      </c>
      <c r="E2408" t="str">
        <f>"5179"</f>
        <v>5179</v>
      </c>
      <c r="F2408" t="s">
        <v>13150</v>
      </c>
      <c r="G2408" t="s">
        <v>22</v>
      </c>
      <c r="H2408" t="s">
        <v>22</v>
      </c>
      <c r="I2408" t="s">
        <v>7502</v>
      </c>
      <c r="K2408" t="s">
        <v>7503</v>
      </c>
      <c r="L2408" t="s">
        <v>25</v>
      </c>
      <c r="M2408">
        <v>98631</v>
      </c>
      <c r="N2408" t="s">
        <v>2964</v>
      </c>
      <c r="O2408" t="s">
        <v>2965</v>
      </c>
      <c r="P2408" t="s">
        <v>7513</v>
      </c>
      <c r="Q2408" t="s">
        <v>30</v>
      </c>
      <c r="R2408" t="s">
        <v>31</v>
      </c>
      <c r="S2408" t="s">
        <v>1248</v>
      </c>
    </row>
    <row r="2409" spans="1:19" x14ac:dyDescent="0.45">
      <c r="A2409" t="str">
        <f>"32801"</f>
        <v>32801</v>
      </c>
      <c r="B2409" t="s">
        <v>1108</v>
      </c>
      <c r="C2409" t="str">
        <f>"33212"</f>
        <v>33212</v>
      </c>
      <c r="D2409" t="s">
        <v>4284</v>
      </c>
      <c r="E2409" t="str">
        <f>"5180"</f>
        <v>5180</v>
      </c>
      <c r="F2409" t="s">
        <v>13151</v>
      </c>
      <c r="G2409">
        <v>9</v>
      </c>
      <c r="H2409">
        <v>12</v>
      </c>
      <c r="I2409" t="s">
        <v>4286</v>
      </c>
      <c r="K2409" t="s">
        <v>4287</v>
      </c>
      <c r="L2409" t="s">
        <v>25</v>
      </c>
      <c r="M2409">
        <v>99141</v>
      </c>
      <c r="N2409" t="s">
        <v>10889</v>
      </c>
      <c r="O2409" t="s">
        <v>10890</v>
      </c>
      <c r="P2409" t="s">
        <v>4290</v>
      </c>
      <c r="Q2409" t="s">
        <v>157</v>
      </c>
      <c r="R2409" t="s">
        <v>158</v>
      </c>
      <c r="S2409" t="s">
        <v>58</v>
      </c>
    </row>
    <row r="2410" spans="1:19" x14ac:dyDescent="0.45">
      <c r="A2410" t="str">
        <f>"17801"</f>
        <v>17801</v>
      </c>
      <c r="B2410" t="s">
        <v>19</v>
      </c>
      <c r="C2410" t="str">
        <f>"17410"</f>
        <v>17410</v>
      </c>
      <c r="D2410" t="s">
        <v>862</v>
      </c>
      <c r="E2410" t="str">
        <f>"5181"</f>
        <v>5181</v>
      </c>
      <c r="F2410" t="s">
        <v>13152</v>
      </c>
      <c r="G2410" t="s">
        <v>22</v>
      </c>
      <c r="H2410">
        <v>12</v>
      </c>
      <c r="I2410" t="s">
        <v>13153</v>
      </c>
      <c r="K2410" t="s">
        <v>865</v>
      </c>
      <c r="L2410" t="s">
        <v>25</v>
      </c>
      <c r="M2410">
        <v>98065</v>
      </c>
      <c r="N2410" t="s">
        <v>13154</v>
      </c>
      <c r="O2410" t="s">
        <v>13155</v>
      </c>
      <c r="P2410" t="s">
        <v>13156</v>
      </c>
      <c r="Q2410" t="s">
        <v>66</v>
      </c>
      <c r="R2410" t="s">
        <v>67</v>
      </c>
      <c r="S2410" t="s">
        <v>68</v>
      </c>
    </row>
    <row r="2411" spans="1:19" x14ac:dyDescent="0.45">
      <c r="A2411" t="str">
        <f>"17801"</f>
        <v>17801</v>
      </c>
      <c r="B2411" t="s">
        <v>19</v>
      </c>
      <c r="C2411" t="str">
        <f>"27010"</f>
        <v>27010</v>
      </c>
      <c r="D2411" t="s">
        <v>2273</v>
      </c>
      <c r="E2411" t="str">
        <f>"5183"</f>
        <v>5183</v>
      </c>
      <c r="F2411" t="s">
        <v>13157</v>
      </c>
      <c r="G2411">
        <v>9</v>
      </c>
      <c r="H2411">
        <v>12</v>
      </c>
      <c r="I2411" t="s">
        <v>2275</v>
      </c>
      <c r="J2411" t="s">
        <v>13158</v>
      </c>
      <c r="K2411" t="s">
        <v>2276</v>
      </c>
      <c r="L2411" t="s">
        <v>25</v>
      </c>
      <c r="M2411">
        <v>98405</v>
      </c>
      <c r="N2411" t="s">
        <v>13159</v>
      </c>
      <c r="O2411" t="s">
        <v>13160</v>
      </c>
      <c r="P2411" t="s">
        <v>13161</v>
      </c>
      <c r="Q2411" t="s">
        <v>157</v>
      </c>
      <c r="R2411" t="s">
        <v>158</v>
      </c>
      <c r="S2411" t="s">
        <v>58</v>
      </c>
    </row>
    <row r="2412" spans="1:19" x14ac:dyDescent="0.45">
      <c r="A2412" t="str">
        <f>"17801"</f>
        <v>17801</v>
      </c>
      <c r="B2412" t="s">
        <v>19</v>
      </c>
      <c r="C2412" t="str">
        <f>"27010"</f>
        <v>27010</v>
      </c>
      <c r="D2412" t="s">
        <v>2273</v>
      </c>
      <c r="E2412" t="str">
        <f>"5184"</f>
        <v>5184</v>
      </c>
      <c r="F2412" t="s">
        <v>13162</v>
      </c>
      <c r="G2412">
        <v>9</v>
      </c>
      <c r="H2412">
        <v>12</v>
      </c>
      <c r="I2412" t="s">
        <v>13163</v>
      </c>
      <c r="J2412" t="s">
        <v>13164</v>
      </c>
      <c r="K2412" t="s">
        <v>2276</v>
      </c>
      <c r="L2412" t="s">
        <v>25</v>
      </c>
      <c r="M2412">
        <v>98405</v>
      </c>
      <c r="N2412" t="s">
        <v>79</v>
      </c>
      <c r="Q2412" t="s">
        <v>13165</v>
      </c>
      <c r="R2412" t="s">
        <v>1313</v>
      </c>
      <c r="S2412" t="s">
        <v>58</v>
      </c>
    </row>
    <row r="2413" spans="1:19" x14ac:dyDescent="0.45">
      <c r="A2413" t="str">
        <f>"11801"</f>
        <v>11801</v>
      </c>
      <c r="B2413" t="s">
        <v>1122</v>
      </c>
      <c r="C2413" t="str">
        <f>"36140"</f>
        <v>36140</v>
      </c>
      <c r="D2413" t="s">
        <v>2414</v>
      </c>
      <c r="E2413" t="str">
        <f>"5187"</f>
        <v>5187</v>
      </c>
      <c r="F2413" t="s">
        <v>12588</v>
      </c>
      <c r="G2413" t="s">
        <v>22</v>
      </c>
      <c r="H2413" t="s">
        <v>22</v>
      </c>
      <c r="I2413" t="s">
        <v>4529</v>
      </c>
      <c r="K2413" t="s">
        <v>2991</v>
      </c>
      <c r="L2413" t="s">
        <v>25</v>
      </c>
      <c r="M2413">
        <v>99362</v>
      </c>
      <c r="N2413" t="s">
        <v>4530</v>
      </c>
      <c r="O2413" t="s">
        <v>4531</v>
      </c>
      <c r="P2413" t="s">
        <v>4532</v>
      </c>
      <c r="Q2413" t="s">
        <v>2316</v>
      </c>
      <c r="R2413" t="s">
        <v>31</v>
      </c>
      <c r="S2413" t="s">
        <v>1248</v>
      </c>
    </row>
    <row r="2414" spans="1:19" x14ac:dyDescent="0.45">
      <c r="A2414" t="str">
        <f>"34801"</f>
        <v>34801</v>
      </c>
      <c r="B2414" t="s">
        <v>2257</v>
      </c>
      <c r="C2414" t="str">
        <f>"21237"</f>
        <v>21237</v>
      </c>
      <c r="D2414" t="s">
        <v>7077</v>
      </c>
      <c r="E2414" t="str">
        <f>"5190"</f>
        <v>5190</v>
      </c>
      <c r="F2414" t="s">
        <v>13166</v>
      </c>
      <c r="G2414">
        <v>7</v>
      </c>
      <c r="H2414">
        <v>12</v>
      </c>
      <c r="I2414" t="s">
        <v>13167</v>
      </c>
      <c r="K2414" t="s">
        <v>7080</v>
      </c>
      <c r="L2414" t="s">
        <v>25</v>
      </c>
      <c r="M2414">
        <v>98591</v>
      </c>
      <c r="N2414" t="s">
        <v>13168</v>
      </c>
      <c r="O2414" t="s">
        <v>7082</v>
      </c>
      <c r="P2414" t="s">
        <v>13169</v>
      </c>
      <c r="Q2414" t="s">
        <v>2256</v>
      </c>
      <c r="R2414" t="s">
        <v>31</v>
      </c>
      <c r="S2414" t="s">
        <v>159</v>
      </c>
    </row>
    <row r="2415" spans="1:19" x14ac:dyDescent="0.45">
      <c r="A2415" t="str">
        <f>"34801"</f>
        <v>34801</v>
      </c>
      <c r="B2415" t="s">
        <v>2257</v>
      </c>
      <c r="C2415" t="str">
        <f>"14028"</f>
        <v>14028</v>
      </c>
      <c r="D2415" t="s">
        <v>4739</v>
      </c>
      <c r="E2415" t="str">
        <f>"5191"</f>
        <v>5191</v>
      </c>
      <c r="F2415" t="s">
        <v>13170</v>
      </c>
      <c r="G2415" t="s">
        <v>70</v>
      </c>
      <c r="H2415">
        <v>12</v>
      </c>
      <c r="I2415" t="s">
        <v>13171</v>
      </c>
      <c r="K2415" t="s">
        <v>4741</v>
      </c>
      <c r="L2415" t="s">
        <v>25</v>
      </c>
      <c r="M2415">
        <v>98550</v>
      </c>
      <c r="N2415" t="s">
        <v>13172</v>
      </c>
      <c r="O2415" t="s">
        <v>13173</v>
      </c>
      <c r="P2415" t="s">
        <v>13174</v>
      </c>
      <c r="Q2415" t="s">
        <v>30</v>
      </c>
      <c r="R2415" t="s">
        <v>31</v>
      </c>
      <c r="S2415" t="s">
        <v>330</v>
      </c>
    </row>
    <row r="2416" spans="1:19" x14ac:dyDescent="0.45">
      <c r="A2416" t="str">
        <f>"17801"</f>
        <v>17801</v>
      </c>
      <c r="B2416" t="s">
        <v>19</v>
      </c>
      <c r="C2416" t="str">
        <f>"27010"</f>
        <v>27010</v>
      </c>
      <c r="D2416" t="s">
        <v>2273</v>
      </c>
      <c r="E2416" t="str">
        <f>"5192"</f>
        <v>5192</v>
      </c>
      <c r="F2416" t="s">
        <v>1214</v>
      </c>
      <c r="G2416" t="s">
        <v>22</v>
      </c>
      <c r="H2416">
        <v>12</v>
      </c>
      <c r="I2416" t="s">
        <v>13175</v>
      </c>
      <c r="K2416" t="s">
        <v>2276</v>
      </c>
      <c r="L2416" t="s">
        <v>25</v>
      </c>
      <c r="M2416">
        <v>98405</v>
      </c>
      <c r="N2416" t="s">
        <v>13176</v>
      </c>
      <c r="O2416" t="s">
        <v>13177</v>
      </c>
      <c r="P2416" t="s">
        <v>13178</v>
      </c>
      <c r="Q2416" t="s">
        <v>157</v>
      </c>
      <c r="R2416" t="s">
        <v>158</v>
      </c>
      <c r="S2416" t="s">
        <v>68</v>
      </c>
    </row>
    <row r="2417" spans="1:19" x14ac:dyDescent="0.45">
      <c r="A2417" t="str">
        <f>"06801"</f>
        <v>06801</v>
      </c>
      <c r="B2417" t="s">
        <v>1870</v>
      </c>
      <c r="C2417" t="str">
        <f>"08458"</f>
        <v>08458</v>
      </c>
      <c r="D2417" t="s">
        <v>3657</v>
      </c>
      <c r="E2417" t="str">
        <f>"5194"</f>
        <v>5194</v>
      </c>
      <c r="F2417" t="s">
        <v>13179</v>
      </c>
      <c r="G2417">
        <v>8</v>
      </c>
      <c r="H2417">
        <v>12</v>
      </c>
      <c r="I2417" t="s">
        <v>12825</v>
      </c>
      <c r="K2417" t="s">
        <v>3660</v>
      </c>
      <c r="L2417" t="s">
        <v>25</v>
      </c>
      <c r="M2417">
        <v>98626</v>
      </c>
      <c r="N2417" t="s">
        <v>4433</v>
      </c>
      <c r="O2417" t="s">
        <v>12325</v>
      </c>
      <c r="P2417" t="s">
        <v>12326</v>
      </c>
      <c r="Q2417" t="s">
        <v>2256</v>
      </c>
      <c r="R2417" t="s">
        <v>31</v>
      </c>
      <c r="S2417" t="s">
        <v>58</v>
      </c>
    </row>
    <row r="2418" spans="1:19" x14ac:dyDescent="0.45">
      <c r="A2418" t="str">
        <f>"04801"</f>
        <v>04801</v>
      </c>
      <c r="B2418" t="s">
        <v>1549</v>
      </c>
      <c r="C2418" t="str">
        <f>"24019"</f>
        <v>24019</v>
      </c>
      <c r="D2418" t="s">
        <v>7369</v>
      </c>
      <c r="E2418" t="str">
        <f>"5195"</f>
        <v>5195</v>
      </c>
      <c r="F2418" t="s">
        <v>13180</v>
      </c>
      <c r="G2418" t="s">
        <v>70</v>
      </c>
      <c r="H2418">
        <v>5</v>
      </c>
      <c r="I2418" t="s">
        <v>13181</v>
      </c>
      <c r="K2418" t="s">
        <v>12564</v>
      </c>
      <c r="L2418" t="s">
        <v>25</v>
      </c>
      <c r="M2418">
        <v>98841</v>
      </c>
      <c r="N2418" t="s">
        <v>13182</v>
      </c>
      <c r="O2418" t="s">
        <v>13183</v>
      </c>
      <c r="P2418" t="s">
        <v>13184</v>
      </c>
      <c r="Q2418" t="s">
        <v>30</v>
      </c>
      <c r="R2418" t="s">
        <v>31</v>
      </c>
      <c r="S2418" t="s">
        <v>32</v>
      </c>
    </row>
    <row r="2419" spans="1:19" x14ac:dyDescent="0.45">
      <c r="A2419" t="str">
        <f>"04801"</f>
        <v>04801</v>
      </c>
      <c r="B2419" t="s">
        <v>1549</v>
      </c>
      <c r="C2419" t="str">
        <f>"24019"</f>
        <v>24019</v>
      </c>
      <c r="D2419" t="s">
        <v>7369</v>
      </c>
      <c r="E2419" t="str">
        <f>"5196"</f>
        <v>5196</v>
      </c>
      <c r="F2419" t="s">
        <v>13185</v>
      </c>
      <c r="G2419">
        <v>6</v>
      </c>
      <c r="H2419">
        <v>8</v>
      </c>
      <c r="I2419" t="s">
        <v>13181</v>
      </c>
      <c r="K2419" t="s">
        <v>12564</v>
      </c>
      <c r="L2419" t="s">
        <v>25</v>
      </c>
      <c r="M2419">
        <v>98841</v>
      </c>
      <c r="N2419" t="s">
        <v>13186</v>
      </c>
      <c r="O2419" t="s">
        <v>13187</v>
      </c>
      <c r="P2419" t="s">
        <v>13188</v>
      </c>
      <c r="Q2419" t="s">
        <v>30</v>
      </c>
      <c r="R2419" t="s">
        <v>31</v>
      </c>
      <c r="S2419" t="s">
        <v>104</v>
      </c>
    </row>
    <row r="2420" spans="1:19" x14ac:dyDescent="0.45">
      <c r="A2420" t="str">
        <f>"04801"</f>
        <v>04801</v>
      </c>
      <c r="B2420" t="s">
        <v>1549</v>
      </c>
      <c r="C2420" t="str">
        <f>"24019"</f>
        <v>24019</v>
      </c>
      <c r="D2420" t="s">
        <v>7369</v>
      </c>
      <c r="E2420" t="str">
        <f>"5197"</f>
        <v>5197</v>
      </c>
      <c r="F2420" t="s">
        <v>13189</v>
      </c>
      <c r="G2420">
        <v>9</v>
      </c>
      <c r="H2420">
        <v>12</v>
      </c>
      <c r="I2420" t="s">
        <v>13181</v>
      </c>
      <c r="K2420" t="s">
        <v>12564</v>
      </c>
      <c r="L2420" t="s">
        <v>25</v>
      </c>
      <c r="M2420">
        <v>98841</v>
      </c>
      <c r="N2420" t="s">
        <v>13190</v>
      </c>
      <c r="O2420" t="s">
        <v>13191</v>
      </c>
      <c r="P2420" t="s">
        <v>13184</v>
      </c>
      <c r="Q2420" t="s">
        <v>30</v>
      </c>
      <c r="R2420" t="s">
        <v>31</v>
      </c>
      <c r="S2420" t="s">
        <v>58</v>
      </c>
    </row>
    <row r="2421" spans="1:19" x14ac:dyDescent="0.45">
      <c r="A2421" t="str">
        <f t="shared" ref="A2421:A2426" si="156">"17801"</f>
        <v>17801</v>
      </c>
      <c r="B2421" t="s">
        <v>19</v>
      </c>
      <c r="C2421" t="str">
        <f>"17411"</f>
        <v>17411</v>
      </c>
      <c r="D2421" t="s">
        <v>910</v>
      </c>
      <c r="E2421" t="str">
        <f>"5200"</f>
        <v>5200</v>
      </c>
      <c r="F2421" t="s">
        <v>13192</v>
      </c>
      <c r="G2421">
        <v>6</v>
      </c>
      <c r="H2421">
        <v>8</v>
      </c>
      <c r="I2421" t="s">
        <v>13193</v>
      </c>
      <c r="J2421" t="s">
        <v>311</v>
      </c>
      <c r="K2421" t="s">
        <v>2871</v>
      </c>
      <c r="L2421" t="s">
        <v>25</v>
      </c>
      <c r="M2421">
        <v>98029</v>
      </c>
      <c r="N2421" t="s">
        <v>13194</v>
      </c>
      <c r="O2421" t="s">
        <v>13195</v>
      </c>
      <c r="P2421" t="s">
        <v>13196</v>
      </c>
      <c r="Q2421" t="s">
        <v>30</v>
      </c>
      <c r="R2421" t="s">
        <v>31</v>
      </c>
      <c r="S2421" t="s">
        <v>104</v>
      </c>
    </row>
    <row r="2422" spans="1:19" x14ac:dyDescent="0.45">
      <c r="A2422" t="str">
        <f t="shared" si="156"/>
        <v>17801</v>
      </c>
      <c r="B2422" t="s">
        <v>19</v>
      </c>
      <c r="C2422" t="str">
        <f>"17411"</f>
        <v>17411</v>
      </c>
      <c r="D2422" t="s">
        <v>910</v>
      </c>
      <c r="E2422" t="str">
        <f>"5201"</f>
        <v>5201</v>
      </c>
      <c r="F2422" t="s">
        <v>13197</v>
      </c>
      <c r="G2422" t="s">
        <v>70</v>
      </c>
      <c r="H2422">
        <v>5</v>
      </c>
      <c r="I2422" t="s">
        <v>13198</v>
      </c>
      <c r="K2422" t="s">
        <v>5962</v>
      </c>
      <c r="L2422" t="s">
        <v>25</v>
      </c>
      <c r="M2422">
        <v>98075</v>
      </c>
      <c r="N2422" t="s">
        <v>13199</v>
      </c>
      <c r="O2422" t="s">
        <v>13200</v>
      </c>
      <c r="P2422" t="s">
        <v>13201</v>
      </c>
      <c r="Q2422" t="s">
        <v>30</v>
      </c>
      <c r="R2422" t="s">
        <v>31</v>
      </c>
      <c r="S2422" t="s">
        <v>32</v>
      </c>
    </row>
    <row r="2423" spans="1:19" x14ac:dyDescent="0.45">
      <c r="A2423" t="str">
        <f t="shared" si="156"/>
        <v>17801</v>
      </c>
      <c r="B2423" t="s">
        <v>19</v>
      </c>
      <c r="C2423" t="str">
        <f>"17001"</f>
        <v>17001</v>
      </c>
      <c r="D2423" t="s">
        <v>2209</v>
      </c>
      <c r="E2423" t="str">
        <f>"5203"</f>
        <v>5203</v>
      </c>
      <c r="F2423" t="s">
        <v>13202</v>
      </c>
      <c r="G2423" t="s">
        <v>70</v>
      </c>
      <c r="H2423">
        <v>5</v>
      </c>
      <c r="I2423" t="s">
        <v>13203</v>
      </c>
      <c r="K2423" t="s">
        <v>152</v>
      </c>
      <c r="L2423" t="s">
        <v>25</v>
      </c>
      <c r="M2423">
        <v>98105</v>
      </c>
      <c r="N2423" t="s">
        <v>13204</v>
      </c>
      <c r="O2423" t="s">
        <v>13205</v>
      </c>
      <c r="P2423" t="s">
        <v>13206</v>
      </c>
      <c r="Q2423" t="s">
        <v>30</v>
      </c>
      <c r="R2423" t="s">
        <v>31</v>
      </c>
      <c r="S2423" t="s">
        <v>32</v>
      </c>
    </row>
    <row r="2424" spans="1:19" x14ac:dyDescent="0.45">
      <c r="A2424" t="str">
        <f t="shared" si="156"/>
        <v>17801</v>
      </c>
      <c r="B2424" t="s">
        <v>19</v>
      </c>
      <c r="C2424" t="str">
        <f>"17001"</f>
        <v>17001</v>
      </c>
      <c r="D2424" t="s">
        <v>2209</v>
      </c>
      <c r="E2424" t="str">
        <f>"5204"</f>
        <v>5204</v>
      </c>
      <c r="F2424" t="s">
        <v>13207</v>
      </c>
      <c r="G2424" t="s">
        <v>70</v>
      </c>
      <c r="H2424">
        <v>5</v>
      </c>
      <c r="I2424" t="s">
        <v>13208</v>
      </c>
      <c r="K2424" t="s">
        <v>152</v>
      </c>
      <c r="L2424" t="s">
        <v>25</v>
      </c>
      <c r="M2424">
        <v>98109</v>
      </c>
      <c r="N2424" t="s">
        <v>13209</v>
      </c>
      <c r="O2424" t="s">
        <v>13210</v>
      </c>
      <c r="P2424" t="s">
        <v>13211</v>
      </c>
      <c r="Q2424" t="s">
        <v>30</v>
      </c>
      <c r="R2424" t="s">
        <v>31</v>
      </c>
      <c r="S2424" t="s">
        <v>32</v>
      </c>
    </row>
    <row r="2425" spans="1:19" x14ac:dyDescent="0.45">
      <c r="A2425" t="str">
        <f t="shared" si="156"/>
        <v>17801</v>
      </c>
      <c r="B2425" t="s">
        <v>19</v>
      </c>
      <c r="C2425" t="str">
        <f>"17001"</f>
        <v>17001</v>
      </c>
      <c r="D2425" t="s">
        <v>2209</v>
      </c>
      <c r="E2425" t="str">
        <f>"5205"</f>
        <v>5205</v>
      </c>
      <c r="F2425" t="s">
        <v>13212</v>
      </c>
      <c r="G2425" t="s">
        <v>22</v>
      </c>
      <c r="H2425">
        <v>5</v>
      </c>
      <c r="I2425" t="s">
        <v>13213</v>
      </c>
      <c r="K2425" t="s">
        <v>152</v>
      </c>
      <c r="L2425" t="s">
        <v>25</v>
      </c>
      <c r="M2425" t="s">
        <v>13214</v>
      </c>
      <c r="N2425" t="s">
        <v>13215</v>
      </c>
      <c r="O2425" t="s">
        <v>13216</v>
      </c>
      <c r="P2425" t="s">
        <v>13217</v>
      </c>
      <c r="Q2425" t="s">
        <v>30</v>
      </c>
      <c r="R2425" t="s">
        <v>31</v>
      </c>
      <c r="S2425" t="s">
        <v>32</v>
      </c>
    </row>
    <row r="2426" spans="1:19" x14ac:dyDescent="0.45">
      <c r="A2426" t="str">
        <f t="shared" si="156"/>
        <v>17801</v>
      </c>
      <c r="B2426" t="s">
        <v>19</v>
      </c>
      <c r="C2426" t="str">
        <f>"27403"</f>
        <v>27403</v>
      </c>
      <c r="D2426" t="s">
        <v>2606</v>
      </c>
      <c r="E2426" t="str">
        <f>"5206"</f>
        <v>5206</v>
      </c>
      <c r="F2426" t="s">
        <v>12764</v>
      </c>
      <c r="G2426">
        <v>6</v>
      </c>
      <c r="H2426">
        <v>8</v>
      </c>
      <c r="I2426" t="s">
        <v>13218</v>
      </c>
      <c r="K2426" t="s">
        <v>2609</v>
      </c>
      <c r="L2426" t="s">
        <v>25</v>
      </c>
      <c r="M2426">
        <v>98387</v>
      </c>
      <c r="N2426" t="s">
        <v>13219</v>
      </c>
      <c r="O2426" t="s">
        <v>13220</v>
      </c>
      <c r="P2426" t="s">
        <v>8563</v>
      </c>
      <c r="Q2426" t="s">
        <v>30</v>
      </c>
      <c r="R2426" t="s">
        <v>31</v>
      </c>
      <c r="S2426" t="s">
        <v>6608</v>
      </c>
    </row>
    <row r="2427" spans="1:19" x14ac:dyDescent="0.45">
      <c r="A2427" t="str">
        <f>"29801"</f>
        <v>29801</v>
      </c>
      <c r="B2427" t="s">
        <v>2370</v>
      </c>
      <c r="C2427" t="str">
        <f>"37502"</f>
        <v>37502</v>
      </c>
      <c r="D2427" t="s">
        <v>3011</v>
      </c>
      <c r="E2427" t="str">
        <f>"5207"</f>
        <v>5207</v>
      </c>
      <c r="F2427" t="s">
        <v>2210</v>
      </c>
      <c r="G2427" t="s">
        <v>70</v>
      </c>
      <c r="H2427">
        <v>5</v>
      </c>
      <c r="I2427" t="s">
        <v>13221</v>
      </c>
      <c r="K2427" t="s">
        <v>3072</v>
      </c>
      <c r="L2427" t="s">
        <v>25</v>
      </c>
      <c r="M2427">
        <v>98248</v>
      </c>
      <c r="N2427" t="s">
        <v>13222</v>
      </c>
      <c r="O2427" t="s">
        <v>13223</v>
      </c>
      <c r="P2427" t="s">
        <v>13224</v>
      </c>
      <c r="Q2427" t="s">
        <v>30</v>
      </c>
      <c r="R2427" t="s">
        <v>31</v>
      </c>
      <c r="S2427" t="s">
        <v>32</v>
      </c>
    </row>
    <row r="2428" spans="1:19" x14ac:dyDescent="0.45">
      <c r="A2428" t="str">
        <f>"34801"</f>
        <v>34801</v>
      </c>
      <c r="B2428" t="s">
        <v>2257</v>
      </c>
      <c r="C2428" t="str">
        <f>"14005"</f>
        <v>14005</v>
      </c>
      <c r="D2428" t="s">
        <v>4236</v>
      </c>
      <c r="E2428" t="str">
        <f>"5208"</f>
        <v>5208</v>
      </c>
      <c r="F2428" t="s">
        <v>13225</v>
      </c>
      <c r="G2428">
        <v>9</v>
      </c>
      <c r="H2428">
        <v>12</v>
      </c>
      <c r="I2428" t="s">
        <v>4729</v>
      </c>
      <c r="K2428" t="s">
        <v>4239</v>
      </c>
      <c r="L2428" t="s">
        <v>25</v>
      </c>
      <c r="M2428">
        <v>98520</v>
      </c>
      <c r="N2428" t="s">
        <v>4719</v>
      </c>
      <c r="O2428" t="s">
        <v>4720</v>
      </c>
      <c r="P2428" t="s">
        <v>13226</v>
      </c>
      <c r="Q2428" t="s">
        <v>172</v>
      </c>
      <c r="R2428" t="s">
        <v>173</v>
      </c>
      <c r="S2428" t="s">
        <v>58</v>
      </c>
    </row>
    <row r="2429" spans="1:19" x14ac:dyDescent="0.45">
      <c r="A2429" t="str">
        <f>"29801"</f>
        <v>29801</v>
      </c>
      <c r="B2429" t="s">
        <v>2370</v>
      </c>
      <c r="C2429" t="str">
        <f>"31025"</f>
        <v>31025</v>
      </c>
      <c r="D2429" t="s">
        <v>2483</v>
      </c>
      <c r="E2429" t="str">
        <f>"5213"</f>
        <v>5213</v>
      </c>
      <c r="F2429" t="s">
        <v>13227</v>
      </c>
      <c r="G2429">
        <v>9</v>
      </c>
      <c r="H2429">
        <v>12</v>
      </c>
      <c r="I2429" t="s">
        <v>13228</v>
      </c>
      <c r="K2429" t="s">
        <v>2744</v>
      </c>
      <c r="L2429" t="s">
        <v>25</v>
      </c>
      <c r="M2429">
        <v>98271</v>
      </c>
      <c r="N2429" t="s">
        <v>13229</v>
      </c>
      <c r="O2429" t="s">
        <v>13230</v>
      </c>
      <c r="P2429" t="s">
        <v>13231</v>
      </c>
      <c r="Q2429" t="s">
        <v>30</v>
      </c>
      <c r="R2429" t="s">
        <v>31</v>
      </c>
      <c r="S2429" t="s">
        <v>58</v>
      </c>
    </row>
    <row r="2430" spans="1:19" x14ac:dyDescent="0.45">
      <c r="A2430" t="str">
        <f>"17801"</f>
        <v>17801</v>
      </c>
      <c r="B2430" t="s">
        <v>19</v>
      </c>
      <c r="C2430" t="str">
        <f>"17210"</f>
        <v>17210</v>
      </c>
      <c r="D2430" t="s">
        <v>20</v>
      </c>
      <c r="E2430" t="str">
        <f>"5218"</f>
        <v>5218</v>
      </c>
      <c r="F2430" t="s">
        <v>13232</v>
      </c>
      <c r="G2430" t="s">
        <v>22</v>
      </c>
      <c r="H2430" t="s">
        <v>22</v>
      </c>
      <c r="I2430" t="s">
        <v>12442</v>
      </c>
      <c r="K2430" t="s">
        <v>2472</v>
      </c>
      <c r="L2430" t="s">
        <v>25</v>
      </c>
      <c r="M2430">
        <v>98003</v>
      </c>
      <c r="N2430" t="s">
        <v>13233</v>
      </c>
      <c r="O2430" t="s">
        <v>13234</v>
      </c>
      <c r="P2430" t="s">
        <v>12446</v>
      </c>
      <c r="Q2430" t="s">
        <v>2316</v>
      </c>
      <c r="R2430" t="s">
        <v>31</v>
      </c>
      <c r="S2430" t="s">
        <v>1248</v>
      </c>
    </row>
    <row r="2431" spans="1:19" x14ac:dyDescent="0.45">
      <c r="A2431" t="str">
        <f>"17801"</f>
        <v>17801</v>
      </c>
      <c r="B2431" t="s">
        <v>19</v>
      </c>
      <c r="C2431" t="str">
        <f>"17210"</f>
        <v>17210</v>
      </c>
      <c r="D2431" t="s">
        <v>20</v>
      </c>
      <c r="E2431" t="str">
        <f>"5219"</f>
        <v>5219</v>
      </c>
      <c r="F2431" t="s">
        <v>13235</v>
      </c>
      <c r="G2431" t="s">
        <v>22</v>
      </c>
      <c r="H2431" t="s">
        <v>22</v>
      </c>
      <c r="I2431" t="s">
        <v>13236</v>
      </c>
      <c r="K2431" t="s">
        <v>2472</v>
      </c>
      <c r="L2431" t="s">
        <v>25</v>
      </c>
      <c r="M2431">
        <v>98003</v>
      </c>
      <c r="N2431" t="s">
        <v>13233</v>
      </c>
      <c r="O2431" t="s">
        <v>13234</v>
      </c>
      <c r="P2431" t="s">
        <v>12446</v>
      </c>
      <c r="Q2431" t="s">
        <v>2316</v>
      </c>
      <c r="R2431" t="s">
        <v>31</v>
      </c>
      <c r="S2431" t="s">
        <v>1248</v>
      </c>
    </row>
    <row r="2432" spans="1:19" x14ac:dyDescent="0.45">
      <c r="A2432" t="str">
        <f>"11801"</f>
        <v>11801</v>
      </c>
      <c r="B2432" t="s">
        <v>1122</v>
      </c>
      <c r="C2432" t="str">
        <f>"03017"</f>
        <v>03017</v>
      </c>
      <c r="D2432" t="s">
        <v>1235</v>
      </c>
      <c r="E2432" t="str">
        <f>"5220"</f>
        <v>5220</v>
      </c>
      <c r="F2432" t="s">
        <v>13237</v>
      </c>
      <c r="G2432" t="s">
        <v>70</v>
      </c>
      <c r="H2432">
        <v>5</v>
      </c>
      <c r="I2432" t="s">
        <v>13238</v>
      </c>
      <c r="K2432" t="s">
        <v>1263</v>
      </c>
      <c r="L2432" t="s">
        <v>25</v>
      </c>
      <c r="M2432">
        <v>99338</v>
      </c>
      <c r="N2432" t="s">
        <v>13239</v>
      </c>
      <c r="O2432" t="s">
        <v>13240</v>
      </c>
      <c r="P2432" t="s">
        <v>1366</v>
      </c>
      <c r="Q2432" t="s">
        <v>2256</v>
      </c>
      <c r="R2432" t="s">
        <v>31</v>
      </c>
      <c r="S2432" t="s">
        <v>32</v>
      </c>
    </row>
    <row r="2433" spans="1:19" x14ac:dyDescent="0.45">
      <c r="A2433" t="str">
        <f>"32801"</f>
        <v>32801</v>
      </c>
      <c r="B2433" t="s">
        <v>1108</v>
      </c>
      <c r="C2433" t="str">
        <f>"33070"</f>
        <v>33070</v>
      </c>
      <c r="D2433" t="s">
        <v>2522</v>
      </c>
      <c r="E2433" t="str">
        <f>"5223"</f>
        <v>5223</v>
      </c>
      <c r="F2433" t="s">
        <v>13241</v>
      </c>
      <c r="G2433">
        <v>9</v>
      </c>
      <c r="H2433">
        <v>12</v>
      </c>
      <c r="I2433" t="s">
        <v>13242</v>
      </c>
      <c r="K2433" t="s">
        <v>2525</v>
      </c>
      <c r="L2433" t="s">
        <v>25</v>
      </c>
      <c r="M2433">
        <v>99181</v>
      </c>
      <c r="N2433" t="s">
        <v>13243</v>
      </c>
      <c r="O2433" t="s">
        <v>13244</v>
      </c>
      <c r="P2433" t="s">
        <v>13245</v>
      </c>
      <c r="Q2433" t="s">
        <v>30</v>
      </c>
      <c r="R2433" t="s">
        <v>31</v>
      </c>
      <c r="S2433" t="s">
        <v>58</v>
      </c>
    </row>
    <row r="2434" spans="1:19" x14ac:dyDescent="0.45">
      <c r="A2434" t="str">
        <f>"39801"</f>
        <v>39801</v>
      </c>
      <c r="B2434" t="s">
        <v>2395</v>
      </c>
      <c r="C2434" t="str">
        <f>"39007"</f>
        <v>39007</v>
      </c>
      <c r="D2434" t="s">
        <v>2508</v>
      </c>
      <c r="E2434" t="str">
        <f>"5224"</f>
        <v>5224</v>
      </c>
      <c r="F2434" t="s">
        <v>13246</v>
      </c>
      <c r="G2434">
        <v>8</v>
      </c>
      <c r="H2434">
        <v>12</v>
      </c>
      <c r="I2434" t="s">
        <v>2508</v>
      </c>
      <c r="J2434" t="s">
        <v>13057</v>
      </c>
      <c r="K2434" t="s">
        <v>2512</v>
      </c>
      <c r="L2434" t="s">
        <v>25</v>
      </c>
      <c r="M2434">
        <v>98902</v>
      </c>
      <c r="N2434" t="s">
        <v>2513</v>
      </c>
      <c r="O2434" t="s">
        <v>2514</v>
      </c>
      <c r="P2434" t="s">
        <v>2515</v>
      </c>
      <c r="Q2434" t="s">
        <v>157</v>
      </c>
      <c r="R2434" t="s">
        <v>158</v>
      </c>
      <c r="S2434" t="s">
        <v>58</v>
      </c>
    </row>
    <row r="2435" spans="1:19" x14ac:dyDescent="0.45">
      <c r="A2435" t="str">
        <f>"32801"</f>
        <v>32801</v>
      </c>
      <c r="B2435" t="s">
        <v>1108</v>
      </c>
      <c r="C2435" t="str">
        <f>"26070"</f>
        <v>26070</v>
      </c>
      <c r="D2435" t="s">
        <v>12818</v>
      </c>
      <c r="E2435" t="str">
        <f>"5225"</f>
        <v>5225</v>
      </c>
      <c r="F2435" t="s">
        <v>4459</v>
      </c>
      <c r="G2435">
        <v>6</v>
      </c>
      <c r="H2435">
        <v>8</v>
      </c>
      <c r="I2435" t="s">
        <v>13247</v>
      </c>
      <c r="K2435" t="s">
        <v>13248</v>
      </c>
      <c r="L2435" t="s">
        <v>25</v>
      </c>
      <c r="M2435" t="s">
        <v>13249</v>
      </c>
      <c r="N2435" t="s">
        <v>13250</v>
      </c>
      <c r="O2435" t="s">
        <v>13251</v>
      </c>
      <c r="P2435" t="s">
        <v>13252</v>
      </c>
      <c r="Q2435" t="s">
        <v>30</v>
      </c>
      <c r="R2435" t="s">
        <v>31</v>
      </c>
      <c r="S2435" t="s">
        <v>104</v>
      </c>
    </row>
    <row r="2436" spans="1:19" x14ac:dyDescent="0.45">
      <c r="A2436" t="str">
        <f>"32801"</f>
        <v>32801</v>
      </c>
      <c r="B2436" t="s">
        <v>1108</v>
      </c>
      <c r="C2436" t="str">
        <f>"26070"</f>
        <v>26070</v>
      </c>
      <c r="D2436" t="s">
        <v>12818</v>
      </c>
      <c r="E2436" t="str">
        <f>"5226"</f>
        <v>5226</v>
      </c>
      <c r="F2436" t="s">
        <v>13253</v>
      </c>
      <c r="G2436">
        <v>9</v>
      </c>
      <c r="H2436">
        <v>12</v>
      </c>
      <c r="I2436" t="s">
        <v>13247</v>
      </c>
      <c r="K2436" t="s">
        <v>13248</v>
      </c>
      <c r="L2436" t="s">
        <v>25</v>
      </c>
      <c r="M2436" t="s">
        <v>13249</v>
      </c>
      <c r="N2436" t="s">
        <v>13250</v>
      </c>
      <c r="O2436" t="s">
        <v>13251</v>
      </c>
      <c r="P2436" t="s">
        <v>13252</v>
      </c>
      <c r="Q2436" t="s">
        <v>30</v>
      </c>
      <c r="R2436" t="s">
        <v>31</v>
      </c>
      <c r="S2436" t="s">
        <v>58</v>
      </c>
    </row>
    <row r="2437" spans="1:19" x14ac:dyDescent="0.45">
      <c r="A2437" t="str">
        <f>"17801"</f>
        <v>17801</v>
      </c>
      <c r="B2437" t="s">
        <v>19</v>
      </c>
      <c r="C2437" t="str">
        <f>"17403"</f>
        <v>17403</v>
      </c>
      <c r="D2437" t="s">
        <v>344</v>
      </c>
      <c r="E2437" t="str">
        <f>"5229"</f>
        <v>5229</v>
      </c>
      <c r="F2437" t="s">
        <v>13254</v>
      </c>
      <c r="G2437" t="s">
        <v>70</v>
      </c>
      <c r="H2437">
        <v>5</v>
      </c>
      <c r="I2437" t="s">
        <v>13255</v>
      </c>
      <c r="K2437" t="s">
        <v>347</v>
      </c>
      <c r="L2437" t="s">
        <v>25</v>
      </c>
      <c r="M2437" t="s">
        <v>13256</v>
      </c>
      <c r="N2437" t="s">
        <v>13257</v>
      </c>
      <c r="O2437" t="s">
        <v>13258</v>
      </c>
      <c r="P2437" t="s">
        <v>13259</v>
      </c>
      <c r="Q2437" t="s">
        <v>30</v>
      </c>
      <c r="R2437" t="s">
        <v>31</v>
      </c>
      <c r="S2437" t="s">
        <v>32</v>
      </c>
    </row>
    <row r="2438" spans="1:19" x14ac:dyDescent="0.45">
      <c r="A2438" t="str">
        <f>"39801"</f>
        <v>39801</v>
      </c>
      <c r="B2438" t="s">
        <v>2395</v>
      </c>
      <c r="C2438" t="str">
        <f>"39119"</f>
        <v>39119</v>
      </c>
      <c r="D2438" t="s">
        <v>2396</v>
      </c>
      <c r="E2438" t="str">
        <f>"5231"</f>
        <v>5231</v>
      </c>
      <c r="F2438" t="s">
        <v>13260</v>
      </c>
      <c r="G2438" t="s">
        <v>70</v>
      </c>
      <c r="H2438">
        <v>8</v>
      </c>
      <c r="I2438" t="s">
        <v>2398</v>
      </c>
      <c r="K2438" t="s">
        <v>2399</v>
      </c>
      <c r="L2438" t="s">
        <v>25</v>
      </c>
      <c r="M2438">
        <v>98942</v>
      </c>
      <c r="N2438" t="s">
        <v>2400</v>
      </c>
      <c r="O2438" t="s">
        <v>13261</v>
      </c>
      <c r="P2438" t="s">
        <v>2402</v>
      </c>
      <c r="Q2438" t="s">
        <v>2256</v>
      </c>
      <c r="R2438" t="s">
        <v>31</v>
      </c>
      <c r="S2438" t="s">
        <v>159</v>
      </c>
    </row>
    <row r="2439" spans="1:19" x14ac:dyDescent="0.45">
      <c r="A2439" t="str">
        <f>"39801"</f>
        <v>39801</v>
      </c>
      <c r="B2439" t="s">
        <v>2395</v>
      </c>
      <c r="C2439" t="str">
        <f>"39119"</f>
        <v>39119</v>
      </c>
      <c r="D2439" t="s">
        <v>2396</v>
      </c>
      <c r="E2439" t="str">
        <f>"5232"</f>
        <v>5232</v>
      </c>
      <c r="F2439" t="s">
        <v>13262</v>
      </c>
      <c r="G2439" t="s">
        <v>22</v>
      </c>
      <c r="H2439" t="s">
        <v>22</v>
      </c>
      <c r="I2439" t="s">
        <v>13263</v>
      </c>
      <c r="K2439" t="s">
        <v>2399</v>
      </c>
      <c r="L2439" t="s">
        <v>25</v>
      </c>
      <c r="M2439">
        <v>98942</v>
      </c>
      <c r="N2439" t="s">
        <v>13264</v>
      </c>
      <c r="O2439" t="s">
        <v>13265</v>
      </c>
      <c r="P2439" t="s">
        <v>13266</v>
      </c>
      <c r="Q2439" t="s">
        <v>2316</v>
      </c>
      <c r="R2439" t="s">
        <v>31</v>
      </c>
      <c r="S2439" t="s">
        <v>1248</v>
      </c>
    </row>
    <row r="2440" spans="1:19" x14ac:dyDescent="0.45">
      <c r="A2440" t="str">
        <f>"29801"</f>
        <v>29801</v>
      </c>
      <c r="B2440" t="s">
        <v>2370</v>
      </c>
      <c r="C2440" t="str">
        <f>"15204"</f>
        <v>15204</v>
      </c>
      <c r="D2440" t="s">
        <v>2775</v>
      </c>
      <c r="E2440" t="str">
        <f>"5234"</f>
        <v>5234</v>
      </c>
      <c r="F2440" t="s">
        <v>13267</v>
      </c>
      <c r="G2440">
        <v>9</v>
      </c>
      <c r="H2440">
        <v>12</v>
      </c>
      <c r="I2440" t="s">
        <v>13268</v>
      </c>
      <c r="K2440" t="s">
        <v>2778</v>
      </c>
      <c r="L2440" t="s">
        <v>25</v>
      </c>
      <c r="M2440">
        <v>98239</v>
      </c>
      <c r="N2440" t="s">
        <v>2779</v>
      </c>
      <c r="O2440" t="s">
        <v>2780</v>
      </c>
      <c r="P2440" t="s">
        <v>2781</v>
      </c>
      <c r="Q2440" t="s">
        <v>962</v>
      </c>
      <c r="R2440" t="s">
        <v>963</v>
      </c>
      <c r="S2440" t="s">
        <v>58</v>
      </c>
    </row>
    <row r="2441" spans="1:19" x14ac:dyDescent="0.45">
      <c r="A2441" t="str">
        <f>"11801"</f>
        <v>11801</v>
      </c>
      <c r="B2441" t="s">
        <v>1122</v>
      </c>
      <c r="C2441" t="str">
        <f>"03017"</f>
        <v>03017</v>
      </c>
      <c r="D2441" t="s">
        <v>1235</v>
      </c>
      <c r="E2441" t="str">
        <f>"5235"</f>
        <v>5235</v>
      </c>
      <c r="F2441" t="s">
        <v>13269</v>
      </c>
      <c r="G2441">
        <v>9</v>
      </c>
      <c r="H2441">
        <v>12</v>
      </c>
      <c r="I2441" t="s">
        <v>13270</v>
      </c>
      <c r="K2441" t="s">
        <v>1263</v>
      </c>
      <c r="L2441" t="s">
        <v>25</v>
      </c>
      <c r="M2441">
        <v>99337</v>
      </c>
      <c r="N2441" t="s">
        <v>13271</v>
      </c>
      <c r="O2441" t="s">
        <v>13272</v>
      </c>
      <c r="P2441" t="s">
        <v>1311</v>
      </c>
      <c r="Q2441" t="s">
        <v>13273</v>
      </c>
      <c r="R2441" t="s">
        <v>1313</v>
      </c>
      <c r="S2441" t="s">
        <v>58</v>
      </c>
    </row>
    <row r="2442" spans="1:19" x14ac:dyDescent="0.45">
      <c r="A2442" t="str">
        <f>"18801"</f>
        <v>18801</v>
      </c>
      <c r="B2442" t="s">
        <v>1731</v>
      </c>
      <c r="C2442" t="str">
        <f>"16048"</f>
        <v>16048</v>
      </c>
      <c r="D2442" t="s">
        <v>5001</v>
      </c>
      <c r="E2442" t="str">
        <f>"5236"</f>
        <v>5236</v>
      </c>
      <c r="F2442" t="s">
        <v>13274</v>
      </c>
      <c r="G2442" t="s">
        <v>70</v>
      </c>
      <c r="H2442">
        <v>8</v>
      </c>
      <c r="I2442" t="s">
        <v>5003</v>
      </c>
      <c r="K2442" t="s">
        <v>5004</v>
      </c>
      <c r="L2442" t="s">
        <v>25</v>
      </c>
      <c r="M2442">
        <v>98376</v>
      </c>
      <c r="N2442" t="s">
        <v>13275</v>
      </c>
      <c r="O2442" t="s">
        <v>13276</v>
      </c>
      <c r="P2442" t="s">
        <v>13277</v>
      </c>
      <c r="Q2442" t="s">
        <v>157</v>
      </c>
      <c r="R2442" t="s">
        <v>158</v>
      </c>
      <c r="S2442" t="s">
        <v>159</v>
      </c>
    </row>
    <row r="2443" spans="1:19" x14ac:dyDescent="0.45">
      <c r="A2443" t="str">
        <f>"29801"</f>
        <v>29801</v>
      </c>
      <c r="B2443" t="s">
        <v>2370</v>
      </c>
      <c r="C2443" t="str">
        <f>"37501"</f>
        <v>37501</v>
      </c>
      <c r="D2443" t="s">
        <v>2437</v>
      </c>
      <c r="E2443" t="str">
        <f>"5239"</f>
        <v>5239</v>
      </c>
      <c r="F2443" t="s">
        <v>13278</v>
      </c>
      <c r="G2443" t="s">
        <v>22</v>
      </c>
      <c r="H2443">
        <v>5</v>
      </c>
      <c r="I2443" t="s">
        <v>13279</v>
      </c>
      <c r="K2443" t="s">
        <v>2440</v>
      </c>
      <c r="L2443" t="s">
        <v>25</v>
      </c>
      <c r="M2443" t="s">
        <v>13280</v>
      </c>
      <c r="N2443" t="s">
        <v>13281</v>
      </c>
      <c r="O2443" t="s">
        <v>13282</v>
      </c>
      <c r="P2443" t="s">
        <v>13283</v>
      </c>
      <c r="Q2443" t="s">
        <v>30</v>
      </c>
      <c r="R2443" t="s">
        <v>31</v>
      </c>
      <c r="S2443" t="s">
        <v>32</v>
      </c>
    </row>
    <row r="2444" spans="1:19" x14ac:dyDescent="0.45">
      <c r="A2444" t="str">
        <f>"17801"</f>
        <v>17801</v>
      </c>
      <c r="B2444" t="s">
        <v>19</v>
      </c>
      <c r="C2444" t="str">
        <f>"17405"</f>
        <v>17405</v>
      </c>
      <c r="D2444" t="s">
        <v>487</v>
      </c>
      <c r="E2444" t="str">
        <f>"5240"</f>
        <v>5240</v>
      </c>
      <c r="F2444" t="s">
        <v>13284</v>
      </c>
      <c r="G2444">
        <v>6</v>
      </c>
      <c r="H2444">
        <v>12</v>
      </c>
      <c r="I2444" t="s">
        <v>13285</v>
      </c>
      <c r="K2444" t="s">
        <v>490</v>
      </c>
      <c r="L2444" t="s">
        <v>25</v>
      </c>
      <c r="M2444">
        <v>98007</v>
      </c>
      <c r="N2444" t="s">
        <v>13286</v>
      </c>
      <c r="O2444" t="s">
        <v>13287</v>
      </c>
      <c r="P2444" t="s">
        <v>13288</v>
      </c>
      <c r="Q2444" t="s">
        <v>157</v>
      </c>
      <c r="R2444" t="s">
        <v>158</v>
      </c>
      <c r="S2444" t="s">
        <v>159</v>
      </c>
    </row>
    <row r="2445" spans="1:19" x14ac:dyDescent="0.45">
      <c r="A2445" t="str">
        <f>"39801"</f>
        <v>39801</v>
      </c>
      <c r="B2445" t="s">
        <v>2395</v>
      </c>
      <c r="C2445" t="str">
        <f>"19028"</f>
        <v>19028</v>
      </c>
      <c r="D2445" t="s">
        <v>6804</v>
      </c>
      <c r="E2445" t="str">
        <f>"5242"</f>
        <v>5242</v>
      </c>
      <c r="F2445" t="s">
        <v>13289</v>
      </c>
      <c r="G2445">
        <v>7</v>
      </c>
      <c r="H2445">
        <v>12</v>
      </c>
      <c r="I2445" t="s">
        <v>3060</v>
      </c>
      <c r="K2445" t="s">
        <v>6807</v>
      </c>
      <c r="L2445" t="s">
        <v>25</v>
      </c>
      <c r="M2445">
        <v>98925</v>
      </c>
      <c r="N2445" t="s">
        <v>13290</v>
      </c>
      <c r="O2445" t="s">
        <v>13291</v>
      </c>
      <c r="P2445" t="s">
        <v>6811</v>
      </c>
      <c r="Q2445" t="s">
        <v>2256</v>
      </c>
      <c r="R2445" t="s">
        <v>31</v>
      </c>
      <c r="S2445" t="s">
        <v>159</v>
      </c>
    </row>
    <row r="2446" spans="1:19" x14ac:dyDescent="0.45">
      <c r="A2446" t="str">
        <f>"34801"</f>
        <v>34801</v>
      </c>
      <c r="B2446" t="s">
        <v>2257</v>
      </c>
      <c r="C2446" t="str">
        <f>"25118"</f>
        <v>25118</v>
      </c>
      <c r="D2446" t="s">
        <v>7537</v>
      </c>
      <c r="E2446" t="str">
        <f>"5243"</f>
        <v>5243</v>
      </c>
      <c r="F2446" t="s">
        <v>13292</v>
      </c>
      <c r="G2446" t="s">
        <v>70</v>
      </c>
      <c r="H2446">
        <v>12</v>
      </c>
      <c r="I2446" t="s">
        <v>13293</v>
      </c>
      <c r="K2446" t="s">
        <v>13294</v>
      </c>
      <c r="L2446" t="s">
        <v>25</v>
      </c>
      <c r="M2446">
        <v>98586</v>
      </c>
      <c r="N2446" t="s">
        <v>13295</v>
      </c>
      <c r="O2446" t="s">
        <v>13296</v>
      </c>
      <c r="P2446" t="s">
        <v>13297</v>
      </c>
      <c r="Q2446" t="s">
        <v>157</v>
      </c>
      <c r="R2446" t="s">
        <v>158</v>
      </c>
      <c r="S2446" t="s">
        <v>330</v>
      </c>
    </row>
    <row r="2447" spans="1:19" x14ac:dyDescent="0.45">
      <c r="A2447" t="str">
        <f>"17801"</f>
        <v>17801</v>
      </c>
      <c r="B2447" t="s">
        <v>19</v>
      </c>
      <c r="C2447" t="str">
        <f>"17407"</f>
        <v>17407</v>
      </c>
      <c r="D2447" t="s">
        <v>659</v>
      </c>
      <c r="E2447" t="str">
        <f>"5244"</f>
        <v>5244</v>
      </c>
      <c r="F2447" t="s">
        <v>13298</v>
      </c>
      <c r="G2447">
        <v>7</v>
      </c>
      <c r="H2447">
        <v>10</v>
      </c>
      <c r="I2447" t="s">
        <v>667</v>
      </c>
      <c r="K2447" t="s">
        <v>662</v>
      </c>
      <c r="L2447" t="s">
        <v>25</v>
      </c>
      <c r="M2447">
        <v>98014</v>
      </c>
      <c r="N2447" t="s">
        <v>663</v>
      </c>
      <c r="O2447" t="s">
        <v>664</v>
      </c>
      <c r="P2447" t="s">
        <v>665</v>
      </c>
      <c r="Q2447" t="s">
        <v>30</v>
      </c>
      <c r="R2447" t="s">
        <v>31</v>
      </c>
      <c r="S2447" t="s">
        <v>159</v>
      </c>
    </row>
    <row r="2448" spans="1:19" x14ac:dyDescent="0.45">
      <c r="A2448" t="str">
        <f>"29801"</f>
        <v>29801</v>
      </c>
      <c r="B2448" t="s">
        <v>2370</v>
      </c>
      <c r="C2448" t="str">
        <f>"37502"</f>
        <v>37502</v>
      </c>
      <c r="D2448" t="s">
        <v>3011</v>
      </c>
      <c r="E2448" t="str">
        <f>"5245"</f>
        <v>5245</v>
      </c>
      <c r="F2448" t="s">
        <v>13299</v>
      </c>
      <c r="G2448">
        <v>9</v>
      </c>
      <c r="H2448">
        <v>12</v>
      </c>
      <c r="I2448" t="s">
        <v>2238</v>
      </c>
      <c r="K2448" t="s">
        <v>3072</v>
      </c>
      <c r="L2448" t="s">
        <v>25</v>
      </c>
      <c r="M2448">
        <v>98248</v>
      </c>
      <c r="N2448" t="s">
        <v>13300</v>
      </c>
      <c r="O2448" t="s">
        <v>3016</v>
      </c>
      <c r="P2448" t="s">
        <v>3017</v>
      </c>
      <c r="Q2448" t="s">
        <v>30</v>
      </c>
      <c r="R2448" t="s">
        <v>31</v>
      </c>
      <c r="S2448" t="s">
        <v>58</v>
      </c>
    </row>
    <row r="2449" spans="1:19" x14ac:dyDescent="0.45">
      <c r="A2449" t="str">
        <f>"06801"</f>
        <v>06801</v>
      </c>
      <c r="B2449" t="s">
        <v>1870</v>
      </c>
      <c r="C2449" t="str">
        <f>"08404"</f>
        <v>08404</v>
      </c>
      <c r="D2449" t="s">
        <v>2761</v>
      </c>
      <c r="E2449" t="str">
        <f>"5246"</f>
        <v>5246</v>
      </c>
      <c r="F2449" t="s">
        <v>13301</v>
      </c>
      <c r="G2449" t="s">
        <v>70</v>
      </c>
      <c r="H2449">
        <v>12</v>
      </c>
      <c r="I2449" t="s">
        <v>13302</v>
      </c>
      <c r="K2449" t="s">
        <v>2764</v>
      </c>
      <c r="L2449" t="s">
        <v>25</v>
      </c>
      <c r="M2449">
        <v>98674</v>
      </c>
      <c r="N2449" t="s">
        <v>13303</v>
      </c>
      <c r="O2449" t="s">
        <v>13304</v>
      </c>
      <c r="P2449" t="s">
        <v>13305</v>
      </c>
      <c r="Q2449" t="s">
        <v>157</v>
      </c>
      <c r="R2449" t="s">
        <v>158</v>
      </c>
      <c r="S2449" t="s">
        <v>330</v>
      </c>
    </row>
    <row r="2450" spans="1:19" x14ac:dyDescent="0.45">
      <c r="A2450" t="str">
        <f>"34801"</f>
        <v>34801</v>
      </c>
      <c r="B2450" t="s">
        <v>2257</v>
      </c>
      <c r="C2450" t="str">
        <f>"25118"</f>
        <v>25118</v>
      </c>
      <c r="D2450" t="s">
        <v>7537</v>
      </c>
      <c r="E2450" t="str">
        <f>"5247"</f>
        <v>5247</v>
      </c>
      <c r="F2450" t="s">
        <v>13306</v>
      </c>
      <c r="G2450">
        <v>9</v>
      </c>
      <c r="H2450">
        <v>12</v>
      </c>
      <c r="I2450" t="s">
        <v>13293</v>
      </c>
      <c r="K2450" t="s">
        <v>13294</v>
      </c>
      <c r="L2450" t="s">
        <v>25</v>
      </c>
      <c r="M2450">
        <v>98586</v>
      </c>
      <c r="N2450" t="s">
        <v>13295</v>
      </c>
      <c r="O2450" t="s">
        <v>13296</v>
      </c>
      <c r="P2450" t="s">
        <v>13297</v>
      </c>
      <c r="Q2450" t="s">
        <v>157</v>
      </c>
      <c r="R2450" t="s">
        <v>158</v>
      </c>
      <c r="S2450" t="s">
        <v>58</v>
      </c>
    </row>
    <row r="2451" spans="1:19" x14ac:dyDescent="0.45">
      <c r="A2451" t="str">
        <f>"34801"</f>
        <v>34801</v>
      </c>
      <c r="B2451" t="s">
        <v>2257</v>
      </c>
      <c r="C2451" t="str">
        <f>"34111"</f>
        <v>34111</v>
      </c>
      <c r="D2451" t="s">
        <v>11105</v>
      </c>
      <c r="E2451" t="str">
        <f>"5248"</f>
        <v>5248</v>
      </c>
      <c r="F2451" t="s">
        <v>13307</v>
      </c>
      <c r="G2451" t="s">
        <v>22</v>
      </c>
      <c r="H2451">
        <v>8</v>
      </c>
      <c r="I2451" t="s">
        <v>12827</v>
      </c>
      <c r="K2451" t="s">
        <v>3164</v>
      </c>
      <c r="L2451" t="s">
        <v>25</v>
      </c>
      <c r="M2451">
        <v>98501</v>
      </c>
      <c r="N2451" t="s">
        <v>79</v>
      </c>
      <c r="Q2451" t="s">
        <v>30</v>
      </c>
      <c r="R2451" t="s">
        <v>31</v>
      </c>
      <c r="S2451" t="s">
        <v>159</v>
      </c>
    </row>
    <row r="2452" spans="1:19" x14ac:dyDescent="0.45">
      <c r="A2452" t="str">
        <f>"32801"</f>
        <v>32801</v>
      </c>
      <c r="B2452" t="s">
        <v>1108</v>
      </c>
      <c r="C2452" t="str">
        <f>"32081"</f>
        <v>32081</v>
      </c>
      <c r="D2452" t="s">
        <v>2243</v>
      </c>
      <c r="E2452" t="str">
        <f>"5249"</f>
        <v>5249</v>
      </c>
      <c r="F2452" t="s">
        <v>13308</v>
      </c>
      <c r="G2452">
        <v>9</v>
      </c>
      <c r="H2452">
        <v>12</v>
      </c>
      <c r="I2452" t="s">
        <v>13309</v>
      </c>
      <c r="J2452" t="s">
        <v>13310</v>
      </c>
      <c r="K2452" t="s">
        <v>2246</v>
      </c>
      <c r="L2452" t="s">
        <v>25</v>
      </c>
      <c r="M2452" t="s">
        <v>13311</v>
      </c>
      <c r="N2452" t="s">
        <v>13312</v>
      </c>
      <c r="O2452" t="s">
        <v>2455</v>
      </c>
      <c r="P2452" t="s">
        <v>2456</v>
      </c>
      <c r="Q2452" t="s">
        <v>962</v>
      </c>
      <c r="R2452" t="s">
        <v>963</v>
      </c>
      <c r="S2452" t="s">
        <v>58</v>
      </c>
    </row>
    <row r="2453" spans="1:19" x14ac:dyDescent="0.45">
      <c r="A2453" t="str">
        <f>"32801"</f>
        <v>32801</v>
      </c>
      <c r="B2453" t="s">
        <v>1108</v>
      </c>
      <c r="C2453" t="str">
        <f>"32081"</f>
        <v>32081</v>
      </c>
      <c r="D2453" t="s">
        <v>2243</v>
      </c>
      <c r="E2453" t="str">
        <f>"5250"</f>
        <v>5250</v>
      </c>
      <c r="F2453" t="s">
        <v>13313</v>
      </c>
      <c r="G2453">
        <v>7</v>
      </c>
      <c r="H2453">
        <v>12</v>
      </c>
      <c r="I2453" t="s">
        <v>13314</v>
      </c>
      <c r="K2453" t="s">
        <v>2246</v>
      </c>
      <c r="L2453" t="s">
        <v>25</v>
      </c>
      <c r="M2453">
        <v>99207</v>
      </c>
      <c r="N2453" t="s">
        <v>13315</v>
      </c>
      <c r="O2453" t="s">
        <v>13316</v>
      </c>
      <c r="P2453" t="s">
        <v>13317</v>
      </c>
      <c r="Q2453" t="s">
        <v>157</v>
      </c>
      <c r="R2453" t="s">
        <v>158</v>
      </c>
      <c r="S2453" t="s">
        <v>58</v>
      </c>
    </row>
    <row r="2454" spans="1:19" x14ac:dyDescent="0.45">
      <c r="A2454" t="str">
        <f>"04801"</f>
        <v>04801</v>
      </c>
      <c r="B2454" t="s">
        <v>1549</v>
      </c>
      <c r="C2454" t="str">
        <f>"13161"</f>
        <v>13161</v>
      </c>
      <c r="D2454" t="s">
        <v>2348</v>
      </c>
      <c r="E2454" t="str">
        <f>"5251"</f>
        <v>5251</v>
      </c>
      <c r="F2454" t="s">
        <v>13318</v>
      </c>
      <c r="G2454" t="s">
        <v>70</v>
      </c>
      <c r="H2454">
        <v>5</v>
      </c>
      <c r="I2454" t="s">
        <v>13319</v>
      </c>
      <c r="K2454" t="s">
        <v>2351</v>
      </c>
      <c r="L2454" t="s">
        <v>25</v>
      </c>
      <c r="M2454">
        <v>98837</v>
      </c>
      <c r="N2454" t="s">
        <v>13320</v>
      </c>
      <c r="O2454" t="s">
        <v>13321</v>
      </c>
      <c r="P2454" t="s">
        <v>13322</v>
      </c>
      <c r="Q2454" t="s">
        <v>30</v>
      </c>
      <c r="R2454" t="s">
        <v>31</v>
      </c>
      <c r="S2454" t="s">
        <v>32</v>
      </c>
    </row>
    <row r="2455" spans="1:19" x14ac:dyDescent="0.45">
      <c r="A2455" t="str">
        <f>"32801"</f>
        <v>32801</v>
      </c>
      <c r="B2455" t="s">
        <v>1108</v>
      </c>
      <c r="C2455" t="str">
        <f>"33211"</f>
        <v>33211</v>
      </c>
      <c r="D2455" t="s">
        <v>10869</v>
      </c>
      <c r="E2455" t="str">
        <f>"5252"</f>
        <v>5252</v>
      </c>
      <c r="F2455" t="s">
        <v>13323</v>
      </c>
      <c r="G2455" t="s">
        <v>70</v>
      </c>
      <c r="H2455">
        <v>12</v>
      </c>
      <c r="I2455" t="s">
        <v>13324</v>
      </c>
      <c r="K2455" t="s">
        <v>10872</v>
      </c>
      <c r="L2455" t="s">
        <v>25</v>
      </c>
      <c r="M2455">
        <v>99157</v>
      </c>
      <c r="N2455" t="s">
        <v>13325</v>
      </c>
      <c r="O2455" t="s">
        <v>13326</v>
      </c>
      <c r="P2455" t="s">
        <v>13327</v>
      </c>
      <c r="Q2455" t="s">
        <v>157</v>
      </c>
      <c r="R2455" t="s">
        <v>158</v>
      </c>
      <c r="S2455" t="s">
        <v>330</v>
      </c>
    </row>
    <row r="2456" spans="1:19" x14ac:dyDescent="0.45">
      <c r="A2456" t="str">
        <f>"17801"</f>
        <v>17801</v>
      </c>
      <c r="B2456" t="s">
        <v>19</v>
      </c>
      <c r="C2456" t="str">
        <f>"17401"</f>
        <v>17401</v>
      </c>
      <c r="D2456" t="s">
        <v>149</v>
      </c>
      <c r="E2456" t="str">
        <f>"5254"</f>
        <v>5254</v>
      </c>
      <c r="F2456" t="s">
        <v>13328</v>
      </c>
      <c r="G2456">
        <v>10</v>
      </c>
      <c r="H2456">
        <v>13</v>
      </c>
      <c r="I2456" t="s">
        <v>2601</v>
      </c>
      <c r="K2456" t="s">
        <v>176</v>
      </c>
      <c r="L2456" t="s">
        <v>25</v>
      </c>
      <c r="M2456">
        <v>98146</v>
      </c>
      <c r="N2456" t="s">
        <v>13329</v>
      </c>
      <c r="O2456" t="s">
        <v>155</v>
      </c>
      <c r="P2456" t="s">
        <v>13330</v>
      </c>
      <c r="Q2456" t="s">
        <v>157</v>
      </c>
      <c r="R2456" t="s">
        <v>158</v>
      </c>
      <c r="S2456" t="s">
        <v>58</v>
      </c>
    </row>
    <row r="2457" spans="1:19" x14ac:dyDescent="0.45">
      <c r="A2457" t="str">
        <f>"17801"</f>
        <v>17801</v>
      </c>
      <c r="B2457" t="s">
        <v>19</v>
      </c>
      <c r="C2457" t="str">
        <f>"17210"</f>
        <v>17210</v>
      </c>
      <c r="D2457" t="s">
        <v>20</v>
      </c>
      <c r="E2457" t="str">
        <f>"5255"</f>
        <v>5255</v>
      </c>
      <c r="F2457" t="s">
        <v>13328</v>
      </c>
      <c r="G2457">
        <v>9</v>
      </c>
      <c r="H2457">
        <v>12</v>
      </c>
      <c r="I2457" t="s">
        <v>12442</v>
      </c>
      <c r="K2457" t="s">
        <v>2472</v>
      </c>
      <c r="L2457" t="s">
        <v>25</v>
      </c>
      <c r="M2457">
        <v>98003</v>
      </c>
      <c r="N2457" t="s">
        <v>12936</v>
      </c>
      <c r="O2457" t="s">
        <v>12937</v>
      </c>
      <c r="P2457" t="s">
        <v>12446</v>
      </c>
      <c r="Q2457" t="s">
        <v>13331</v>
      </c>
      <c r="R2457" t="s">
        <v>13332</v>
      </c>
      <c r="S2457" t="s">
        <v>58</v>
      </c>
    </row>
    <row r="2458" spans="1:19" x14ac:dyDescent="0.45">
      <c r="A2458" t="str">
        <f>"06801"</f>
        <v>06801</v>
      </c>
      <c r="B2458" t="s">
        <v>1870</v>
      </c>
      <c r="C2458" t="str">
        <f>"06037"</f>
        <v>06037</v>
      </c>
      <c r="D2458" t="s">
        <v>1871</v>
      </c>
      <c r="E2458" t="str">
        <f>"5258"</f>
        <v>5258</v>
      </c>
      <c r="F2458" t="s">
        <v>13333</v>
      </c>
      <c r="G2458">
        <v>9</v>
      </c>
      <c r="H2458">
        <v>12</v>
      </c>
      <c r="I2458" t="s">
        <v>1906</v>
      </c>
      <c r="K2458" t="s">
        <v>1874</v>
      </c>
      <c r="L2458" t="s">
        <v>25</v>
      </c>
      <c r="M2458" t="s">
        <v>1907</v>
      </c>
      <c r="N2458" t="s">
        <v>13334</v>
      </c>
      <c r="O2458" t="s">
        <v>13335</v>
      </c>
      <c r="P2458" t="s">
        <v>13336</v>
      </c>
      <c r="Q2458" t="s">
        <v>30</v>
      </c>
      <c r="R2458" t="s">
        <v>31</v>
      </c>
      <c r="S2458" t="s">
        <v>58</v>
      </c>
    </row>
    <row r="2459" spans="1:19" x14ac:dyDescent="0.45">
      <c r="A2459" t="str">
        <f>"34801"</f>
        <v>34801</v>
      </c>
      <c r="B2459" t="s">
        <v>2257</v>
      </c>
      <c r="C2459" t="str">
        <f>"34111"</f>
        <v>34111</v>
      </c>
      <c r="D2459" t="s">
        <v>11105</v>
      </c>
      <c r="E2459" t="str">
        <f>"5259"</f>
        <v>5259</v>
      </c>
      <c r="F2459" t="s">
        <v>13337</v>
      </c>
      <c r="G2459">
        <v>6</v>
      </c>
      <c r="H2459">
        <v>12</v>
      </c>
      <c r="I2459" t="s">
        <v>13338</v>
      </c>
      <c r="K2459" t="s">
        <v>3164</v>
      </c>
      <c r="L2459" t="s">
        <v>25</v>
      </c>
      <c r="M2459">
        <v>98506</v>
      </c>
      <c r="N2459" t="s">
        <v>13339</v>
      </c>
      <c r="O2459" t="s">
        <v>13340</v>
      </c>
      <c r="P2459" t="s">
        <v>11151</v>
      </c>
      <c r="Q2459" t="s">
        <v>962</v>
      </c>
      <c r="R2459" t="s">
        <v>963</v>
      </c>
      <c r="S2459" t="s">
        <v>159</v>
      </c>
    </row>
    <row r="2460" spans="1:19" x14ac:dyDescent="0.45">
      <c r="A2460" t="str">
        <f>"17801"</f>
        <v>17801</v>
      </c>
      <c r="B2460" t="s">
        <v>19</v>
      </c>
      <c r="C2460" t="str">
        <f>"17001"</f>
        <v>17001</v>
      </c>
      <c r="D2460" t="s">
        <v>2209</v>
      </c>
      <c r="E2460" t="str">
        <f>"5260"</f>
        <v>5260</v>
      </c>
      <c r="F2460" t="s">
        <v>13341</v>
      </c>
      <c r="G2460">
        <v>9</v>
      </c>
      <c r="H2460">
        <v>12</v>
      </c>
      <c r="I2460" t="s">
        <v>13342</v>
      </c>
      <c r="K2460" t="s">
        <v>152</v>
      </c>
      <c r="L2460" t="s">
        <v>25</v>
      </c>
      <c r="M2460" t="s">
        <v>5069</v>
      </c>
      <c r="N2460" t="s">
        <v>13343</v>
      </c>
      <c r="O2460" t="s">
        <v>13344</v>
      </c>
      <c r="P2460" t="s">
        <v>13345</v>
      </c>
      <c r="Q2460" t="s">
        <v>172</v>
      </c>
      <c r="R2460" t="s">
        <v>173</v>
      </c>
      <c r="S2460" t="s">
        <v>58</v>
      </c>
    </row>
    <row r="2461" spans="1:19" x14ac:dyDescent="0.45">
      <c r="A2461" t="str">
        <f>"11801"</f>
        <v>11801</v>
      </c>
      <c r="B2461" t="s">
        <v>1122</v>
      </c>
      <c r="C2461" t="str">
        <f>"11051"</f>
        <v>11051</v>
      </c>
      <c r="D2461" t="s">
        <v>3180</v>
      </c>
      <c r="E2461" t="str">
        <f>"5261"</f>
        <v>5261</v>
      </c>
      <c r="F2461" t="s">
        <v>13346</v>
      </c>
      <c r="G2461" t="s">
        <v>70</v>
      </c>
      <c r="H2461">
        <v>6</v>
      </c>
      <c r="I2461" t="s">
        <v>3182</v>
      </c>
      <c r="K2461" t="s">
        <v>3183</v>
      </c>
      <c r="L2461" t="s">
        <v>25</v>
      </c>
      <c r="M2461">
        <v>99326</v>
      </c>
      <c r="N2461" t="s">
        <v>13347</v>
      </c>
      <c r="O2461" t="s">
        <v>13348</v>
      </c>
      <c r="P2461" t="s">
        <v>13349</v>
      </c>
      <c r="Q2461" t="s">
        <v>157</v>
      </c>
      <c r="R2461" t="s">
        <v>158</v>
      </c>
      <c r="S2461" t="s">
        <v>32</v>
      </c>
    </row>
    <row r="2462" spans="1:19" x14ac:dyDescent="0.45">
      <c r="A2462" t="str">
        <f>"39801"</f>
        <v>39801</v>
      </c>
      <c r="B2462" t="s">
        <v>2395</v>
      </c>
      <c r="C2462" t="str">
        <f>"39202"</f>
        <v>39202</v>
      </c>
      <c r="D2462" t="s">
        <v>12095</v>
      </c>
      <c r="E2462" t="str">
        <f>"5262"</f>
        <v>5262</v>
      </c>
      <c r="F2462" t="s">
        <v>13350</v>
      </c>
      <c r="G2462" t="s">
        <v>70</v>
      </c>
      <c r="H2462">
        <v>12</v>
      </c>
      <c r="I2462" t="s">
        <v>13351</v>
      </c>
      <c r="K2462" t="s">
        <v>2029</v>
      </c>
      <c r="L2462" t="s">
        <v>25</v>
      </c>
      <c r="M2462">
        <v>98684</v>
      </c>
      <c r="N2462" t="s">
        <v>13352</v>
      </c>
      <c r="O2462" t="s">
        <v>13353</v>
      </c>
      <c r="P2462" t="s">
        <v>13354</v>
      </c>
      <c r="Q2462" t="s">
        <v>13331</v>
      </c>
      <c r="R2462" t="s">
        <v>13332</v>
      </c>
      <c r="S2462" t="s">
        <v>330</v>
      </c>
    </row>
    <row r="2463" spans="1:19" x14ac:dyDescent="0.45">
      <c r="A2463" t="str">
        <f>"39801"</f>
        <v>39801</v>
      </c>
      <c r="B2463" t="s">
        <v>2395</v>
      </c>
      <c r="C2463" t="str">
        <f>"39007"</f>
        <v>39007</v>
      </c>
      <c r="D2463" t="s">
        <v>2508</v>
      </c>
      <c r="E2463" t="str">
        <f>"5263"</f>
        <v>5263</v>
      </c>
      <c r="F2463" t="s">
        <v>13355</v>
      </c>
      <c r="G2463">
        <v>7</v>
      </c>
      <c r="H2463">
        <v>12</v>
      </c>
      <c r="I2463" t="s">
        <v>13356</v>
      </c>
      <c r="J2463" t="s">
        <v>13357</v>
      </c>
      <c r="K2463" t="s">
        <v>2512</v>
      </c>
      <c r="L2463" t="s">
        <v>25</v>
      </c>
      <c r="M2463">
        <v>98902</v>
      </c>
      <c r="N2463" t="s">
        <v>2513</v>
      </c>
      <c r="P2463" t="s">
        <v>2515</v>
      </c>
      <c r="Q2463" t="s">
        <v>13358</v>
      </c>
      <c r="R2463" t="s">
        <v>1313</v>
      </c>
      <c r="S2463" t="s">
        <v>159</v>
      </c>
    </row>
    <row r="2464" spans="1:19" x14ac:dyDescent="0.45">
      <c r="A2464" t="str">
        <f>"39801"</f>
        <v>39801</v>
      </c>
      <c r="B2464" t="s">
        <v>2395</v>
      </c>
      <c r="C2464" t="str">
        <f>"39007"</f>
        <v>39007</v>
      </c>
      <c r="D2464" t="s">
        <v>2508</v>
      </c>
      <c r="E2464" t="str">
        <f>"5264"</f>
        <v>5264</v>
      </c>
      <c r="F2464" t="s">
        <v>13359</v>
      </c>
      <c r="G2464">
        <v>7</v>
      </c>
      <c r="H2464">
        <v>12</v>
      </c>
      <c r="I2464" t="s">
        <v>13356</v>
      </c>
      <c r="K2464" t="s">
        <v>2512</v>
      </c>
      <c r="L2464" t="s">
        <v>25</v>
      </c>
      <c r="M2464">
        <v>98902</v>
      </c>
      <c r="N2464" t="s">
        <v>2513</v>
      </c>
      <c r="P2464" t="s">
        <v>2515</v>
      </c>
      <c r="Q2464" t="s">
        <v>962</v>
      </c>
      <c r="R2464" t="s">
        <v>963</v>
      </c>
      <c r="S2464" t="s">
        <v>159</v>
      </c>
    </row>
    <row r="2465" spans="1:19" x14ac:dyDescent="0.45">
      <c r="A2465" t="str">
        <f>"17801"</f>
        <v>17801</v>
      </c>
      <c r="B2465" t="s">
        <v>19</v>
      </c>
      <c r="C2465" t="str">
        <f>"17414"</f>
        <v>17414</v>
      </c>
      <c r="D2465" t="s">
        <v>4253</v>
      </c>
      <c r="E2465" t="str">
        <f>"5265"</f>
        <v>5265</v>
      </c>
      <c r="F2465" t="s">
        <v>13360</v>
      </c>
      <c r="G2465">
        <v>9</v>
      </c>
      <c r="H2465">
        <v>12</v>
      </c>
      <c r="I2465" t="s">
        <v>13361</v>
      </c>
      <c r="K2465" t="s">
        <v>4256</v>
      </c>
      <c r="L2465" t="s">
        <v>25</v>
      </c>
      <c r="M2465" t="s">
        <v>5984</v>
      </c>
      <c r="N2465" t="s">
        <v>13362</v>
      </c>
      <c r="O2465" t="s">
        <v>13363</v>
      </c>
      <c r="P2465" t="s">
        <v>13364</v>
      </c>
      <c r="Q2465" t="s">
        <v>157</v>
      </c>
      <c r="R2465" t="s">
        <v>158</v>
      </c>
      <c r="S2465" t="s">
        <v>58</v>
      </c>
    </row>
    <row r="2466" spans="1:19" x14ac:dyDescent="0.45">
      <c r="A2466" t="str">
        <f>"32801"</f>
        <v>32801</v>
      </c>
      <c r="B2466" t="s">
        <v>1108</v>
      </c>
      <c r="C2466" t="str">
        <f>"32360"</f>
        <v>32360</v>
      </c>
      <c r="D2466" t="s">
        <v>2217</v>
      </c>
      <c r="E2466" t="str">
        <f>"5269"</f>
        <v>5269</v>
      </c>
      <c r="F2466" t="s">
        <v>13365</v>
      </c>
      <c r="G2466">
        <v>6</v>
      </c>
      <c r="H2466">
        <v>8</v>
      </c>
      <c r="I2466" t="s">
        <v>13366</v>
      </c>
      <c r="K2466" t="s">
        <v>2246</v>
      </c>
      <c r="L2466" t="s">
        <v>25</v>
      </c>
      <c r="M2466">
        <v>99224</v>
      </c>
      <c r="N2466" t="s">
        <v>13367</v>
      </c>
      <c r="O2466" t="s">
        <v>13368</v>
      </c>
      <c r="P2466" t="s">
        <v>13369</v>
      </c>
      <c r="Q2466" t="s">
        <v>30</v>
      </c>
      <c r="R2466" t="s">
        <v>31</v>
      </c>
      <c r="S2466" t="s">
        <v>104</v>
      </c>
    </row>
    <row r="2467" spans="1:19" x14ac:dyDescent="0.45">
      <c r="A2467" t="str">
        <f>"32801"</f>
        <v>32801</v>
      </c>
      <c r="B2467" t="s">
        <v>1108</v>
      </c>
      <c r="C2467" t="str">
        <f>"32414"</f>
        <v>32414</v>
      </c>
      <c r="D2467" t="s">
        <v>10709</v>
      </c>
      <c r="E2467" t="str">
        <f>"5270"</f>
        <v>5270</v>
      </c>
      <c r="F2467" t="s">
        <v>13370</v>
      </c>
      <c r="G2467" t="s">
        <v>22</v>
      </c>
      <c r="H2467" t="s">
        <v>22</v>
      </c>
      <c r="I2467" t="s">
        <v>13371</v>
      </c>
      <c r="K2467" t="s">
        <v>10712</v>
      </c>
      <c r="L2467" t="s">
        <v>25</v>
      </c>
      <c r="M2467">
        <v>99006</v>
      </c>
      <c r="N2467" t="s">
        <v>10721</v>
      </c>
      <c r="O2467" t="s">
        <v>10722</v>
      </c>
      <c r="P2467" t="s">
        <v>13372</v>
      </c>
      <c r="Q2467" t="s">
        <v>2316</v>
      </c>
      <c r="R2467" t="s">
        <v>31</v>
      </c>
      <c r="S2467" t="s">
        <v>1248</v>
      </c>
    </row>
    <row r="2468" spans="1:19" x14ac:dyDescent="0.45">
      <c r="A2468" t="str">
        <f>"06801"</f>
        <v>06801</v>
      </c>
      <c r="B2468" t="s">
        <v>1870</v>
      </c>
      <c r="C2468" t="str">
        <f>"06037"</f>
        <v>06037</v>
      </c>
      <c r="D2468" t="s">
        <v>1871</v>
      </c>
      <c r="E2468" t="str">
        <f>"5271"</f>
        <v>5271</v>
      </c>
      <c r="F2468" t="s">
        <v>13373</v>
      </c>
      <c r="G2468">
        <v>6</v>
      </c>
      <c r="H2468">
        <v>12</v>
      </c>
      <c r="I2468" t="s">
        <v>1906</v>
      </c>
      <c r="K2468" t="s">
        <v>1874</v>
      </c>
      <c r="L2468" t="s">
        <v>25</v>
      </c>
      <c r="M2468" t="s">
        <v>1907</v>
      </c>
      <c r="N2468" t="s">
        <v>13374</v>
      </c>
      <c r="O2468" t="s">
        <v>13375</v>
      </c>
      <c r="P2468" t="s">
        <v>13376</v>
      </c>
      <c r="Q2468" t="s">
        <v>30</v>
      </c>
      <c r="R2468" t="s">
        <v>31</v>
      </c>
      <c r="S2468" t="s">
        <v>159</v>
      </c>
    </row>
    <row r="2469" spans="1:19" x14ac:dyDescent="0.45">
      <c r="A2469" t="str">
        <f>"04801"</f>
        <v>04801</v>
      </c>
      <c r="B2469" t="s">
        <v>1549</v>
      </c>
      <c r="C2469" t="str">
        <f>"24111"</f>
        <v>24111</v>
      </c>
      <c r="D2469" t="s">
        <v>7418</v>
      </c>
      <c r="E2469" t="str">
        <f>"5272"</f>
        <v>5272</v>
      </c>
      <c r="F2469" t="s">
        <v>13377</v>
      </c>
      <c r="G2469">
        <v>9</v>
      </c>
      <c r="H2469">
        <v>12</v>
      </c>
      <c r="I2469" t="s">
        <v>7431</v>
      </c>
      <c r="K2469" t="s">
        <v>13378</v>
      </c>
      <c r="L2469" t="s">
        <v>25</v>
      </c>
      <c r="M2469">
        <v>98812</v>
      </c>
      <c r="N2469" t="s">
        <v>7423</v>
      </c>
      <c r="O2469" t="s">
        <v>13379</v>
      </c>
      <c r="P2469" t="s">
        <v>13380</v>
      </c>
      <c r="Q2469" t="s">
        <v>157</v>
      </c>
      <c r="R2469" t="s">
        <v>158</v>
      </c>
      <c r="S2469" t="s">
        <v>58</v>
      </c>
    </row>
    <row r="2470" spans="1:19" x14ac:dyDescent="0.45">
      <c r="A2470" t="str">
        <f>"04801"</f>
        <v>04801</v>
      </c>
      <c r="B2470" t="s">
        <v>1549</v>
      </c>
      <c r="C2470" t="str">
        <f>"13161"</f>
        <v>13161</v>
      </c>
      <c r="D2470" t="s">
        <v>2348</v>
      </c>
      <c r="E2470" t="str">
        <f>"5273"</f>
        <v>5273</v>
      </c>
      <c r="F2470" t="s">
        <v>13381</v>
      </c>
      <c r="G2470">
        <v>10</v>
      </c>
      <c r="H2470">
        <v>12</v>
      </c>
      <c r="I2470" t="s">
        <v>13382</v>
      </c>
      <c r="K2470" t="s">
        <v>2351</v>
      </c>
      <c r="L2470" t="s">
        <v>25</v>
      </c>
      <c r="M2470">
        <v>98837</v>
      </c>
      <c r="N2470" t="s">
        <v>13383</v>
      </c>
      <c r="O2470" t="s">
        <v>13384</v>
      </c>
      <c r="P2470" t="s">
        <v>13385</v>
      </c>
      <c r="Q2470" t="s">
        <v>172</v>
      </c>
      <c r="R2470" t="s">
        <v>173</v>
      </c>
      <c r="S2470" t="s">
        <v>58</v>
      </c>
    </row>
    <row r="2471" spans="1:19" x14ac:dyDescent="0.45">
      <c r="A2471" t="str">
        <f>"17801"</f>
        <v>17801</v>
      </c>
      <c r="B2471" t="s">
        <v>19</v>
      </c>
      <c r="C2471" t="str">
        <f>"17415"</f>
        <v>17415</v>
      </c>
      <c r="D2471" t="s">
        <v>2884</v>
      </c>
      <c r="E2471" t="str">
        <f>"5275"</f>
        <v>5275</v>
      </c>
      <c r="F2471" t="s">
        <v>13386</v>
      </c>
      <c r="G2471">
        <v>9</v>
      </c>
      <c r="H2471">
        <v>12</v>
      </c>
      <c r="I2471" t="s">
        <v>13387</v>
      </c>
      <c r="J2471" t="s">
        <v>13388</v>
      </c>
      <c r="K2471" t="s">
        <v>2887</v>
      </c>
      <c r="L2471" t="s">
        <v>25</v>
      </c>
      <c r="M2471" t="s">
        <v>13389</v>
      </c>
      <c r="N2471" t="s">
        <v>13390</v>
      </c>
      <c r="O2471" t="s">
        <v>13391</v>
      </c>
      <c r="P2471" t="s">
        <v>13392</v>
      </c>
      <c r="Q2471" t="s">
        <v>2264</v>
      </c>
      <c r="R2471" t="s">
        <v>2265</v>
      </c>
      <c r="S2471" t="s">
        <v>58</v>
      </c>
    </row>
    <row r="2472" spans="1:19" x14ac:dyDescent="0.45">
      <c r="A2472" t="str">
        <f>"17801"</f>
        <v>17801</v>
      </c>
      <c r="B2472" t="s">
        <v>19</v>
      </c>
      <c r="C2472" t="str">
        <f>"17001"</f>
        <v>17001</v>
      </c>
      <c r="D2472" t="s">
        <v>2209</v>
      </c>
      <c r="E2472" t="str">
        <f>"5276"</f>
        <v>5276</v>
      </c>
      <c r="F2472" t="s">
        <v>13393</v>
      </c>
      <c r="G2472" t="s">
        <v>22</v>
      </c>
      <c r="H2472">
        <v>8</v>
      </c>
      <c r="I2472" t="s">
        <v>13394</v>
      </c>
      <c r="K2472" t="s">
        <v>152</v>
      </c>
      <c r="L2472" t="s">
        <v>25</v>
      </c>
      <c r="M2472" t="s">
        <v>13395</v>
      </c>
      <c r="N2472" t="s">
        <v>13396</v>
      </c>
      <c r="O2472" t="s">
        <v>13397</v>
      </c>
      <c r="P2472" t="s">
        <v>13398</v>
      </c>
      <c r="Q2472" t="s">
        <v>30</v>
      </c>
      <c r="R2472" t="s">
        <v>31</v>
      </c>
      <c r="S2472" t="s">
        <v>159</v>
      </c>
    </row>
    <row r="2473" spans="1:19" x14ac:dyDescent="0.45">
      <c r="A2473" t="str">
        <f>"17801"</f>
        <v>17801</v>
      </c>
      <c r="B2473" t="s">
        <v>19</v>
      </c>
      <c r="C2473" t="str">
        <f>"17401"</f>
        <v>17401</v>
      </c>
      <c r="D2473" t="s">
        <v>149</v>
      </c>
      <c r="E2473" t="str">
        <f>"5277"</f>
        <v>5277</v>
      </c>
      <c r="F2473" t="s">
        <v>13399</v>
      </c>
      <c r="G2473">
        <v>9</v>
      </c>
      <c r="H2473">
        <v>12</v>
      </c>
      <c r="I2473" t="s">
        <v>12958</v>
      </c>
      <c r="J2473" t="s">
        <v>12532</v>
      </c>
      <c r="K2473" t="s">
        <v>152</v>
      </c>
      <c r="L2473" t="s">
        <v>25</v>
      </c>
      <c r="M2473">
        <v>98146</v>
      </c>
      <c r="N2473" t="s">
        <v>154</v>
      </c>
      <c r="O2473" t="s">
        <v>155</v>
      </c>
      <c r="P2473" t="s">
        <v>156</v>
      </c>
      <c r="Q2473" t="s">
        <v>13331</v>
      </c>
      <c r="R2473" t="s">
        <v>13332</v>
      </c>
      <c r="S2473" t="s">
        <v>58</v>
      </c>
    </row>
    <row r="2474" spans="1:19" x14ac:dyDescent="0.45">
      <c r="A2474" t="str">
        <f>"32801"</f>
        <v>32801</v>
      </c>
      <c r="B2474" t="s">
        <v>1108</v>
      </c>
      <c r="C2474" t="str">
        <f>"32356"</f>
        <v>32356</v>
      </c>
      <c r="D2474" t="s">
        <v>2362</v>
      </c>
      <c r="E2474" t="str">
        <f>"5278"</f>
        <v>5278</v>
      </c>
      <c r="F2474" t="s">
        <v>13400</v>
      </c>
      <c r="G2474">
        <v>9</v>
      </c>
      <c r="H2474">
        <v>12</v>
      </c>
      <c r="I2474" t="s">
        <v>13401</v>
      </c>
      <c r="K2474" t="s">
        <v>2365</v>
      </c>
      <c r="L2474" t="s">
        <v>25</v>
      </c>
      <c r="M2474" t="s">
        <v>13402</v>
      </c>
      <c r="N2474" t="s">
        <v>13403</v>
      </c>
      <c r="O2474" t="s">
        <v>13404</v>
      </c>
      <c r="P2474" t="s">
        <v>13405</v>
      </c>
      <c r="Q2474" t="s">
        <v>172</v>
      </c>
      <c r="R2474" t="s">
        <v>173</v>
      </c>
      <c r="S2474" t="s">
        <v>58</v>
      </c>
    </row>
    <row r="2475" spans="1:19" x14ac:dyDescent="0.45">
      <c r="A2475" t="str">
        <f>"17801"</f>
        <v>17801</v>
      </c>
      <c r="B2475" t="s">
        <v>19</v>
      </c>
      <c r="C2475" t="str">
        <f>"17210"</f>
        <v>17210</v>
      </c>
      <c r="D2475" t="s">
        <v>20</v>
      </c>
      <c r="E2475" t="str">
        <f>"5279"</f>
        <v>5279</v>
      </c>
      <c r="F2475" t="s">
        <v>13406</v>
      </c>
      <c r="G2475" t="s">
        <v>22</v>
      </c>
      <c r="H2475" t="s">
        <v>22</v>
      </c>
      <c r="I2475" t="s">
        <v>13407</v>
      </c>
      <c r="K2475" t="s">
        <v>2472</v>
      </c>
      <c r="L2475" t="s">
        <v>25</v>
      </c>
      <c r="M2475" t="s">
        <v>13408</v>
      </c>
      <c r="N2475" t="s">
        <v>12444</v>
      </c>
      <c r="O2475" t="s">
        <v>12445</v>
      </c>
      <c r="P2475" t="s">
        <v>13409</v>
      </c>
      <c r="Q2475" t="s">
        <v>66</v>
      </c>
      <c r="R2475" t="s">
        <v>67</v>
      </c>
      <c r="S2475" t="s">
        <v>1248</v>
      </c>
    </row>
    <row r="2476" spans="1:19" x14ac:dyDescent="0.45">
      <c r="A2476" t="str">
        <f>"17801"</f>
        <v>17801</v>
      </c>
      <c r="B2476" t="s">
        <v>19</v>
      </c>
      <c r="C2476" t="str">
        <f>"17210"</f>
        <v>17210</v>
      </c>
      <c r="D2476" t="s">
        <v>20</v>
      </c>
      <c r="E2476" t="str">
        <f>"5280"</f>
        <v>5280</v>
      </c>
      <c r="F2476" t="s">
        <v>13410</v>
      </c>
      <c r="G2476" t="s">
        <v>22</v>
      </c>
      <c r="H2476">
        <v>12</v>
      </c>
      <c r="I2476" t="s">
        <v>13411</v>
      </c>
      <c r="K2476" t="s">
        <v>2887</v>
      </c>
      <c r="L2476" t="s">
        <v>25</v>
      </c>
      <c r="M2476">
        <v>98030</v>
      </c>
      <c r="N2476" t="s">
        <v>12444</v>
      </c>
      <c r="O2476" t="s">
        <v>12445</v>
      </c>
      <c r="P2476" t="s">
        <v>12446</v>
      </c>
      <c r="Q2476" t="s">
        <v>66</v>
      </c>
      <c r="R2476" t="s">
        <v>67</v>
      </c>
      <c r="S2476" t="s">
        <v>68</v>
      </c>
    </row>
    <row r="2477" spans="1:19" x14ac:dyDescent="0.45">
      <c r="A2477" t="str">
        <f>"17801"</f>
        <v>17801</v>
      </c>
      <c r="B2477" t="s">
        <v>19</v>
      </c>
      <c r="C2477" t="str">
        <f>"17405"</f>
        <v>17405</v>
      </c>
      <c r="D2477" t="s">
        <v>487</v>
      </c>
      <c r="E2477" t="str">
        <f>"5281"</f>
        <v>5281</v>
      </c>
      <c r="F2477" t="s">
        <v>13412</v>
      </c>
      <c r="G2477" t="s">
        <v>22</v>
      </c>
      <c r="H2477">
        <v>13</v>
      </c>
      <c r="I2477" t="s">
        <v>13413</v>
      </c>
      <c r="K2477" t="s">
        <v>490</v>
      </c>
      <c r="L2477" t="s">
        <v>25</v>
      </c>
      <c r="M2477" t="s">
        <v>13414</v>
      </c>
      <c r="N2477" t="s">
        <v>13415</v>
      </c>
      <c r="O2477" t="s">
        <v>13416</v>
      </c>
      <c r="P2477" t="s">
        <v>13417</v>
      </c>
      <c r="Q2477" t="s">
        <v>2256</v>
      </c>
      <c r="R2477" t="s">
        <v>31</v>
      </c>
      <c r="S2477" t="s">
        <v>68</v>
      </c>
    </row>
    <row r="2478" spans="1:19" x14ac:dyDescent="0.45">
      <c r="A2478" t="str">
        <f>"32801"</f>
        <v>32801</v>
      </c>
      <c r="B2478" t="s">
        <v>1108</v>
      </c>
      <c r="C2478" t="str">
        <f>"33206"</f>
        <v>33206</v>
      </c>
      <c r="D2478" t="s">
        <v>10851</v>
      </c>
      <c r="E2478" t="str">
        <f>"5283"</f>
        <v>5283</v>
      </c>
      <c r="F2478" t="s">
        <v>13418</v>
      </c>
      <c r="G2478">
        <v>9</v>
      </c>
      <c r="H2478">
        <v>12</v>
      </c>
      <c r="I2478" t="s">
        <v>10853</v>
      </c>
      <c r="K2478" t="s">
        <v>10854</v>
      </c>
      <c r="L2478" t="s">
        <v>25</v>
      </c>
      <c r="M2478">
        <v>99137</v>
      </c>
      <c r="N2478" t="s">
        <v>10856</v>
      </c>
      <c r="O2478" t="s">
        <v>10857</v>
      </c>
      <c r="P2478" t="s">
        <v>10858</v>
      </c>
      <c r="Q2478" t="s">
        <v>157</v>
      </c>
      <c r="R2478" t="s">
        <v>158</v>
      </c>
      <c r="S2478" t="s">
        <v>58</v>
      </c>
    </row>
    <row r="2479" spans="1:19" x14ac:dyDescent="0.45">
      <c r="A2479" t="str">
        <f>"17801"</f>
        <v>17801</v>
      </c>
      <c r="B2479" t="s">
        <v>19</v>
      </c>
      <c r="C2479" t="str">
        <f>"17403"</f>
        <v>17403</v>
      </c>
      <c r="D2479" t="s">
        <v>344</v>
      </c>
      <c r="E2479" t="str">
        <f>"5282"</f>
        <v>5282</v>
      </c>
      <c r="F2479" t="s">
        <v>13419</v>
      </c>
      <c r="G2479">
        <v>9</v>
      </c>
      <c r="H2479">
        <v>12</v>
      </c>
      <c r="I2479" t="s">
        <v>13420</v>
      </c>
      <c r="K2479" t="s">
        <v>152</v>
      </c>
      <c r="L2479" t="s">
        <v>25</v>
      </c>
      <c r="M2479" t="s">
        <v>13421</v>
      </c>
      <c r="N2479" t="s">
        <v>13422</v>
      </c>
      <c r="O2479" t="s">
        <v>13423</v>
      </c>
      <c r="P2479" t="s">
        <v>13424</v>
      </c>
      <c r="Q2479" t="s">
        <v>157</v>
      </c>
      <c r="R2479" t="s">
        <v>158</v>
      </c>
      <c r="S2479" t="s">
        <v>58</v>
      </c>
    </row>
    <row r="2480" spans="1:19" x14ac:dyDescent="0.45">
      <c r="A2480" t="str">
        <f>"17801"</f>
        <v>17801</v>
      </c>
      <c r="B2480" t="s">
        <v>19</v>
      </c>
      <c r="C2480" t="str">
        <f>"17406"</f>
        <v>17406</v>
      </c>
      <c r="D2480" t="s">
        <v>630</v>
      </c>
      <c r="E2480" t="str">
        <f>"5284"</f>
        <v>5284</v>
      </c>
      <c r="F2480" t="s">
        <v>13425</v>
      </c>
      <c r="G2480">
        <v>9</v>
      </c>
      <c r="H2480">
        <v>12</v>
      </c>
      <c r="I2480" t="s">
        <v>13426</v>
      </c>
      <c r="J2480" t="s">
        <v>13427</v>
      </c>
      <c r="K2480" t="s">
        <v>180</v>
      </c>
      <c r="L2480" t="s">
        <v>25</v>
      </c>
      <c r="M2480">
        <v>98198</v>
      </c>
      <c r="N2480" t="s">
        <v>13428</v>
      </c>
      <c r="O2480" t="s">
        <v>13429</v>
      </c>
      <c r="P2480" t="s">
        <v>13430</v>
      </c>
      <c r="Q2480" t="s">
        <v>5779</v>
      </c>
      <c r="R2480" t="s">
        <v>158</v>
      </c>
      <c r="S2480" t="s">
        <v>58</v>
      </c>
    </row>
    <row r="2481" spans="1:19" x14ac:dyDescent="0.45">
      <c r="A2481" t="str">
        <f>"11801"</f>
        <v>11801</v>
      </c>
      <c r="B2481" t="s">
        <v>1122</v>
      </c>
      <c r="C2481" t="str">
        <f>"01147"</f>
        <v>01147</v>
      </c>
      <c r="D2481" t="s">
        <v>1123</v>
      </c>
      <c r="E2481" t="str">
        <f>"5285"</f>
        <v>5285</v>
      </c>
      <c r="F2481" t="s">
        <v>13431</v>
      </c>
      <c r="G2481" t="s">
        <v>70</v>
      </c>
      <c r="H2481">
        <v>6</v>
      </c>
      <c r="I2481" t="s">
        <v>13432</v>
      </c>
      <c r="K2481" t="s">
        <v>1126</v>
      </c>
      <c r="L2481" t="s">
        <v>25</v>
      </c>
      <c r="M2481">
        <v>99344</v>
      </c>
      <c r="N2481" t="s">
        <v>13433</v>
      </c>
      <c r="O2481" t="s">
        <v>13434</v>
      </c>
      <c r="P2481" t="s">
        <v>13435</v>
      </c>
      <c r="Q2481" t="s">
        <v>30</v>
      </c>
      <c r="R2481" t="s">
        <v>31</v>
      </c>
      <c r="S2481" t="s">
        <v>32</v>
      </c>
    </row>
    <row r="2482" spans="1:19" x14ac:dyDescent="0.45">
      <c r="A2482" t="str">
        <f>"04801"</f>
        <v>04801</v>
      </c>
      <c r="B2482" t="s">
        <v>1549</v>
      </c>
      <c r="C2482" t="str">
        <f>"04019"</f>
        <v>04019</v>
      </c>
      <c r="D2482" t="s">
        <v>1550</v>
      </c>
      <c r="E2482" t="str">
        <f>"5286"</f>
        <v>5286</v>
      </c>
      <c r="F2482" t="s">
        <v>13436</v>
      </c>
      <c r="G2482">
        <v>6</v>
      </c>
      <c r="H2482">
        <v>8</v>
      </c>
      <c r="I2482" t="s">
        <v>13437</v>
      </c>
      <c r="K2482" t="s">
        <v>1561</v>
      </c>
      <c r="L2482" t="s">
        <v>25</v>
      </c>
      <c r="M2482">
        <v>98831</v>
      </c>
      <c r="N2482" t="s">
        <v>1562</v>
      </c>
      <c r="O2482" t="s">
        <v>1563</v>
      </c>
      <c r="P2482" t="s">
        <v>1564</v>
      </c>
      <c r="Q2482" t="s">
        <v>30</v>
      </c>
      <c r="R2482" t="s">
        <v>31</v>
      </c>
      <c r="S2482" t="s">
        <v>104</v>
      </c>
    </row>
    <row r="2483" spans="1:19" x14ac:dyDescent="0.45">
      <c r="A2483" t="str">
        <f>"39801"</f>
        <v>39801</v>
      </c>
      <c r="B2483" t="s">
        <v>2395</v>
      </c>
      <c r="C2483" t="str">
        <f>"39120"</f>
        <v>39120</v>
      </c>
      <c r="D2483" t="s">
        <v>2903</v>
      </c>
      <c r="E2483" t="str">
        <f>"5289"</f>
        <v>5289</v>
      </c>
      <c r="F2483" t="s">
        <v>13438</v>
      </c>
      <c r="G2483">
        <v>7</v>
      </c>
      <c r="H2483">
        <v>12</v>
      </c>
      <c r="I2483" t="s">
        <v>12138</v>
      </c>
      <c r="K2483" t="s">
        <v>2906</v>
      </c>
      <c r="L2483" t="s">
        <v>25</v>
      </c>
      <c r="M2483">
        <v>98935</v>
      </c>
      <c r="N2483" t="s">
        <v>2907</v>
      </c>
      <c r="O2483" t="s">
        <v>2908</v>
      </c>
      <c r="P2483" t="s">
        <v>2909</v>
      </c>
      <c r="Q2483" t="s">
        <v>30</v>
      </c>
      <c r="R2483" t="s">
        <v>31</v>
      </c>
      <c r="S248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WA_School_Directory_07_17_20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Emily Rang</cp:lastModifiedBy>
  <dcterms:created xsi:type="dcterms:W3CDTF">2020-07-21T20:31:28Z</dcterms:created>
  <dcterms:modified xsi:type="dcterms:W3CDTF">2020-07-21T20:31:28Z</dcterms:modified>
</cp:coreProperties>
</file>