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F4688511-AC06-4EB1-B5B6-882BC743307A}" xr6:coauthVersionLast="47" xr6:coauthVersionMax="47" xr10:uidLastSave="{00000000-0000-0000-0000-000000000000}"/>
  <bookViews>
    <workbookView xWindow="25080" yWindow="-120" windowWidth="29040" windowHeight="15840" tabRatio="485" activeTab="5" xr2:uid="{00000000-000D-0000-FFFF-FFFF00000000}"/>
  </bookViews>
  <sheets>
    <sheet name="Table1" sheetId="1" r:id="rId1"/>
    <sheet name="Table2" sheetId="2" r:id="rId2"/>
    <sheet name="Table3" sheetId="4" r:id="rId3"/>
    <sheet name="Table3WS1" sheetId="5" r:id="rId4"/>
    <sheet name="Table3WS2" sheetId="6" r:id="rId5"/>
    <sheet name="Table4" sheetId="8" r:id="rId6"/>
    <sheet name="Table4ws" sheetId="9" r:id="rId7"/>
    <sheet name="Table5_6" sheetId="10" r:id="rId8"/>
    <sheet name="Table5_6ws1" sheetId="11" r:id="rId9"/>
    <sheet name="table7" sheetId="17" r:id="rId10"/>
  </sheets>
  <definedNames>
    <definedName name="_xlnm._FilterDatabase" localSheetId="8" hidden="1">Table5_6ws1!$A$5:$Q$689</definedName>
    <definedName name="_xlnm._FilterDatabase" localSheetId="9" hidden="1">table7!$A$6:$J$6</definedName>
    <definedName name="_xlnm.Print_Area" localSheetId="0">Table1!$A$1:$L$95</definedName>
    <definedName name="_xlnm.Print_Area" localSheetId="7">Table5_6!$A$1:$I$63</definedName>
    <definedName name="_xlnm.Print_Titles" localSheetId="6">Table4ws!$A:$A</definedName>
    <definedName name="_xlnm.Print_Titles" localSheetId="8">Table5_6ws1!$1:$5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0" l="1"/>
  <c r="D79" i="10"/>
  <c r="D58" i="10"/>
  <c r="D43" i="10"/>
  <c r="D28" i="10"/>
  <c r="D13" i="10"/>
  <c r="Q711" i="11"/>
  <c r="P711" i="11"/>
  <c r="O711" i="11"/>
  <c r="N711" i="11"/>
  <c r="M711" i="11"/>
  <c r="L711" i="11"/>
  <c r="K711" i="11"/>
  <c r="J711" i="11"/>
  <c r="I711" i="11"/>
  <c r="H711" i="11"/>
  <c r="G711" i="11"/>
  <c r="F711" i="11"/>
  <c r="Q704" i="11"/>
  <c r="P704" i="11"/>
  <c r="O704" i="11"/>
  <c r="N704" i="11"/>
  <c r="M704" i="11"/>
  <c r="L704" i="11"/>
  <c r="K704" i="11"/>
  <c r="J704" i="11"/>
  <c r="I704" i="11"/>
  <c r="H704" i="11"/>
  <c r="G704" i="11"/>
  <c r="F704" i="11"/>
  <c r="Q703" i="11"/>
  <c r="P703" i="11"/>
  <c r="O703" i="11"/>
  <c r="N703" i="11"/>
  <c r="M703" i="11"/>
  <c r="L703" i="11"/>
  <c r="K703" i="11"/>
  <c r="J703" i="11"/>
  <c r="I703" i="11"/>
  <c r="H703" i="11"/>
  <c r="G703" i="11"/>
  <c r="F703" i="11"/>
  <c r="Q508" i="11" l="1"/>
  <c r="P508" i="11"/>
  <c r="P461" i="11"/>
  <c r="I498" i="11"/>
  <c r="H498" i="11"/>
  <c r="I407" i="11"/>
  <c r="H407" i="11"/>
  <c r="K365" i="11"/>
  <c r="J365" i="11"/>
  <c r="M239" i="11"/>
  <c r="L239" i="11"/>
  <c r="G365" i="11"/>
  <c r="F365" i="11"/>
  <c r="G239" i="11"/>
  <c r="F239" i="11"/>
  <c r="P106" i="11"/>
  <c r="Q106" i="11"/>
  <c r="Q340" i="11"/>
  <c r="P340" i="11"/>
  <c r="Q101" i="11"/>
  <c r="P101" i="11"/>
  <c r="K101" i="11"/>
  <c r="J101" i="11"/>
  <c r="I101" i="11"/>
  <c r="H101" i="11"/>
  <c r="G101" i="11"/>
  <c r="F101" i="11"/>
  <c r="FH28" i="9"/>
  <c r="FH22" i="9"/>
  <c r="FH19" i="9"/>
  <c r="FF22" i="9"/>
  <c r="FF20" i="9"/>
  <c r="EZ22" i="9"/>
  <c r="EZ20" i="9"/>
  <c r="EZ19" i="9"/>
  <c r="FF19" i="9"/>
  <c r="C27" i="5"/>
  <c r="B27" i="5"/>
  <c r="C16" i="5"/>
  <c r="B16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5" i="5"/>
  <c r="B15" i="5"/>
  <c r="C14" i="5"/>
  <c r="B14" i="5"/>
  <c r="C13" i="5"/>
  <c r="B13" i="5"/>
  <c r="C12" i="5"/>
  <c r="B12" i="5"/>
  <c r="N101" i="11" l="1"/>
  <c r="O101" i="11"/>
  <c r="O68" i="1"/>
  <c r="O67" i="1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0" i="5"/>
  <c r="E29" i="5"/>
  <c r="E28" i="5"/>
  <c r="E27" i="5"/>
  <c r="E16" i="5"/>
  <c r="E26" i="5"/>
  <c r="E25" i="5"/>
  <c r="E24" i="5"/>
  <c r="E23" i="5"/>
  <c r="E22" i="5"/>
  <c r="E21" i="5"/>
  <c r="E20" i="5"/>
  <c r="E19" i="5"/>
  <c r="E18" i="5"/>
  <c r="E17" i="5"/>
  <c r="E15" i="5"/>
  <c r="E14" i="5"/>
  <c r="E13" i="5"/>
  <c r="E12" i="5"/>
  <c r="E11" i="5"/>
  <c r="E10" i="5"/>
  <c r="E9" i="5"/>
  <c r="E8" i="5"/>
  <c r="E7" i="5"/>
  <c r="E6" i="5"/>
  <c r="E5" i="5"/>
  <c r="E4" i="5"/>
  <c r="D30" i="5"/>
  <c r="D29" i="5"/>
  <c r="D28" i="5"/>
  <c r="D27" i="5"/>
  <c r="D16" i="5"/>
  <c r="D26" i="5"/>
  <c r="D25" i="5"/>
  <c r="D24" i="5"/>
  <c r="D23" i="5"/>
  <c r="D22" i="5"/>
  <c r="D21" i="5"/>
  <c r="D20" i="5"/>
  <c r="D19" i="5"/>
  <c r="D18" i="5"/>
  <c r="D17" i="5"/>
  <c r="D15" i="5"/>
  <c r="D14" i="5"/>
  <c r="D13" i="5"/>
  <c r="D12" i="5"/>
  <c r="D11" i="5"/>
  <c r="D10" i="5"/>
  <c r="D9" i="5"/>
  <c r="D8" i="5"/>
  <c r="D7" i="5"/>
  <c r="D6" i="5"/>
  <c r="D5" i="5"/>
  <c r="D4" i="5"/>
  <c r="O705" i="11"/>
  <c r="N705" i="11"/>
  <c r="M705" i="11"/>
  <c r="L705" i="11"/>
  <c r="K705" i="11"/>
  <c r="J705" i="11"/>
  <c r="I705" i="11"/>
  <c r="H705" i="11"/>
  <c r="G705" i="11"/>
  <c r="F705" i="11"/>
  <c r="E689" i="11"/>
  <c r="D689" i="11"/>
  <c r="Q503" i="11"/>
  <c r="P503" i="11"/>
  <c r="M69" i="11"/>
  <c r="L69" i="11"/>
  <c r="K239" i="11"/>
  <c r="J239" i="11"/>
  <c r="I526" i="11"/>
  <c r="H526" i="11"/>
  <c r="I365" i="11"/>
  <c r="H365" i="11"/>
  <c r="I538" i="11"/>
  <c r="H538" i="11"/>
  <c r="G538" i="11"/>
  <c r="F538" i="11"/>
  <c r="Q461" i="11"/>
  <c r="M461" i="11"/>
  <c r="L461" i="11"/>
  <c r="K461" i="11"/>
  <c r="J461" i="11"/>
  <c r="I461" i="11"/>
  <c r="H461" i="11"/>
  <c r="G461" i="11"/>
  <c r="F461" i="11"/>
  <c r="Q407" i="11"/>
  <c r="P407" i="11"/>
  <c r="K407" i="11"/>
  <c r="J407" i="11"/>
  <c r="G407" i="11"/>
  <c r="F407" i="11"/>
  <c r="Q379" i="11"/>
  <c r="P379" i="11"/>
  <c r="K379" i="11"/>
  <c r="J379" i="11"/>
  <c r="G379" i="11"/>
  <c r="F379" i="11"/>
  <c r="Q192" i="11"/>
  <c r="P192" i="11"/>
  <c r="K192" i="11"/>
  <c r="J192" i="11"/>
  <c r="G192" i="11"/>
  <c r="F192" i="11"/>
  <c r="Q85" i="11"/>
  <c r="P85" i="11"/>
  <c r="K85" i="11"/>
  <c r="J85" i="11"/>
  <c r="I85" i="11"/>
  <c r="H85" i="11"/>
  <c r="G85" i="11"/>
  <c r="F85" i="11"/>
  <c r="Q40" i="11"/>
  <c r="P40" i="11"/>
  <c r="M40" i="11"/>
  <c r="L40" i="11"/>
  <c r="K40" i="11"/>
  <c r="J40" i="11"/>
  <c r="G40" i="11"/>
  <c r="F40" i="11"/>
  <c r="Q109" i="11"/>
  <c r="Q705" i="11" s="1"/>
  <c r="P109" i="11"/>
  <c r="P705" i="11" s="1"/>
  <c r="M54" i="8" l="1"/>
  <c r="K54" i="8"/>
  <c r="J54" i="8"/>
  <c r="I68" i="1" l="1"/>
  <c r="I67" i="1"/>
  <c r="D67" i="1"/>
  <c r="B67" i="1"/>
  <c r="FH31" i="9" l="1"/>
  <c r="FH29" i="9"/>
  <c r="FH21" i="9"/>
  <c r="FH33" i="9" s="1"/>
  <c r="FF21" i="9"/>
  <c r="FI17" i="9"/>
  <c r="FI15" i="9"/>
  <c r="FI13" i="9"/>
  <c r="FI11" i="9"/>
  <c r="FI9" i="9"/>
  <c r="FI8" i="9"/>
  <c r="E54" i="8"/>
  <c r="F67" i="1"/>
  <c r="H67" i="1" s="1"/>
  <c r="G67" i="1" l="1"/>
  <c r="FH23" i="9"/>
  <c r="FI21" i="9"/>
  <c r="FF23" i="9"/>
  <c r="F54" i="8"/>
  <c r="L54" i="8"/>
  <c r="C54" i="8"/>
  <c r="G54" i="8"/>
  <c r="D54" i="8"/>
  <c r="H54" i="8"/>
  <c r="L67" i="1"/>
  <c r="J67" i="1"/>
  <c r="K67" i="1"/>
  <c r="FI23" i="9" l="1"/>
  <c r="FF33" i="9"/>
  <c r="FB22" i="9"/>
  <c r="FB31" i="9" l="1"/>
  <c r="FB29" i="9"/>
  <c r="FB28" i="9" l="1"/>
  <c r="Q688" i="11" l="1"/>
  <c r="P688" i="11"/>
  <c r="Q571" i="11"/>
  <c r="P571" i="11"/>
  <c r="Q199" i="11"/>
  <c r="P199" i="11"/>
  <c r="M220" i="11"/>
  <c r="L220" i="11"/>
  <c r="K220" i="11"/>
  <c r="J220" i="11"/>
  <c r="K155" i="11"/>
  <c r="J155" i="11"/>
  <c r="K685" i="11" l="1"/>
  <c r="J685" i="11"/>
  <c r="I685" i="11"/>
  <c r="H685" i="11"/>
  <c r="K647" i="11"/>
  <c r="J647" i="11"/>
  <c r="I647" i="11"/>
  <c r="H647" i="11"/>
  <c r="I605" i="11"/>
  <c r="H605" i="11"/>
  <c r="K508" i="11"/>
  <c r="J508" i="11"/>
  <c r="I440" i="11"/>
  <c r="H440" i="11"/>
  <c r="K388" i="11"/>
  <c r="J388" i="11"/>
  <c r="I388" i="11"/>
  <c r="H388" i="11"/>
  <c r="M298" i="11"/>
  <c r="L298" i="11"/>
  <c r="K298" i="11"/>
  <c r="J298" i="11"/>
  <c r="I298" i="11"/>
  <c r="H298" i="11"/>
  <c r="I155" i="11"/>
  <c r="H155" i="11"/>
  <c r="F337" i="11"/>
  <c r="Q483" i="11"/>
  <c r="P483" i="11"/>
  <c r="K483" i="11"/>
  <c r="J483" i="11"/>
  <c r="G483" i="11"/>
  <c r="F483" i="11"/>
  <c r="Q465" i="11"/>
  <c r="P465" i="11"/>
  <c r="Q423" i="11"/>
  <c r="P423" i="11"/>
  <c r="K423" i="11"/>
  <c r="J423" i="11"/>
  <c r="G423" i="11"/>
  <c r="F423" i="11"/>
  <c r="Q337" i="11"/>
  <c r="P337" i="11"/>
  <c r="K337" i="11"/>
  <c r="J337" i="11"/>
  <c r="G337" i="11"/>
  <c r="Q318" i="11"/>
  <c r="P318" i="11"/>
  <c r="M318" i="11"/>
  <c r="L318" i="11"/>
  <c r="H318" i="11"/>
  <c r="J318" i="11"/>
  <c r="K318" i="11"/>
  <c r="I318" i="11"/>
  <c r="G318" i="11"/>
  <c r="F318" i="11"/>
  <c r="Q143" i="11"/>
  <c r="P143" i="11"/>
  <c r="M143" i="11"/>
  <c r="L143" i="11"/>
  <c r="K143" i="11"/>
  <c r="J143" i="11"/>
  <c r="G143" i="11"/>
  <c r="F143" i="11"/>
  <c r="Q69" i="11"/>
  <c r="P69" i="11"/>
  <c r="K69" i="11"/>
  <c r="J69" i="11"/>
  <c r="I69" i="11"/>
  <c r="H69" i="11"/>
  <c r="G69" i="11"/>
  <c r="F69" i="11"/>
  <c r="F246" i="11"/>
  <c r="G246" i="11"/>
  <c r="J246" i="11"/>
  <c r="K246" i="11"/>
  <c r="O246" i="11" s="1"/>
  <c r="P246" i="11"/>
  <c r="Q246" i="11"/>
  <c r="N250" i="11"/>
  <c r="O250" i="11"/>
  <c r="P250" i="11"/>
  <c r="Q250" i="11"/>
  <c r="N246" i="11" l="1"/>
  <c r="FB21" i="9"/>
  <c r="FB33" i="9" s="1"/>
  <c r="EZ21" i="9"/>
  <c r="EZ23" i="9" s="1"/>
  <c r="EZ33" i="9" s="1"/>
  <c r="FC17" i="9"/>
  <c r="FC15" i="9"/>
  <c r="FC13" i="9"/>
  <c r="FC11" i="9"/>
  <c r="FC9" i="9"/>
  <c r="FC8" i="9"/>
  <c r="O66" i="1"/>
  <c r="O65" i="1"/>
  <c r="D66" i="1"/>
  <c r="B66" i="1"/>
  <c r="FC21" i="9" l="1"/>
  <c r="FB23" i="9"/>
  <c r="B53" i="8"/>
  <c r="I66" i="1"/>
  <c r="F66" i="1"/>
  <c r="M53" i="8" l="1"/>
  <c r="J53" i="8"/>
  <c r="FC23" i="9"/>
  <c r="FH25" i="9" s="1"/>
  <c r="K53" i="8"/>
  <c r="F53" i="8"/>
  <c r="G53" i="8"/>
  <c r="E53" i="8"/>
  <c r="H53" i="8"/>
  <c r="C53" i="8"/>
  <c r="D53" i="8"/>
  <c r="L66" i="1"/>
  <c r="K538" i="11"/>
  <c r="J538" i="11"/>
  <c r="L53" i="8" l="1"/>
  <c r="EW28" i="9"/>
  <c r="EU22" i="9"/>
  <c r="EU20" i="9"/>
  <c r="EU19" i="9"/>
  <c r="EW31" i="9"/>
  <c r="EW29" i="9"/>
  <c r="EW22" i="9"/>
  <c r="K587" i="11" l="1"/>
  <c r="J587" i="11"/>
  <c r="Q685" i="11"/>
  <c r="P685" i="11"/>
  <c r="G685" i="11"/>
  <c r="F685" i="11"/>
  <c r="K543" i="11"/>
  <c r="J543" i="11"/>
  <c r="G543" i="11"/>
  <c r="F543" i="11"/>
  <c r="G508" i="11"/>
  <c r="F508" i="11"/>
  <c r="Q239" i="11"/>
  <c r="P239" i="11"/>
  <c r="I239" i="11"/>
  <c r="H239" i="11"/>
  <c r="I587" i="11"/>
  <c r="H587" i="11"/>
  <c r="O239" i="11" l="1"/>
  <c r="N239" i="11"/>
  <c r="M365" i="11"/>
  <c r="L365" i="11"/>
  <c r="I40" i="11"/>
  <c r="H40" i="11"/>
  <c r="O40" i="11" l="1"/>
  <c r="N40" i="11"/>
  <c r="B47" i="6" l="1"/>
  <c r="AR48" i="4"/>
  <c r="EW21" i="9" l="1"/>
  <c r="EW23" i="9" s="1"/>
  <c r="FB25" i="9" s="1"/>
  <c r="EU21" i="9"/>
  <c r="EX17" i="9"/>
  <c r="EX15" i="9"/>
  <c r="EX13" i="9"/>
  <c r="EX11" i="9"/>
  <c r="EX9" i="9"/>
  <c r="EX8" i="9"/>
  <c r="AR67" i="4"/>
  <c r="AR66" i="4"/>
  <c r="AR58" i="4"/>
  <c r="AR57" i="4"/>
  <c r="AR49" i="4"/>
  <c r="M68" i="2"/>
  <c r="L68" i="2"/>
  <c r="P695" i="11" s="1"/>
  <c r="K68" i="2"/>
  <c r="J68" i="2"/>
  <c r="F695" i="11" s="1"/>
  <c r="I65" i="1"/>
  <c r="F65" i="1"/>
  <c r="F68" i="1"/>
  <c r="H66" i="1" l="1"/>
  <c r="K66" i="1"/>
  <c r="G66" i="1"/>
  <c r="J66" i="1"/>
  <c r="J55" i="8"/>
  <c r="L68" i="1"/>
  <c r="L65" i="1"/>
  <c r="Q695" i="11"/>
  <c r="D68" i="1"/>
  <c r="K68" i="1" s="1"/>
  <c r="G695" i="11"/>
  <c r="B68" i="1"/>
  <c r="J68" i="1" s="1"/>
  <c r="EX21" i="9"/>
  <c r="EU23" i="9"/>
  <c r="EU33" i="9" s="1"/>
  <c r="ER29" i="9"/>
  <c r="ER31" i="9"/>
  <c r="ER19" i="9"/>
  <c r="ER22" i="9"/>
  <c r="EP22" i="9"/>
  <c r="EP20" i="9"/>
  <c r="EP19" i="9"/>
  <c r="G68" i="1" l="1"/>
  <c r="EX23" i="9"/>
  <c r="H55" i="8"/>
  <c r="G55" i="8"/>
  <c r="M55" i="8"/>
  <c r="K55" i="8"/>
  <c r="H68" i="1"/>
  <c r="M623" i="11"/>
  <c r="L623" i="11"/>
  <c r="K623" i="11"/>
  <c r="J623" i="11"/>
  <c r="I623" i="11"/>
  <c r="H623" i="11"/>
  <c r="Q440" i="11"/>
  <c r="P440" i="11"/>
  <c r="G440" i="11"/>
  <c r="F440" i="11"/>
  <c r="Q388" i="11"/>
  <c r="P388" i="11"/>
  <c r="G388" i="11"/>
  <c r="F388" i="11"/>
  <c r="Q298" i="11"/>
  <c r="P298" i="11"/>
  <c r="G298" i="11"/>
  <c r="F298" i="11"/>
  <c r="Q177" i="11"/>
  <c r="P177" i="11"/>
  <c r="D85" i="10" s="1"/>
  <c r="K177" i="11"/>
  <c r="J177" i="11"/>
  <c r="G177" i="11"/>
  <c r="F177" i="11"/>
  <c r="E85" i="10" l="1"/>
  <c r="K526" i="11"/>
  <c r="J526" i="11"/>
  <c r="O64" i="1" l="1"/>
  <c r="O63" i="1"/>
  <c r="I64" i="1"/>
  <c r="D64" i="1"/>
  <c r="K64" i="1" s="1"/>
  <c r="B64" i="1"/>
  <c r="F64" i="1"/>
  <c r="L64" i="1" s="1"/>
  <c r="B52" i="8"/>
  <c r="B51" i="8"/>
  <c r="J51" i="8" s="1"/>
  <c r="ER21" i="9"/>
  <c r="EP21" i="9"/>
  <c r="EP23" i="9" s="1"/>
  <c r="EP33" i="9" s="1"/>
  <c r="ES17" i="9"/>
  <c r="ES15" i="9"/>
  <c r="ES13" i="9"/>
  <c r="ES11" i="9"/>
  <c r="ES9" i="9"/>
  <c r="ES8" i="9"/>
  <c r="B58" i="10"/>
  <c r="D38" i="10"/>
  <c r="F38" i="10" s="1"/>
  <c r="H38" i="10" s="1"/>
  <c r="O699" i="11"/>
  <c r="K722" i="11"/>
  <c r="J722" i="11"/>
  <c r="G722" i="11"/>
  <c r="F722" i="11"/>
  <c r="K709" i="11"/>
  <c r="J709" i="11"/>
  <c r="G709" i="11"/>
  <c r="F709" i="11"/>
  <c r="EK22" i="9"/>
  <c r="EK20" i="9"/>
  <c r="EK19" i="9"/>
  <c r="D11" i="10"/>
  <c r="E739" i="11" s="1"/>
  <c r="E11" i="10"/>
  <c r="G11" i="10" s="1"/>
  <c r="I11" i="10" s="1"/>
  <c r="F63" i="1"/>
  <c r="Q715" i="11"/>
  <c r="P715" i="11"/>
  <c r="K715" i="11"/>
  <c r="J715" i="11"/>
  <c r="D52" i="10"/>
  <c r="F52" i="10" s="1"/>
  <c r="H52" i="10" s="1"/>
  <c r="G706" i="11"/>
  <c r="F706" i="11"/>
  <c r="G647" i="11"/>
  <c r="K271" i="11"/>
  <c r="K708" i="11" s="1"/>
  <c r="J271" i="11"/>
  <c r="N271" i="11" s="1"/>
  <c r="N708" i="11" s="1"/>
  <c r="G271" i="11"/>
  <c r="G708" i="11" s="1"/>
  <c r="F271" i="11"/>
  <c r="F708" i="11" s="1"/>
  <c r="Q268" i="11"/>
  <c r="P268" i="11"/>
  <c r="K268" i="11"/>
  <c r="J268" i="11"/>
  <c r="I268" i="11"/>
  <c r="H268" i="11"/>
  <c r="G268" i="11"/>
  <c r="F268" i="11"/>
  <c r="Q721" i="11"/>
  <c r="P721" i="11"/>
  <c r="Q717" i="11"/>
  <c r="P717" i="11"/>
  <c r="D23" i="10"/>
  <c r="F23" i="10" s="1"/>
  <c r="H23" i="10" s="1"/>
  <c r="K440" i="11"/>
  <c r="K716" i="11" s="1"/>
  <c r="J440" i="11"/>
  <c r="J716" i="11" s="1"/>
  <c r="M716" i="11"/>
  <c r="I706" i="11"/>
  <c r="H706" i="11"/>
  <c r="EH31" i="9"/>
  <c r="EH22" i="9"/>
  <c r="EF22" i="9"/>
  <c r="EF20" i="9"/>
  <c r="EM31" i="9"/>
  <c r="EM22" i="9"/>
  <c r="D63" i="1"/>
  <c r="B63" i="1"/>
  <c r="Q54" i="6"/>
  <c r="EM21" i="9"/>
  <c r="EM23" i="9" s="1"/>
  <c r="EK21" i="9"/>
  <c r="EN17" i="9"/>
  <c r="EN15" i="9"/>
  <c r="EN13" i="9"/>
  <c r="EN11" i="9"/>
  <c r="EN9" i="9"/>
  <c r="EN8" i="9"/>
  <c r="I63" i="1"/>
  <c r="K199" i="11"/>
  <c r="J199" i="11"/>
  <c r="D49" i="10" s="1"/>
  <c r="I709" i="11"/>
  <c r="H709" i="11"/>
  <c r="I199" i="11"/>
  <c r="H199" i="11"/>
  <c r="Q729" i="11"/>
  <c r="P729" i="11"/>
  <c r="K729" i="11"/>
  <c r="J729" i="11"/>
  <c r="G729" i="11"/>
  <c r="F729" i="11"/>
  <c r="Q710" i="11"/>
  <c r="P710" i="11"/>
  <c r="K710" i="11"/>
  <c r="J710" i="11"/>
  <c r="G710" i="11"/>
  <c r="F710" i="11"/>
  <c r="Q605" i="11"/>
  <c r="Q727" i="11" s="1"/>
  <c r="P605" i="11"/>
  <c r="P727" i="11" s="1"/>
  <c r="K605" i="11"/>
  <c r="J605" i="11"/>
  <c r="G605" i="11"/>
  <c r="G727" i="11" s="1"/>
  <c r="F605" i="11"/>
  <c r="F727" i="11" s="1"/>
  <c r="I722" i="11"/>
  <c r="H722" i="11"/>
  <c r="Q708" i="11"/>
  <c r="P708" i="11"/>
  <c r="O85" i="11"/>
  <c r="C79" i="10"/>
  <c r="C43" i="10"/>
  <c r="C28" i="10"/>
  <c r="C13" i="10"/>
  <c r="H89" i="6"/>
  <c r="P54" i="6"/>
  <c r="O54" i="6"/>
  <c r="N54" i="6"/>
  <c r="M54" i="6"/>
  <c r="L54" i="6"/>
  <c r="I62" i="6"/>
  <c r="I14" i="6"/>
  <c r="D62" i="1"/>
  <c r="B62" i="1"/>
  <c r="E69" i="10"/>
  <c r="G69" i="10" s="1"/>
  <c r="I69" i="10" s="1"/>
  <c r="E77" i="10"/>
  <c r="G77" i="10" s="1"/>
  <c r="I77" i="10" s="1"/>
  <c r="E76" i="10"/>
  <c r="G76" i="10" s="1"/>
  <c r="I76" i="10" s="1"/>
  <c r="E75" i="10"/>
  <c r="G75" i="10" s="1"/>
  <c r="I75" i="10" s="1"/>
  <c r="E74" i="10"/>
  <c r="G74" i="10" s="1"/>
  <c r="I74" i="10" s="1"/>
  <c r="E73" i="10"/>
  <c r="G73" i="10" s="1"/>
  <c r="I73" i="10" s="1"/>
  <c r="E72" i="10"/>
  <c r="G72" i="10" s="1"/>
  <c r="I72" i="10" s="1"/>
  <c r="E71" i="10"/>
  <c r="G71" i="10" s="1"/>
  <c r="I71" i="10" s="1"/>
  <c r="E70" i="10"/>
  <c r="G70" i="10" s="1"/>
  <c r="I70" i="10" s="1"/>
  <c r="E78" i="10"/>
  <c r="G78" i="10" s="1"/>
  <c r="I78" i="10" s="1"/>
  <c r="D69" i="10"/>
  <c r="F69" i="10" s="1"/>
  <c r="H69" i="10" s="1"/>
  <c r="D77" i="10"/>
  <c r="F77" i="10" s="1"/>
  <c r="H77" i="10" s="1"/>
  <c r="D76" i="10"/>
  <c r="F76" i="10" s="1"/>
  <c r="H76" i="10" s="1"/>
  <c r="D75" i="10"/>
  <c r="F75" i="10" s="1"/>
  <c r="H75" i="10" s="1"/>
  <c r="D74" i="10"/>
  <c r="F74" i="10" s="1"/>
  <c r="H74" i="10" s="1"/>
  <c r="D73" i="10"/>
  <c r="F73" i="10" s="1"/>
  <c r="H73" i="10" s="1"/>
  <c r="D72" i="10"/>
  <c r="F72" i="10" s="1"/>
  <c r="H72" i="10" s="1"/>
  <c r="D70" i="10"/>
  <c r="F70" i="10" s="1"/>
  <c r="H70" i="10" s="1"/>
  <c r="D78" i="10"/>
  <c r="F78" i="10" s="1"/>
  <c r="H78" i="10" s="1"/>
  <c r="O62" i="1"/>
  <c r="F62" i="1" s="1"/>
  <c r="O61" i="1"/>
  <c r="F61" i="1" s="1"/>
  <c r="I62" i="1"/>
  <c r="EF21" i="9"/>
  <c r="EH21" i="9"/>
  <c r="EH33" i="9" s="1"/>
  <c r="B50" i="8" s="1"/>
  <c r="J50" i="8" s="1"/>
  <c r="EI17" i="9"/>
  <c r="EI15" i="9"/>
  <c r="EI13" i="9"/>
  <c r="EI11" i="9"/>
  <c r="EI9" i="9"/>
  <c r="EI8" i="9"/>
  <c r="ED8" i="9"/>
  <c r="DY17" i="9"/>
  <c r="DY15" i="9"/>
  <c r="DY13" i="9"/>
  <c r="DY11" i="9"/>
  <c r="DY9" i="9"/>
  <c r="DY8" i="9"/>
  <c r="EC31" i="9"/>
  <c r="EC22" i="9"/>
  <c r="EC23" i="9" s="1"/>
  <c r="EA22" i="9"/>
  <c r="EA20" i="9"/>
  <c r="EA19" i="9"/>
  <c r="EA17" i="9"/>
  <c r="ED17" i="9" s="1"/>
  <c r="EA15" i="9"/>
  <c r="ED15" i="9" s="1"/>
  <c r="EA13" i="9"/>
  <c r="ED13" i="9" s="1"/>
  <c r="EA11" i="9"/>
  <c r="ED11" i="9" s="1"/>
  <c r="EA9" i="9"/>
  <c r="ED9" i="9" s="1"/>
  <c r="DV19" i="9"/>
  <c r="DV20" i="9"/>
  <c r="DV21" i="9" s="1"/>
  <c r="D37" i="10"/>
  <c r="F37" i="10" s="1"/>
  <c r="H37" i="10" s="1"/>
  <c r="B11" i="9"/>
  <c r="A53" i="10"/>
  <c r="M647" i="11"/>
  <c r="L647" i="11"/>
  <c r="L691" i="11" s="1"/>
  <c r="E57" i="10"/>
  <c r="G57" i="10" s="1"/>
  <c r="I672" i="11"/>
  <c r="O672" i="11" s="1"/>
  <c r="H672" i="11"/>
  <c r="D42" i="10" s="1"/>
  <c r="F42" i="10" s="1"/>
  <c r="H42" i="10" s="1"/>
  <c r="G672" i="11"/>
  <c r="F672" i="11"/>
  <c r="D27" i="10" s="1"/>
  <c r="F27" i="10" s="1"/>
  <c r="H27" i="10" s="1"/>
  <c r="Q587" i="11"/>
  <c r="Q726" i="11" s="1"/>
  <c r="P587" i="11"/>
  <c r="P726" i="11" s="1"/>
  <c r="O587" i="11"/>
  <c r="O726" i="11" s="1"/>
  <c r="N587" i="11"/>
  <c r="N726" i="11" s="1"/>
  <c r="G587" i="11"/>
  <c r="G726" i="11" s="1"/>
  <c r="F587" i="11"/>
  <c r="F726" i="11" s="1"/>
  <c r="I719" i="11"/>
  <c r="H719" i="11"/>
  <c r="G498" i="11"/>
  <c r="G719" i="11" s="1"/>
  <c r="F498" i="11"/>
  <c r="F719" i="11" s="1"/>
  <c r="I483" i="11"/>
  <c r="I718" i="11" s="1"/>
  <c r="H483" i="11"/>
  <c r="H718" i="11" s="1"/>
  <c r="G718" i="11"/>
  <c r="F718" i="11"/>
  <c r="K410" i="11"/>
  <c r="O410" i="11" s="1"/>
  <c r="J410" i="11"/>
  <c r="N410" i="11" s="1"/>
  <c r="G410" i="11"/>
  <c r="F410" i="11"/>
  <c r="I712" i="11"/>
  <c r="G712" i="11"/>
  <c r="F712" i="11"/>
  <c r="S42" i="6"/>
  <c r="L83" i="6"/>
  <c r="L76" i="6"/>
  <c r="L69" i="6"/>
  <c r="L62" i="6"/>
  <c r="L34" i="6"/>
  <c r="L82" i="6" s="1"/>
  <c r="L25" i="6"/>
  <c r="L75" i="6" s="1"/>
  <c r="L20" i="6"/>
  <c r="L68" i="6" s="1"/>
  <c r="L12" i="6"/>
  <c r="L61" i="6" s="1"/>
  <c r="L5" i="6"/>
  <c r="C89" i="6"/>
  <c r="C47" i="6"/>
  <c r="C42" i="6"/>
  <c r="B79" i="10"/>
  <c r="B43" i="10"/>
  <c r="B28" i="10"/>
  <c r="B13" i="10"/>
  <c r="I61" i="1"/>
  <c r="L61" i="1" s="1"/>
  <c r="EC21" i="9"/>
  <c r="DX22" i="9"/>
  <c r="DX31" i="9"/>
  <c r="DV22" i="9"/>
  <c r="DX21" i="9"/>
  <c r="D61" i="1"/>
  <c r="B61" i="1"/>
  <c r="K571" i="11"/>
  <c r="K724" i="11" s="1"/>
  <c r="J571" i="11"/>
  <c r="J724" i="11" s="1"/>
  <c r="M571" i="11"/>
  <c r="M724" i="11" s="1"/>
  <c r="L571" i="11"/>
  <c r="M728" i="11"/>
  <c r="L728" i="11"/>
  <c r="K728" i="11"/>
  <c r="J728" i="11"/>
  <c r="I728" i="11"/>
  <c r="H728" i="11"/>
  <c r="I177" i="11"/>
  <c r="H177" i="11"/>
  <c r="K723" i="11"/>
  <c r="N543" i="11"/>
  <c r="N723" i="11" s="1"/>
  <c r="G723" i="11"/>
  <c r="F723" i="11"/>
  <c r="Q526" i="11"/>
  <c r="P526" i="11"/>
  <c r="D90" i="10" s="1"/>
  <c r="F90" i="10" s="1"/>
  <c r="H90" i="10" s="1"/>
  <c r="D54" i="10"/>
  <c r="F54" i="10" s="1"/>
  <c r="H54" i="10" s="1"/>
  <c r="D39" i="10"/>
  <c r="F39" i="10" s="1"/>
  <c r="H39" i="10" s="1"/>
  <c r="G526" i="11"/>
  <c r="F526" i="11"/>
  <c r="D24" i="10" s="1"/>
  <c r="I721" i="11"/>
  <c r="H721" i="11"/>
  <c r="G721" i="11"/>
  <c r="F721" i="11"/>
  <c r="G426" i="11"/>
  <c r="G715" i="11" s="1"/>
  <c r="F426" i="11"/>
  <c r="F715" i="11" s="1"/>
  <c r="M713" i="11"/>
  <c r="G713" i="11"/>
  <c r="F713" i="11"/>
  <c r="K712" i="11"/>
  <c r="J712" i="11"/>
  <c r="D88" i="10"/>
  <c r="F88" i="10" s="1"/>
  <c r="H88" i="10" s="1"/>
  <c r="D22" i="10"/>
  <c r="Q155" i="11"/>
  <c r="P155" i="11"/>
  <c r="G155" i="11"/>
  <c r="F155" i="11"/>
  <c r="O60" i="1"/>
  <c r="F60" i="1" s="1"/>
  <c r="O59" i="1"/>
  <c r="F59" i="1" s="1"/>
  <c r="I60" i="1"/>
  <c r="D60" i="1"/>
  <c r="B60" i="1"/>
  <c r="AJ64" i="4"/>
  <c r="AJ55" i="4"/>
  <c r="AJ46" i="4"/>
  <c r="AJ30" i="4"/>
  <c r="AJ21" i="4"/>
  <c r="AJ12" i="4"/>
  <c r="K706" i="11"/>
  <c r="J706" i="11"/>
  <c r="I426" i="11"/>
  <c r="I715" i="11" s="1"/>
  <c r="H426" i="11"/>
  <c r="H715" i="11" s="1"/>
  <c r="DS31" i="9"/>
  <c r="DS22" i="9"/>
  <c r="DQ22" i="9"/>
  <c r="Q724" i="11"/>
  <c r="P724" i="11"/>
  <c r="Q709" i="11"/>
  <c r="P709" i="11"/>
  <c r="K498" i="11"/>
  <c r="K719" i="11" s="1"/>
  <c r="J498" i="11"/>
  <c r="J719" i="11" s="1"/>
  <c r="D53" i="10"/>
  <c r="K713" i="11"/>
  <c r="J713" i="11"/>
  <c r="I729" i="11"/>
  <c r="H729" i="11"/>
  <c r="I713" i="11"/>
  <c r="H713" i="11"/>
  <c r="Q730" i="11"/>
  <c r="P730" i="11"/>
  <c r="G658" i="11"/>
  <c r="F658" i="11"/>
  <c r="D26" i="10" s="1"/>
  <c r="F26" i="10" s="1"/>
  <c r="H26" i="10" s="1"/>
  <c r="G571" i="11"/>
  <c r="G724" i="11" s="1"/>
  <c r="F571" i="11"/>
  <c r="F724" i="11" s="1"/>
  <c r="K721" i="11"/>
  <c r="J721" i="11"/>
  <c r="O58" i="1"/>
  <c r="O57" i="1"/>
  <c r="F57" i="1" s="1"/>
  <c r="O56" i="1"/>
  <c r="O55" i="1"/>
  <c r="F55" i="1" s="1"/>
  <c r="O54" i="1"/>
  <c r="F54" i="1" s="1"/>
  <c r="O53" i="1"/>
  <c r="F53" i="1" s="1"/>
  <c r="DF32" i="9"/>
  <c r="CZ32" i="9"/>
  <c r="CT32" i="9"/>
  <c r="CN32" i="9"/>
  <c r="CH32" i="9"/>
  <c r="CB32" i="9"/>
  <c r="BV32" i="9"/>
  <c r="BP32" i="9"/>
  <c r="BJ32" i="9"/>
  <c r="BD32" i="9"/>
  <c r="AX32" i="9"/>
  <c r="AX34" i="9" s="1"/>
  <c r="AR32" i="9"/>
  <c r="AL32" i="9"/>
  <c r="AF32" i="9"/>
  <c r="Y32" i="9"/>
  <c r="R32" i="9"/>
  <c r="R34" i="9"/>
  <c r="K32" i="9"/>
  <c r="K34" i="9" s="1"/>
  <c r="D32" i="9"/>
  <c r="D34" i="9" s="1"/>
  <c r="DN31" i="9"/>
  <c r="DH31" i="9"/>
  <c r="DB31" i="9"/>
  <c r="CV31" i="9"/>
  <c r="CP31" i="9"/>
  <c r="CJ31" i="9"/>
  <c r="CD31" i="9"/>
  <c r="BX31" i="9"/>
  <c r="BR31" i="9"/>
  <c r="BF31" i="9"/>
  <c r="AZ31" i="9"/>
  <c r="AT31" i="9"/>
  <c r="AN31" i="9"/>
  <c r="AH31" i="9"/>
  <c r="T29" i="9"/>
  <c r="DH28" i="9"/>
  <c r="DH27" i="9"/>
  <c r="DB27" i="9"/>
  <c r="CV27" i="9"/>
  <c r="CP27" i="9"/>
  <c r="CJ27" i="9"/>
  <c r="CH27" i="9"/>
  <c r="CD27" i="9"/>
  <c r="CB27" i="9"/>
  <c r="BX27" i="9"/>
  <c r="BV27" i="9"/>
  <c r="BR27" i="9"/>
  <c r="BP27" i="9"/>
  <c r="BL27" i="9"/>
  <c r="BJ27" i="9"/>
  <c r="BF27" i="9"/>
  <c r="BD27" i="9"/>
  <c r="AZ27" i="9"/>
  <c r="AX27" i="9"/>
  <c r="AT27" i="9"/>
  <c r="AR27" i="9"/>
  <c r="AN27" i="9"/>
  <c r="AL27" i="9"/>
  <c r="AH27" i="9"/>
  <c r="AF27" i="9"/>
  <c r="V23" i="9"/>
  <c r="F23" i="9"/>
  <c r="H23" i="9" s="1"/>
  <c r="DN22" i="9"/>
  <c r="DL22" i="9"/>
  <c r="DL23" i="9" s="1"/>
  <c r="DH22" i="9"/>
  <c r="DF22" i="9"/>
  <c r="DB22" i="9"/>
  <c r="CZ22" i="9"/>
  <c r="CV22" i="9"/>
  <c r="CT22" i="9"/>
  <c r="CP22" i="9"/>
  <c r="CN22" i="9"/>
  <c r="CJ22" i="9"/>
  <c r="CH22" i="9"/>
  <c r="CD22" i="9"/>
  <c r="CB22" i="9"/>
  <c r="BX22" i="9"/>
  <c r="BV22" i="9"/>
  <c r="BR22" i="9"/>
  <c r="BP22" i="9"/>
  <c r="BL22" i="9"/>
  <c r="BJ22" i="9"/>
  <c r="BF22" i="9"/>
  <c r="BD22" i="9"/>
  <c r="BD23" i="9" s="1"/>
  <c r="AZ22" i="9"/>
  <c r="AX22" i="9"/>
  <c r="AT22" i="9"/>
  <c r="AR22" i="9"/>
  <c r="AN22" i="9"/>
  <c r="AL22" i="9"/>
  <c r="AH22" i="9"/>
  <c r="AF22" i="9"/>
  <c r="AF23" i="9" s="1"/>
  <c r="DN21" i="9"/>
  <c r="DL21" i="9"/>
  <c r="DH21" i="9"/>
  <c r="DH30" i="9" s="1"/>
  <c r="DF21" i="9"/>
  <c r="DF23" i="9" s="1"/>
  <c r="DB21" i="9"/>
  <c r="CZ21" i="9"/>
  <c r="CZ23" i="9" s="1"/>
  <c r="CZ34" i="9" s="1"/>
  <c r="CV21" i="9"/>
  <c r="CV30" i="9" s="1"/>
  <c r="CV32" i="9" s="1"/>
  <c r="B43" i="8" s="1"/>
  <c r="CT21" i="9"/>
  <c r="CT23" i="9" s="1"/>
  <c r="CP21" i="9"/>
  <c r="CP30" i="9" s="1"/>
  <c r="CN21" i="9"/>
  <c r="CJ21" i="9"/>
  <c r="CJ23" i="9" s="1"/>
  <c r="CH21" i="9"/>
  <c r="CH23" i="9" s="1"/>
  <c r="CD21" i="9"/>
  <c r="CB21" i="9"/>
  <c r="I40" i="8" s="1"/>
  <c r="BX21" i="9"/>
  <c r="BX30" i="9" s="1"/>
  <c r="BX32" i="9" s="1"/>
  <c r="BV21" i="9"/>
  <c r="B39" i="8" s="1"/>
  <c r="BR21" i="9"/>
  <c r="BP21" i="9"/>
  <c r="BL21" i="9"/>
  <c r="BL30" i="9" s="1"/>
  <c r="BL32" i="9" s="1"/>
  <c r="BJ21" i="9"/>
  <c r="BF21" i="9"/>
  <c r="BD21" i="9"/>
  <c r="AZ21" i="9"/>
  <c r="AZ23" i="9" s="1"/>
  <c r="BB23" i="9" s="1"/>
  <c r="AX21" i="9"/>
  <c r="I35" i="8"/>
  <c r="AT21" i="9"/>
  <c r="AT30" i="9" s="1"/>
  <c r="AR21" i="9"/>
  <c r="AV21" i="9" s="1"/>
  <c r="AN21" i="9"/>
  <c r="AN30" i="9"/>
  <c r="AN32" i="9" s="1"/>
  <c r="AL21" i="9"/>
  <c r="B33" i="8"/>
  <c r="C33" i="8" s="1"/>
  <c r="AH21" i="9"/>
  <c r="AH30" i="9"/>
  <c r="AF21" i="9"/>
  <c r="B32" i="8" s="1"/>
  <c r="F32" i="8" s="1"/>
  <c r="AA21" i="9"/>
  <c r="AA23" i="9" s="1"/>
  <c r="AA25" i="9" s="1"/>
  <c r="Y21" i="9"/>
  <c r="T21" i="9"/>
  <c r="R21" i="9"/>
  <c r="M21" i="9"/>
  <c r="O21" i="9" s="1"/>
  <c r="K21" i="9"/>
  <c r="F21" i="9"/>
  <c r="D20" i="9"/>
  <c r="D19" i="9"/>
  <c r="D21" i="9" s="1"/>
  <c r="D26" i="9" s="1"/>
  <c r="H26" i="9" s="1"/>
  <c r="DO17" i="9"/>
  <c r="DJ17" i="9"/>
  <c r="DD17" i="9"/>
  <c r="CX17" i="9"/>
  <c r="CR17" i="9"/>
  <c r="CL17" i="9"/>
  <c r="CF17" i="9"/>
  <c r="BZ17" i="9"/>
  <c r="BT17" i="9"/>
  <c r="BN17" i="9"/>
  <c r="BH17" i="9"/>
  <c r="BB17" i="9"/>
  <c r="AV17" i="9"/>
  <c r="AP17" i="9"/>
  <c r="AJ17" i="9"/>
  <c r="AC17" i="9"/>
  <c r="V17" i="9"/>
  <c r="O17" i="9"/>
  <c r="H16" i="9"/>
  <c r="DO15" i="9"/>
  <c r="DJ15" i="9"/>
  <c r="DD15" i="9"/>
  <c r="CX15" i="9"/>
  <c r="CR15" i="9"/>
  <c r="CL15" i="9"/>
  <c r="CF15" i="9"/>
  <c r="BZ15" i="9"/>
  <c r="BT15" i="9"/>
  <c r="BN15" i="9"/>
  <c r="BH15" i="9"/>
  <c r="BB15" i="9"/>
  <c r="AV15" i="9"/>
  <c r="AP15" i="9"/>
  <c r="AJ15" i="9"/>
  <c r="AC15" i="9"/>
  <c r="V15" i="9"/>
  <c r="O15" i="9"/>
  <c r="H15" i="9"/>
  <c r="H14" i="9"/>
  <c r="DO13" i="9"/>
  <c r="DJ13" i="9"/>
  <c r="DD13" i="9"/>
  <c r="CX13" i="9"/>
  <c r="CR13" i="9"/>
  <c r="CL13" i="9"/>
  <c r="CF13" i="9"/>
  <c r="BZ13" i="9"/>
  <c r="BT13" i="9"/>
  <c r="BN13" i="9"/>
  <c r="BH13" i="9"/>
  <c r="BB13" i="9"/>
  <c r="AV13" i="9"/>
  <c r="AP13" i="9"/>
  <c r="AJ13" i="9"/>
  <c r="AC13" i="9"/>
  <c r="V13" i="9"/>
  <c r="O13" i="9"/>
  <c r="H13" i="9"/>
  <c r="DO11" i="9"/>
  <c r="DJ11" i="9"/>
  <c r="DD11" i="9"/>
  <c r="CX11" i="9"/>
  <c r="CR11" i="9"/>
  <c r="CL11" i="9"/>
  <c r="CF11" i="9"/>
  <c r="BZ11" i="9"/>
  <c r="BT11" i="9"/>
  <c r="BN11" i="9"/>
  <c r="BH11" i="9"/>
  <c r="BB11" i="9"/>
  <c r="AV11" i="9"/>
  <c r="H10" i="9"/>
  <c r="DO9" i="9"/>
  <c r="DJ9" i="9"/>
  <c r="DD9" i="9"/>
  <c r="CX9" i="9"/>
  <c r="CT27" i="9"/>
  <c r="CR9" i="9"/>
  <c r="CL9" i="9"/>
  <c r="CF9" i="9"/>
  <c r="BZ9" i="9"/>
  <c r="BT9" i="9"/>
  <c r="BN9" i="9"/>
  <c r="BH9" i="9"/>
  <c r="BB9" i="9"/>
  <c r="AV9" i="9"/>
  <c r="AP9" i="9"/>
  <c r="AJ9" i="9"/>
  <c r="AC9" i="9"/>
  <c r="V9" i="9"/>
  <c r="O9" i="9"/>
  <c r="H9" i="9"/>
  <c r="DO8" i="9"/>
  <c r="DJ8" i="9"/>
  <c r="DD8" i="9"/>
  <c r="CX8" i="9"/>
  <c r="CR8" i="9"/>
  <c r="CN27" i="9" s="1"/>
  <c r="CL8" i="9"/>
  <c r="CF8" i="9"/>
  <c r="BZ8" i="9"/>
  <c r="BT8" i="9"/>
  <c r="BN8" i="9"/>
  <c r="BH8" i="9"/>
  <c r="BB8" i="9"/>
  <c r="AV8" i="9"/>
  <c r="AP8" i="9"/>
  <c r="AJ8" i="9"/>
  <c r="AC8" i="9"/>
  <c r="V8" i="9"/>
  <c r="O8" i="9"/>
  <c r="H8" i="9"/>
  <c r="AI21" i="4"/>
  <c r="AI64" i="4"/>
  <c r="AI55" i="4"/>
  <c r="AI46" i="4"/>
  <c r="AI30" i="4"/>
  <c r="AI12" i="4"/>
  <c r="I59" i="1"/>
  <c r="D59" i="1"/>
  <c r="B59" i="1"/>
  <c r="M712" i="11"/>
  <c r="L712" i="11"/>
  <c r="Q672" i="11"/>
  <c r="P672" i="11"/>
  <c r="D93" i="10" s="1"/>
  <c r="F93" i="10" s="1"/>
  <c r="H93" i="10" s="1"/>
  <c r="I143" i="11"/>
  <c r="H143" i="11"/>
  <c r="Q578" i="11"/>
  <c r="Q725" i="11" s="1"/>
  <c r="P578" i="11"/>
  <c r="P725" i="11" s="1"/>
  <c r="Q498" i="11"/>
  <c r="Q719" i="11" s="1"/>
  <c r="P498" i="11"/>
  <c r="P719" i="11" s="1"/>
  <c r="Q716" i="11"/>
  <c r="P716" i="11"/>
  <c r="Q714" i="11"/>
  <c r="P714" i="11"/>
  <c r="Q713" i="11"/>
  <c r="P713" i="11"/>
  <c r="Q712" i="11"/>
  <c r="P712" i="11"/>
  <c r="Q707" i="11"/>
  <c r="P707" i="11"/>
  <c r="Q220" i="11"/>
  <c r="P220" i="11"/>
  <c r="L709" i="11"/>
  <c r="K730" i="11"/>
  <c r="D57" i="10"/>
  <c r="F57" i="10" s="1"/>
  <c r="E56" i="10"/>
  <c r="G56" i="10" s="1"/>
  <c r="I56" i="10" s="1"/>
  <c r="J714" i="11"/>
  <c r="D51" i="10"/>
  <c r="I571" i="11"/>
  <c r="I724" i="11" s="1"/>
  <c r="H571" i="11"/>
  <c r="H724" i="11" s="1"/>
  <c r="I423" i="11"/>
  <c r="I714" i="11" s="1"/>
  <c r="H423" i="11"/>
  <c r="H714" i="11" s="1"/>
  <c r="D36" i="10"/>
  <c r="F36" i="10" s="1"/>
  <c r="H36" i="10" s="1"/>
  <c r="N707" i="11"/>
  <c r="I220" i="11"/>
  <c r="H220" i="11"/>
  <c r="I192" i="11"/>
  <c r="H192" i="11"/>
  <c r="F730" i="11"/>
  <c r="G716" i="11"/>
  <c r="F716" i="11"/>
  <c r="G714" i="11"/>
  <c r="F714" i="11"/>
  <c r="G707" i="11"/>
  <c r="G220" i="11"/>
  <c r="F220" i="11"/>
  <c r="W64" i="4"/>
  <c r="W55" i="4"/>
  <c r="W46" i="4"/>
  <c r="W30" i="4"/>
  <c r="W21" i="4"/>
  <c r="X21" i="4"/>
  <c r="W12" i="4"/>
  <c r="AH64" i="4"/>
  <c r="AG64" i="4"/>
  <c r="AF64" i="4"/>
  <c r="AE64" i="4"/>
  <c r="AD64" i="4"/>
  <c r="AH55" i="4"/>
  <c r="AG55" i="4"/>
  <c r="AF55" i="4"/>
  <c r="AE55" i="4"/>
  <c r="AD55" i="4"/>
  <c r="AH46" i="4"/>
  <c r="AG46" i="4"/>
  <c r="AF46" i="4"/>
  <c r="AE46" i="4"/>
  <c r="AD46" i="4"/>
  <c r="AH30" i="4"/>
  <c r="AG30" i="4"/>
  <c r="AF30" i="4"/>
  <c r="AE30" i="4"/>
  <c r="AD30" i="4"/>
  <c r="AH21" i="4"/>
  <c r="AG21" i="4"/>
  <c r="AF21" i="4"/>
  <c r="AE21" i="4"/>
  <c r="AD21" i="4"/>
  <c r="AH12" i="4"/>
  <c r="AG12" i="4"/>
  <c r="AF12" i="4"/>
  <c r="AE12" i="4"/>
  <c r="AD12" i="4"/>
  <c r="DS21" i="9"/>
  <c r="DS23" i="9"/>
  <c r="DQ21" i="9"/>
  <c r="DT21" i="9" s="1"/>
  <c r="DT17" i="9"/>
  <c r="DT15" i="9"/>
  <c r="DT13" i="9"/>
  <c r="DT11" i="9"/>
  <c r="DT9" i="9"/>
  <c r="DT8" i="9"/>
  <c r="I658" i="11"/>
  <c r="O658" i="11" s="1"/>
  <c r="H658" i="11"/>
  <c r="N658" i="11" s="1"/>
  <c r="Q623" i="11"/>
  <c r="Q728" i="11" s="1"/>
  <c r="P623" i="11"/>
  <c r="P728" i="11" s="1"/>
  <c r="Q720" i="11"/>
  <c r="P720" i="11"/>
  <c r="M709" i="11"/>
  <c r="K503" i="11"/>
  <c r="K720" i="11" s="1"/>
  <c r="J503" i="11"/>
  <c r="N503" i="11" s="1"/>
  <c r="N720" i="11" s="1"/>
  <c r="K718" i="11"/>
  <c r="J718" i="11"/>
  <c r="I379" i="11"/>
  <c r="H379" i="11"/>
  <c r="G623" i="11"/>
  <c r="G728" i="11" s="1"/>
  <c r="F623" i="11"/>
  <c r="F728" i="11" s="1"/>
  <c r="G503" i="11"/>
  <c r="G720" i="11" s="1"/>
  <c r="F503" i="11"/>
  <c r="F720" i="11" s="1"/>
  <c r="O83" i="6"/>
  <c r="O76" i="6"/>
  <c r="O69" i="6"/>
  <c r="O62" i="6"/>
  <c r="O34" i="6"/>
  <c r="O25" i="6"/>
  <c r="O20" i="6"/>
  <c r="O12" i="6"/>
  <c r="O5" i="6"/>
  <c r="O53" i="6" s="1"/>
  <c r="M83" i="6"/>
  <c r="M76" i="6"/>
  <c r="M69" i="6"/>
  <c r="M62" i="6"/>
  <c r="M34" i="6"/>
  <c r="M82" i="6" s="1"/>
  <c r="M25" i="6"/>
  <c r="M20" i="6"/>
  <c r="M12" i="6"/>
  <c r="M61" i="6" s="1"/>
  <c r="M5" i="6"/>
  <c r="F89" i="6"/>
  <c r="F47" i="6"/>
  <c r="F42" i="6"/>
  <c r="D89" i="6"/>
  <c r="D47" i="6"/>
  <c r="D42" i="6"/>
  <c r="B45" i="8"/>
  <c r="F45" i="8" s="1"/>
  <c r="I58" i="1"/>
  <c r="L7" i="1" s="1"/>
  <c r="I57" i="1"/>
  <c r="D57" i="1"/>
  <c r="B57" i="1"/>
  <c r="Q44" i="8"/>
  <c r="D56" i="10"/>
  <c r="F56" i="10" s="1"/>
  <c r="H56" i="10" s="1"/>
  <c r="D21" i="10"/>
  <c r="O730" i="11"/>
  <c r="N730" i="11"/>
  <c r="M730" i="11"/>
  <c r="L730" i="11"/>
  <c r="J730" i="11"/>
  <c r="I730" i="11"/>
  <c r="H730" i="11"/>
  <c r="M729" i="11"/>
  <c r="L729" i="11"/>
  <c r="M727" i="11"/>
  <c r="L727" i="11"/>
  <c r="M726" i="11"/>
  <c r="L726" i="11"/>
  <c r="M725" i="11"/>
  <c r="L725" i="11"/>
  <c r="M723" i="11"/>
  <c r="L723" i="11"/>
  <c r="I723" i="11"/>
  <c r="H723" i="11"/>
  <c r="M722" i="11"/>
  <c r="L722" i="11"/>
  <c r="M721" i="11"/>
  <c r="L721" i="11"/>
  <c r="M720" i="11"/>
  <c r="L720" i="11"/>
  <c r="M719" i="11"/>
  <c r="L719" i="11"/>
  <c r="M718" i="11"/>
  <c r="L718" i="11"/>
  <c r="M717" i="11"/>
  <c r="L717" i="11"/>
  <c r="I717" i="11"/>
  <c r="H717" i="11"/>
  <c r="L716" i="11"/>
  <c r="M715" i="11"/>
  <c r="L715" i="11"/>
  <c r="M714" i="11"/>
  <c r="L714" i="11"/>
  <c r="M710" i="11"/>
  <c r="L710" i="11"/>
  <c r="M708" i="11"/>
  <c r="L708" i="11"/>
  <c r="M707" i="11"/>
  <c r="L707" i="11"/>
  <c r="K707" i="11"/>
  <c r="J707" i="11"/>
  <c r="M706" i="11"/>
  <c r="L706" i="11"/>
  <c r="Q658" i="11"/>
  <c r="P658" i="11"/>
  <c r="D92" i="10" s="1"/>
  <c r="F92" i="10" s="1"/>
  <c r="H92" i="10" s="1"/>
  <c r="Q647" i="11"/>
  <c r="P647" i="11"/>
  <c r="F647" i="11"/>
  <c r="H727" i="11"/>
  <c r="I726" i="11"/>
  <c r="H726" i="11"/>
  <c r="K725" i="11"/>
  <c r="J725" i="11"/>
  <c r="I725" i="11"/>
  <c r="H725" i="11"/>
  <c r="G725" i="11"/>
  <c r="F725" i="11"/>
  <c r="Q543" i="11"/>
  <c r="Q723" i="11" s="1"/>
  <c r="P543" i="11"/>
  <c r="P723" i="11" s="1"/>
  <c r="Q538" i="11"/>
  <c r="Q722" i="11" s="1"/>
  <c r="P538" i="11"/>
  <c r="P722" i="11" s="1"/>
  <c r="I720" i="11"/>
  <c r="Q718" i="11"/>
  <c r="P718" i="11"/>
  <c r="K717" i="11"/>
  <c r="N465" i="11"/>
  <c r="N717" i="11" s="1"/>
  <c r="G717" i="11"/>
  <c r="F717" i="11"/>
  <c r="D89" i="10"/>
  <c r="F89" i="10" s="1"/>
  <c r="H89" i="10" s="1"/>
  <c r="I716" i="11"/>
  <c r="L713" i="11"/>
  <c r="Q365" i="11"/>
  <c r="P365" i="11"/>
  <c r="D87" i="10" s="1"/>
  <c r="F87" i="10" s="1"/>
  <c r="H87" i="10" s="1"/>
  <c r="I337" i="11"/>
  <c r="I710" i="11" s="1"/>
  <c r="H337" i="11"/>
  <c r="H710" i="11" s="1"/>
  <c r="H708" i="11"/>
  <c r="O707" i="11"/>
  <c r="F707" i="11"/>
  <c r="Q706" i="11"/>
  <c r="P706" i="11"/>
  <c r="P731" i="11" s="1"/>
  <c r="G199" i="11"/>
  <c r="F199" i="11"/>
  <c r="D19" i="10" s="1"/>
  <c r="D86" i="10"/>
  <c r="F58" i="1"/>
  <c r="Q43" i="8"/>
  <c r="Q42" i="8"/>
  <c r="M31" i="8"/>
  <c r="M30" i="8"/>
  <c r="K31" i="8"/>
  <c r="K30" i="8"/>
  <c r="J31" i="8"/>
  <c r="J30" i="8"/>
  <c r="E89" i="6"/>
  <c r="G89" i="6"/>
  <c r="B89" i="6"/>
  <c r="F56" i="1"/>
  <c r="I56" i="1"/>
  <c r="B54" i="1"/>
  <c r="D54" i="1"/>
  <c r="D53" i="1"/>
  <c r="D52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G15" i="1"/>
  <c r="G14" i="1"/>
  <c r="G13" i="1"/>
  <c r="G12" i="1"/>
  <c r="G11" i="1"/>
  <c r="G10" i="1"/>
  <c r="G9" i="1"/>
  <c r="G8" i="1"/>
  <c r="G7" i="1"/>
  <c r="I55" i="1"/>
  <c r="I54" i="1"/>
  <c r="N20" i="6"/>
  <c r="P20" i="6"/>
  <c r="P68" i="6" s="1"/>
  <c r="K69" i="6"/>
  <c r="K62" i="6"/>
  <c r="K54" i="6"/>
  <c r="K20" i="6"/>
  <c r="K12" i="6"/>
  <c r="K5" i="6"/>
  <c r="Q41" i="8"/>
  <c r="Q40" i="8"/>
  <c r="I53" i="1"/>
  <c r="B53" i="1"/>
  <c r="AC64" i="4"/>
  <c r="AC55" i="4"/>
  <c r="AC46" i="4"/>
  <c r="AC30" i="4"/>
  <c r="AC21" i="4"/>
  <c r="AC12" i="4"/>
  <c r="Q39" i="8"/>
  <c r="AB64" i="4"/>
  <c r="AB55" i="4"/>
  <c r="AB46" i="4"/>
  <c r="AB30" i="4"/>
  <c r="AB21" i="4"/>
  <c r="AB12" i="4"/>
  <c r="I52" i="1"/>
  <c r="F52" i="1"/>
  <c r="L52" i="1" s="1"/>
  <c r="B52" i="1"/>
  <c r="AA12" i="4"/>
  <c r="AA21" i="4"/>
  <c r="AA30" i="4"/>
  <c r="AA64" i="4"/>
  <c r="AA55" i="4"/>
  <c r="AA46" i="4"/>
  <c r="Q38" i="8"/>
  <c r="I50" i="1"/>
  <c r="F50" i="1"/>
  <c r="D51" i="1"/>
  <c r="B51" i="1"/>
  <c r="F51" i="1"/>
  <c r="I51" i="1"/>
  <c r="N62" i="6"/>
  <c r="P62" i="6"/>
  <c r="Q62" i="6"/>
  <c r="N12" i="6"/>
  <c r="P12" i="6"/>
  <c r="P61" i="6" s="1"/>
  <c r="Q12" i="6"/>
  <c r="N5" i="6"/>
  <c r="N53" i="6" s="1"/>
  <c r="P5" i="6"/>
  <c r="Q5" i="6"/>
  <c r="Q53" i="6" s="1"/>
  <c r="K76" i="6"/>
  <c r="N76" i="6"/>
  <c r="P76" i="6"/>
  <c r="Q76" i="6"/>
  <c r="K25" i="6"/>
  <c r="K75" i="6" s="1"/>
  <c r="N25" i="6"/>
  <c r="N75" i="6" s="1"/>
  <c r="P25" i="6"/>
  <c r="Q25" i="6"/>
  <c r="Q75" i="6" s="1"/>
  <c r="Q37" i="8"/>
  <c r="K34" i="6"/>
  <c r="K82" i="6" s="1"/>
  <c r="N34" i="6"/>
  <c r="N82" i="6" s="1"/>
  <c r="P34" i="6"/>
  <c r="P82" i="6" s="1"/>
  <c r="Q34" i="6"/>
  <c r="Q82" i="6" s="1"/>
  <c r="D50" i="1"/>
  <c r="K50" i="1" s="1"/>
  <c r="B50" i="1"/>
  <c r="Z64" i="4"/>
  <c r="Z55" i="4"/>
  <c r="Z46" i="4"/>
  <c r="Z30" i="4"/>
  <c r="Z21" i="4"/>
  <c r="Z12" i="4"/>
  <c r="A52" i="10"/>
  <c r="A37" i="10"/>
  <c r="B49" i="1"/>
  <c r="I49" i="1"/>
  <c r="B48" i="1"/>
  <c r="I48" i="1"/>
  <c r="B47" i="1"/>
  <c r="I47" i="1"/>
  <c r="L47" i="1" s="1"/>
  <c r="B46" i="1"/>
  <c r="I46" i="1"/>
  <c r="B45" i="1"/>
  <c r="I45" i="1"/>
  <c r="B44" i="1"/>
  <c r="I44" i="1"/>
  <c r="B43" i="1"/>
  <c r="I43" i="1"/>
  <c r="B42" i="1"/>
  <c r="I42" i="1"/>
  <c r="B41" i="1"/>
  <c r="I41" i="1"/>
  <c r="B40" i="1"/>
  <c r="I40" i="1"/>
  <c r="B39" i="1"/>
  <c r="I39" i="1"/>
  <c r="B38" i="1"/>
  <c r="I38" i="1"/>
  <c r="B37" i="1"/>
  <c r="I37" i="1"/>
  <c r="B36" i="1"/>
  <c r="I36" i="1"/>
  <c r="B35" i="1"/>
  <c r="I35" i="1"/>
  <c r="B34" i="1"/>
  <c r="G34" i="1" s="1"/>
  <c r="I34" i="1"/>
  <c r="B33" i="1"/>
  <c r="I33" i="1"/>
  <c r="B32" i="1"/>
  <c r="G32" i="1" s="1"/>
  <c r="I32" i="1"/>
  <c r="B31" i="1"/>
  <c r="G31" i="1" s="1"/>
  <c r="I31" i="1"/>
  <c r="B30" i="1"/>
  <c r="G30" i="1" s="1"/>
  <c r="I30" i="1"/>
  <c r="B29" i="1"/>
  <c r="G29" i="1" s="1"/>
  <c r="I29" i="1"/>
  <c r="B28" i="1"/>
  <c r="G28" i="1" s="1"/>
  <c r="I28" i="1"/>
  <c r="B27" i="1"/>
  <c r="G27" i="1" s="1"/>
  <c r="I27" i="1"/>
  <c r="B26" i="1"/>
  <c r="G26" i="1" s="1"/>
  <c r="I26" i="1"/>
  <c r="B25" i="1"/>
  <c r="G25" i="1" s="1"/>
  <c r="I25" i="1"/>
  <c r="B24" i="1"/>
  <c r="G24" i="1" s="1"/>
  <c r="I24" i="1"/>
  <c r="B23" i="1"/>
  <c r="I23" i="1"/>
  <c r="B22" i="1"/>
  <c r="G22" i="1" s="1"/>
  <c r="I22" i="1"/>
  <c r="B21" i="1"/>
  <c r="G21" i="1" s="1"/>
  <c r="I21" i="1"/>
  <c r="B20" i="1"/>
  <c r="G20" i="1" s="1"/>
  <c r="I20" i="1"/>
  <c r="B19" i="1"/>
  <c r="G19" i="1" s="1"/>
  <c r="I19" i="1"/>
  <c r="B18" i="1"/>
  <c r="G18" i="1" s="1"/>
  <c r="I18" i="1"/>
  <c r="B17" i="1"/>
  <c r="G17" i="1" s="1"/>
  <c r="I17" i="1"/>
  <c r="B16" i="1"/>
  <c r="G16" i="1" s="1"/>
  <c r="I16" i="1"/>
  <c r="I15" i="1"/>
  <c r="I14" i="1"/>
  <c r="I13" i="1"/>
  <c r="I12" i="1"/>
  <c r="I11" i="1"/>
  <c r="I10" i="1"/>
  <c r="J10" i="1" s="1"/>
  <c r="I9" i="1"/>
  <c r="I8" i="1"/>
  <c r="D49" i="1"/>
  <c r="D48" i="1"/>
  <c r="H48" i="1" s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D28" i="1"/>
  <c r="H28" i="1" s="1"/>
  <c r="D27" i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F49" i="1"/>
  <c r="F48" i="1"/>
  <c r="K83" i="6"/>
  <c r="N83" i="6"/>
  <c r="P83" i="6"/>
  <c r="Q83" i="6"/>
  <c r="X64" i="4"/>
  <c r="X55" i="4"/>
  <c r="X46" i="4"/>
  <c r="X30" i="4"/>
  <c r="X12" i="4"/>
  <c r="Y21" i="4"/>
  <c r="Y30" i="4"/>
  <c r="Y12" i="4"/>
  <c r="Y55" i="4"/>
  <c r="Y64" i="4"/>
  <c r="Y46" i="4"/>
  <c r="I46" i="6"/>
  <c r="I45" i="6"/>
  <c r="H47" i="6"/>
  <c r="G47" i="6"/>
  <c r="E47" i="6"/>
  <c r="S23" i="6"/>
  <c r="Q20" i="6"/>
  <c r="I12" i="6"/>
  <c r="I20" i="6"/>
  <c r="I25" i="6"/>
  <c r="I26" i="6"/>
  <c r="I27" i="6"/>
  <c r="I28" i="6"/>
  <c r="I29" i="6"/>
  <c r="I23" i="6"/>
  <c r="I24" i="6"/>
  <c r="I5" i="6"/>
  <c r="I6" i="6"/>
  <c r="I11" i="6"/>
  <c r="I13" i="6"/>
  <c r="I15" i="6"/>
  <c r="I16" i="6"/>
  <c r="I17" i="6"/>
  <c r="I30" i="6"/>
  <c r="I18" i="6"/>
  <c r="I19" i="6"/>
  <c r="I21" i="6"/>
  <c r="I7" i="6"/>
  <c r="I8" i="6"/>
  <c r="I9" i="6"/>
  <c r="I10" i="6"/>
  <c r="I22" i="6"/>
  <c r="I4" i="6"/>
  <c r="B42" i="6"/>
  <c r="E42" i="6"/>
  <c r="G42" i="6"/>
  <c r="H42" i="6"/>
  <c r="I31" i="6"/>
  <c r="I32" i="6"/>
  <c r="I33" i="6"/>
  <c r="I34" i="6"/>
  <c r="I35" i="6"/>
  <c r="I36" i="6"/>
  <c r="I37" i="6"/>
  <c r="I38" i="6"/>
  <c r="I39" i="6"/>
  <c r="I40" i="6"/>
  <c r="I88" i="6"/>
  <c r="I87" i="6"/>
  <c r="I86" i="6"/>
  <c r="I85" i="6"/>
  <c r="I84" i="6"/>
  <c r="I83" i="6"/>
  <c r="I82" i="6"/>
  <c r="I81" i="6"/>
  <c r="I80" i="6"/>
  <c r="I79" i="6"/>
  <c r="N69" i="6"/>
  <c r="P69" i="6"/>
  <c r="Q69" i="6"/>
  <c r="I53" i="6"/>
  <c r="I54" i="6"/>
  <c r="I56" i="6"/>
  <c r="I60" i="6"/>
  <c r="I68" i="6"/>
  <c r="I52" i="6"/>
  <c r="I55" i="6"/>
  <c r="I57" i="6"/>
  <c r="I58" i="6"/>
  <c r="I59" i="6"/>
  <c r="I61" i="6"/>
  <c r="I63" i="6"/>
  <c r="I64" i="6"/>
  <c r="I65" i="6"/>
  <c r="I66" i="6"/>
  <c r="I67" i="6"/>
  <c r="I69" i="6"/>
  <c r="I70" i="6"/>
  <c r="I71" i="6"/>
  <c r="I72" i="6"/>
  <c r="I73" i="6"/>
  <c r="I74" i="6"/>
  <c r="I75" i="6"/>
  <c r="I76" i="6"/>
  <c r="I77" i="6"/>
  <c r="I78" i="6"/>
  <c r="M13" i="8"/>
  <c r="M14" i="8"/>
  <c r="M16" i="8"/>
  <c r="M17" i="8"/>
  <c r="M18" i="8"/>
  <c r="M19" i="8"/>
  <c r="M20" i="8"/>
  <c r="M29" i="8"/>
  <c r="M28" i="8"/>
  <c r="M27" i="8"/>
  <c r="M26" i="8"/>
  <c r="M25" i="8"/>
  <c r="M24" i="8"/>
  <c r="M23" i="8"/>
  <c r="M22" i="8"/>
  <c r="M21" i="8"/>
  <c r="K25" i="8"/>
  <c r="K28" i="8"/>
  <c r="K29" i="8"/>
  <c r="K27" i="8"/>
  <c r="K26" i="8"/>
  <c r="K24" i="8"/>
  <c r="K23" i="8"/>
  <c r="K22" i="8"/>
  <c r="K21" i="8"/>
  <c r="J29" i="8"/>
  <c r="J28" i="8"/>
  <c r="J27" i="8"/>
  <c r="J26" i="8"/>
  <c r="J25" i="8"/>
  <c r="J24" i="8"/>
  <c r="J23" i="8"/>
  <c r="J22" i="8"/>
  <c r="J21" i="8"/>
  <c r="Q36" i="8"/>
  <c r="Q35" i="8"/>
  <c r="Q34" i="8"/>
  <c r="N32" i="8"/>
  <c r="N33" i="8"/>
  <c r="H30" i="8"/>
  <c r="G30" i="8"/>
  <c r="F30" i="8"/>
  <c r="E30" i="8"/>
  <c r="D30" i="8"/>
  <c r="C30" i="8"/>
  <c r="A42" i="10"/>
  <c r="A41" i="10"/>
  <c r="A40" i="10"/>
  <c r="A39" i="10"/>
  <c r="A38" i="10"/>
  <c r="A36" i="10"/>
  <c r="A35" i="10"/>
  <c r="A34" i="10"/>
  <c r="A33" i="10"/>
  <c r="A32" i="10"/>
  <c r="A47" i="10"/>
  <c r="A48" i="10"/>
  <c r="A49" i="10"/>
  <c r="A50" i="10"/>
  <c r="A51" i="10"/>
  <c r="A54" i="10"/>
  <c r="A55" i="10"/>
  <c r="A56" i="10"/>
  <c r="A83" i="10"/>
  <c r="A84" i="10"/>
  <c r="A85" i="10"/>
  <c r="A86" i="10"/>
  <c r="A87" i="10"/>
  <c r="A88" i="10"/>
  <c r="A89" i="10"/>
  <c r="A90" i="10"/>
  <c r="A91" i="10"/>
  <c r="A92" i="10"/>
  <c r="A93" i="10"/>
  <c r="A57" i="10"/>
  <c r="D55" i="1"/>
  <c r="B55" i="1"/>
  <c r="J55" i="1" s="1"/>
  <c r="D56" i="1"/>
  <c r="B56" i="1"/>
  <c r="H720" i="11"/>
  <c r="M68" i="6"/>
  <c r="D58" i="1"/>
  <c r="B58" i="1"/>
  <c r="I707" i="11"/>
  <c r="O578" i="11"/>
  <c r="O725" i="11" s="1"/>
  <c r="G730" i="11"/>
  <c r="BF30" i="9"/>
  <c r="BF32" i="9" s="1"/>
  <c r="B36" i="8" s="1"/>
  <c r="G36" i="8" s="1"/>
  <c r="CB23" i="9"/>
  <c r="CB34" i="9" s="1"/>
  <c r="M23" i="9"/>
  <c r="BX23" i="9"/>
  <c r="K26" i="9"/>
  <c r="N578" i="11"/>
  <c r="N725" i="11" s="1"/>
  <c r="Y23" i="9"/>
  <c r="AP21" i="9"/>
  <c r="H707" i="11"/>
  <c r="I708" i="11"/>
  <c r="J723" i="11"/>
  <c r="O465" i="11"/>
  <c r="O717" i="11" s="1"/>
  <c r="J717" i="11"/>
  <c r="EH23" i="9"/>
  <c r="EM25" i="9" s="1"/>
  <c r="O543" i="11"/>
  <c r="O723" i="11" s="1"/>
  <c r="DN33" i="9"/>
  <c r="B46" i="8" s="1"/>
  <c r="M46" i="8" s="1"/>
  <c r="T25" i="9"/>
  <c r="B94" i="10"/>
  <c r="C94" i="10"/>
  <c r="DX23" i="9"/>
  <c r="I38" i="8"/>
  <c r="I41" i="8"/>
  <c r="CP23" i="9"/>
  <c r="CP25" i="9" s="1"/>
  <c r="D71" i="10"/>
  <c r="F71" i="10" s="1"/>
  <c r="H71" i="10" s="1"/>
  <c r="Q68" i="6"/>
  <c r="BB21" i="9"/>
  <c r="BF23" i="9"/>
  <c r="BF25" i="9"/>
  <c r="BR23" i="9"/>
  <c r="DO21" i="9"/>
  <c r="AL23" i="9"/>
  <c r="AX23" i="9"/>
  <c r="CN23" i="9"/>
  <c r="CR23" i="9" s="1"/>
  <c r="DH32" i="9"/>
  <c r="CL23" i="9"/>
  <c r="I32" i="8"/>
  <c r="CR21" i="9"/>
  <c r="AH32" i="9"/>
  <c r="BJ23" i="9"/>
  <c r="CL21" i="9"/>
  <c r="CP32" i="9"/>
  <c r="B42" i="8" s="1"/>
  <c r="J42" i="8" s="1"/>
  <c r="I36" i="8"/>
  <c r="CX21" i="9"/>
  <c r="CJ30" i="9"/>
  <c r="CJ32" i="9" s="1"/>
  <c r="B41" i="8" s="1"/>
  <c r="I33" i="8"/>
  <c r="AN23" i="9"/>
  <c r="DS30" i="9"/>
  <c r="DS32" i="9" s="1"/>
  <c r="DF27" i="9"/>
  <c r="BV23" i="9"/>
  <c r="BZ23" i="9" s="1"/>
  <c r="CH34" i="9"/>
  <c r="DH23" i="9"/>
  <c r="EC30" i="9"/>
  <c r="EC32" i="9" s="1"/>
  <c r="DX25" i="9"/>
  <c r="AT23" i="9"/>
  <c r="O23" i="9"/>
  <c r="M25" i="9"/>
  <c r="F26" i="9"/>
  <c r="CT34" i="9"/>
  <c r="AJ21" i="9"/>
  <c r="AH23" i="9"/>
  <c r="DB30" i="9"/>
  <c r="DB32" i="9" s="1"/>
  <c r="B44" i="8" s="1"/>
  <c r="DD21" i="9"/>
  <c r="DB23" i="9"/>
  <c r="I34" i="8"/>
  <c r="BJ34" i="9"/>
  <c r="BR30" i="9"/>
  <c r="BR32" i="9"/>
  <c r="B38" i="8" s="1"/>
  <c r="BT21" i="9"/>
  <c r="AL34" i="9"/>
  <c r="AP23" i="9"/>
  <c r="AT25" i="9"/>
  <c r="EK23" i="9"/>
  <c r="EM32" i="9" s="1"/>
  <c r="EN23" i="9"/>
  <c r="EN21" i="9"/>
  <c r="C58" i="10"/>
  <c r="G46" i="8"/>
  <c r="D46" i="8"/>
  <c r="F46" i="8"/>
  <c r="J691" i="11" l="1"/>
  <c r="H691" i="11"/>
  <c r="F691" i="11"/>
  <c r="BH23" i="9"/>
  <c r="BD34" i="9"/>
  <c r="EC25" i="9"/>
  <c r="EH25" i="9"/>
  <c r="DF34" i="9"/>
  <c r="DJ23" i="9"/>
  <c r="H39" i="8"/>
  <c r="M39" i="8"/>
  <c r="AF34" i="9"/>
  <c r="AJ23" i="9"/>
  <c r="DV23" i="9"/>
  <c r="DY23" i="9" s="1"/>
  <c r="DX33" i="9"/>
  <c r="B48" i="8" s="1"/>
  <c r="C48" i="8" s="1"/>
  <c r="I39" i="8"/>
  <c r="DS33" i="9"/>
  <c r="B47" i="8" s="1"/>
  <c r="H21" i="9"/>
  <c r="M26" i="9"/>
  <c r="O26" i="9" s="1"/>
  <c r="EA21" i="9"/>
  <c r="AC21" i="9"/>
  <c r="AN25" i="9"/>
  <c r="BN21" i="9"/>
  <c r="DJ21" i="9"/>
  <c r="H18" i="9"/>
  <c r="Y34" i="9"/>
  <c r="Q731" i="11"/>
  <c r="V21" i="9"/>
  <c r="AT32" i="9"/>
  <c r="B34" i="8" s="1"/>
  <c r="BH21" i="9"/>
  <c r="BP23" i="9"/>
  <c r="BP34" i="9" s="1"/>
  <c r="G731" i="11"/>
  <c r="CN34" i="9"/>
  <c r="DQ23" i="9"/>
  <c r="DT23" i="9" s="1"/>
  <c r="BV34" i="9"/>
  <c r="CV23" i="9"/>
  <c r="BL23" i="9"/>
  <c r="BN23" i="9" s="1"/>
  <c r="CF21" i="9"/>
  <c r="BZ21" i="9"/>
  <c r="AR23" i="9"/>
  <c r="M731" i="11"/>
  <c r="EK33" i="9"/>
  <c r="G51" i="8"/>
  <c r="DD23" i="9"/>
  <c r="AH25" i="9"/>
  <c r="AZ25" i="9"/>
  <c r="BT23" i="9"/>
  <c r="F731" i="11"/>
  <c r="D25" i="10" s="1"/>
  <c r="F25" i="10" s="1"/>
  <c r="H25" i="10" s="1"/>
  <c r="K33" i="8"/>
  <c r="M33" i="8"/>
  <c r="E32" i="8"/>
  <c r="J32" i="8"/>
  <c r="E48" i="8"/>
  <c r="G48" i="8"/>
  <c r="J52" i="1"/>
  <c r="K57" i="1"/>
  <c r="L55" i="1"/>
  <c r="L62" i="1"/>
  <c r="L10" i="1"/>
  <c r="L48" i="1"/>
  <c r="L63" i="1"/>
  <c r="G62" i="1"/>
  <c r="J64" i="1"/>
  <c r="P691" i="11"/>
  <c r="D34" i="10"/>
  <c r="F34" i="10" s="1"/>
  <c r="H34" i="10" s="1"/>
  <c r="Q691" i="11"/>
  <c r="M691" i="11"/>
  <c r="J727" i="11"/>
  <c r="I691" i="11"/>
  <c r="G691" i="11"/>
  <c r="K727" i="11"/>
  <c r="K691" i="11"/>
  <c r="E19" i="10"/>
  <c r="G19" i="10" s="1"/>
  <c r="I19" i="10" s="1"/>
  <c r="E49" i="10"/>
  <c r="G49" i="10" s="1"/>
  <c r="I49" i="10" s="1"/>
  <c r="Q84" i="6"/>
  <c r="Q77" i="6"/>
  <c r="O68" i="6"/>
  <c r="L53" i="6"/>
  <c r="L55" i="6" s="1"/>
  <c r="K43" i="1"/>
  <c r="F34" i="8"/>
  <c r="H32" i="8"/>
  <c r="M32" i="8"/>
  <c r="C32" i="8"/>
  <c r="G32" i="8"/>
  <c r="J42" i="1"/>
  <c r="J48" i="1"/>
  <c r="L56" i="1"/>
  <c r="K48" i="1"/>
  <c r="J60" i="1"/>
  <c r="L60" i="1"/>
  <c r="H64" i="1"/>
  <c r="K51" i="1"/>
  <c r="K60" i="1"/>
  <c r="J708" i="11"/>
  <c r="J731" i="11" s="1"/>
  <c r="N68" i="6"/>
  <c r="K84" i="6"/>
  <c r="E33" i="8"/>
  <c r="H33" i="8"/>
  <c r="J33" i="8"/>
  <c r="F33" i="8"/>
  <c r="D33" i="8"/>
  <c r="J36" i="8"/>
  <c r="G33" i="8"/>
  <c r="F20" i="5"/>
  <c r="D12" i="10" s="1"/>
  <c r="F12" i="10" s="1"/>
  <c r="H12" i="10" s="1"/>
  <c r="H46" i="8"/>
  <c r="C46" i="8"/>
  <c r="E46" i="8"/>
  <c r="J46" i="8"/>
  <c r="K46" i="8"/>
  <c r="L46" i="8" s="1"/>
  <c r="G42" i="1"/>
  <c r="H44" i="1"/>
  <c r="K44" i="1"/>
  <c r="J7" i="1"/>
  <c r="H45" i="1"/>
  <c r="K45" i="1"/>
  <c r="L11" i="1"/>
  <c r="G41" i="1"/>
  <c r="J41" i="1"/>
  <c r="J45" i="1"/>
  <c r="J49" i="1"/>
  <c r="L44" i="1"/>
  <c r="G59" i="1"/>
  <c r="J59" i="1"/>
  <c r="H46" i="1"/>
  <c r="K46" i="1"/>
  <c r="J12" i="1"/>
  <c r="G50" i="1"/>
  <c r="J50" i="1"/>
  <c r="L43" i="1"/>
  <c r="H59" i="1"/>
  <c r="K59" i="1"/>
  <c r="L57" i="1"/>
  <c r="G63" i="1"/>
  <c r="J63" i="1"/>
  <c r="L49" i="1"/>
  <c r="H47" i="1"/>
  <c r="K47" i="1"/>
  <c r="L13" i="1"/>
  <c r="G46" i="1"/>
  <c r="J46" i="1"/>
  <c r="L51" i="1"/>
  <c r="L42" i="1"/>
  <c r="K52" i="1"/>
  <c r="J62" i="1"/>
  <c r="H63" i="1"/>
  <c r="K63" i="1"/>
  <c r="H58" i="1"/>
  <c r="K58" i="1"/>
  <c r="G60" i="1"/>
  <c r="G56" i="1"/>
  <c r="J56" i="1"/>
  <c r="J14" i="1"/>
  <c r="G51" i="1"/>
  <c r="J51" i="1"/>
  <c r="L41" i="1"/>
  <c r="K53" i="1"/>
  <c r="L58" i="1"/>
  <c r="K62" i="1"/>
  <c r="L45" i="1"/>
  <c r="H56" i="1"/>
  <c r="K56" i="1"/>
  <c r="H41" i="1"/>
  <c r="K41" i="1"/>
  <c r="K49" i="1"/>
  <c r="L15" i="1"/>
  <c r="J43" i="1"/>
  <c r="J47" i="1"/>
  <c r="K54" i="1"/>
  <c r="G57" i="1"/>
  <c r="J57" i="1"/>
  <c r="G61" i="1"/>
  <c r="J61" i="1"/>
  <c r="J11" i="1"/>
  <c r="H42" i="1"/>
  <c r="K42" i="1"/>
  <c r="L8" i="1"/>
  <c r="L50" i="1"/>
  <c r="J54" i="1"/>
  <c r="L53" i="1"/>
  <c r="H61" i="1"/>
  <c r="K61" i="1"/>
  <c r="J15" i="1"/>
  <c r="G58" i="1"/>
  <c r="J58" i="1"/>
  <c r="H55" i="1"/>
  <c r="K55" i="1"/>
  <c r="J9" i="1"/>
  <c r="G44" i="1"/>
  <c r="J44" i="1"/>
  <c r="G53" i="1"/>
  <c r="J53" i="1"/>
  <c r="L46" i="1"/>
  <c r="L54" i="1"/>
  <c r="L59" i="1"/>
  <c r="H39" i="1"/>
  <c r="H38" i="1"/>
  <c r="J39" i="1"/>
  <c r="K39" i="1"/>
  <c r="K40" i="1"/>
  <c r="J40" i="1"/>
  <c r="L40" i="1"/>
  <c r="L39" i="1"/>
  <c r="H37" i="1"/>
  <c r="G37" i="1"/>
  <c r="J38" i="1"/>
  <c r="K38" i="1"/>
  <c r="L38" i="1"/>
  <c r="J8" i="1"/>
  <c r="J25" i="1"/>
  <c r="L25" i="1"/>
  <c r="K25" i="1"/>
  <c r="L26" i="1"/>
  <c r="K26" i="1"/>
  <c r="J19" i="1"/>
  <c r="K19" i="1"/>
  <c r="L19" i="1"/>
  <c r="L23" i="1"/>
  <c r="K23" i="1"/>
  <c r="J17" i="1"/>
  <c r="L17" i="1"/>
  <c r="K17" i="1"/>
  <c r="L18" i="1"/>
  <c r="K18" i="1"/>
  <c r="J21" i="1"/>
  <c r="L21" i="1"/>
  <c r="K21" i="1"/>
  <c r="J16" i="1"/>
  <c r="L16" i="1"/>
  <c r="K16" i="1"/>
  <c r="K20" i="1"/>
  <c r="L20" i="1"/>
  <c r="J24" i="1"/>
  <c r="L24" i="1"/>
  <c r="K24" i="1"/>
  <c r="K22" i="1"/>
  <c r="L22" i="1"/>
  <c r="H36" i="1"/>
  <c r="G36" i="1"/>
  <c r="K37" i="1"/>
  <c r="L37" i="1"/>
  <c r="J37" i="1"/>
  <c r="K29" i="1"/>
  <c r="L29" i="1"/>
  <c r="J29" i="1"/>
  <c r="L30" i="1"/>
  <c r="K30" i="1"/>
  <c r="J30" i="1"/>
  <c r="L34" i="1"/>
  <c r="K34" i="1"/>
  <c r="J34" i="1"/>
  <c r="L35" i="1"/>
  <c r="J27" i="1"/>
  <c r="L27" i="1"/>
  <c r="K27" i="1"/>
  <c r="J31" i="1"/>
  <c r="L31" i="1"/>
  <c r="K31" i="1"/>
  <c r="J35" i="1"/>
  <c r="K35" i="1"/>
  <c r="G35" i="1"/>
  <c r="J28" i="1"/>
  <c r="L28" i="1"/>
  <c r="K28" i="1"/>
  <c r="K32" i="1"/>
  <c r="L32" i="1"/>
  <c r="J32" i="1"/>
  <c r="L36" i="1"/>
  <c r="J36" i="1"/>
  <c r="K36" i="1"/>
  <c r="K33" i="1"/>
  <c r="L33" i="1"/>
  <c r="J33" i="1"/>
  <c r="E86" i="10"/>
  <c r="D91" i="10"/>
  <c r="F91" i="10" s="1"/>
  <c r="H91" i="10" s="1"/>
  <c r="D17" i="10"/>
  <c r="E17" i="10" s="1"/>
  <c r="D47" i="10"/>
  <c r="E47" i="10" s="1"/>
  <c r="D83" i="10"/>
  <c r="E83" i="10" s="1"/>
  <c r="D32" i="10"/>
  <c r="F32" i="10" s="1"/>
  <c r="H32" i="10" s="1"/>
  <c r="O61" i="6"/>
  <c r="O63" i="6" s="1"/>
  <c r="K53" i="6"/>
  <c r="K55" i="6" s="1"/>
  <c r="F29" i="5"/>
  <c r="G29" i="5" s="1"/>
  <c r="E10" i="10" s="1"/>
  <c r="G10" i="10" s="1"/>
  <c r="I10" i="10" s="1"/>
  <c r="F6" i="5"/>
  <c r="B68" i="2" s="1"/>
  <c r="C55" i="8" s="1"/>
  <c r="E45" i="8"/>
  <c r="K42" i="8"/>
  <c r="L42" i="8" s="1"/>
  <c r="C36" i="8"/>
  <c r="M42" i="8"/>
  <c r="D45" i="8"/>
  <c r="M36" i="8"/>
  <c r="H45" i="8"/>
  <c r="E36" i="8"/>
  <c r="H36" i="8"/>
  <c r="K36" i="8"/>
  <c r="G45" i="8"/>
  <c r="K45" i="8"/>
  <c r="D42" i="8"/>
  <c r="J45" i="8"/>
  <c r="F36" i="8"/>
  <c r="M45" i="8"/>
  <c r="D36" i="8"/>
  <c r="C45" i="8"/>
  <c r="N440" i="11"/>
  <c r="N716" i="11" s="1"/>
  <c r="J18" i="1"/>
  <c r="J22" i="1"/>
  <c r="J26" i="1"/>
  <c r="L12" i="1"/>
  <c r="J23" i="1"/>
  <c r="J20" i="1"/>
  <c r="Q55" i="6"/>
  <c r="O75" i="6"/>
  <c r="O77" i="6" s="1"/>
  <c r="M75" i="6"/>
  <c r="M77" i="6" s="1"/>
  <c r="G31" i="5"/>
  <c r="F11" i="10"/>
  <c r="H11" i="10" s="1"/>
  <c r="L30" i="8"/>
  <c r="K39" i="8"/>
  <c r="G39" i="8"/>
  <c r="D39" i="8"/>
  <c r="F39" i="8"/>
  <c r="J39" i="8"/>
  <c r="H35" i="1"/>
  <c r="G33" i="1"/>
  <c r="H43" i="1"/>
  <c r="G54" i="1"/>
  <c r="H40" i="1"/>
  <c r="H54" i="1"/>
  <c r="G55" i="1"/>
  <c r="G49" i="1"/>
  <c r="L14" i="1"/>
  <c r="J13" i="1"/>
  <c r="G39" i="1"/>
  <c r="G47" i="1"/>
  <c r="G40" i="1"/>
  <c r="H52" i="1"/>
  <c r="H42" i="8"/>
  <c r="K51" i="8"/>
  <c r="L51" i="8" s="1"/>
  <c r="E51" i="8"/>
  <c r="M51" i="8"/>
  <c r="E50" i="8"/>
  <c r="H50" i="8"/>
  <c r="G42" i="8"/>
  <c r="M50" i="8"/>
  <c r="G50" i="8"/>
  <c r="C42" i="8"/>
  <c r="C51" i="8"/>
  <c r="K50" i="8"/>
  <c r="L50" i="8" s="1"/>
  <c r="D50" i="8"/>
  <c r="F50" i="8"/>
  <c r="D51" i="8"/>
  <c r="E42" i="8"/>
  <c r="C50" i="8"/>
  <c r="L31" i="8"/>
  <c r="F51" i="8"/>
  <c r="H60" i="1"/>
  <c r="G23" i="1"/>
  <c r="G64" i="1"/>
  <c r="H51" i="1"/>
  <c r="G43" i="1"/>
  <c r="H27" i="1"/>
  <c r="H49" i="1"/>
  <c r="G38" i="1"/>
  <c r="G48" i="1"/>
  <c r="H53" i="1"/>
  <c r="G45" i="1"/>
  <c r="G52" i="1"/>
  <c r="H57" i="1"/>
  <c r="Q70" i="6"/>
  <c r="O42" i="6"/>
  <c r="N77" i="6"/>
  <c r="L84" i="6"/>
  <c r="G20" i="5"/>
  <c r="E12" i="10" s="1"/>
  <c r="G12" i="10" s="1"/>
  <c r="I12" i="10" s="1"/>
  <c r="G32" i="5"/>
  <c r="F26" i="5"/>
  <c r="G26" i="5" s="1"/>
  <c r="E9" i="10" s="1"/>
  <c r="G9" i="10" s="1"/>
  <c r="I9" i="10" s="1"/>
  <c r="D51" i="5"/>
  <c r="D53" i="5" s="1"/>
  <c r="F30" i="5"/>
  <c r="L28" i="8"/>
  <c r="L21" i="8"/>
  <c r="L29" i="8"/>
  <c r="L23" i="8"/>
  <c r="O605" i="11"/>
  <c r="O727" i="11" s="1"/>
  <c r="N155" i="11"/>
  <c r="N426" i="11"/>
  <c r="N715" i="11" s="1"/>
  <c r="O647" i="11"/>
  <c r="N199" i="11"/>
  <c r="O177" i="11"/>
  <c r="E52" i="10"/>
  <c r="G52" i="10" s="1"/>
  <c r="I52" i="10" s="1"/>
  <c r="E90" i="10"/>
  <c r="G90" i="10" s="1"/>
  <c r="I90" i="10" s="1"/>
  <c r="F86" i="10"/>
  <c r="H86" i="10" s="1"/>
  <c r="N526" i="11"/>
  <c r="D33" i="10"/>
  <c r="F33" i="10" s="1"/>
  <c r="H33" i="10" s="1"/>
  <c r="N647" i="11"/>
  <c r="O298" i="11"/>
  <c r="N85" i="11"/>
  <c r="N192" i="11"/>
  <c r="O508" i="11"/>
  <c r="O721" i="11" s="1"/>
  <c r="O538" i="11"/>
  <c r="O722" i="11" s="1"/>
  <c r="K726" i="11"/>
  <c r="K731" i="11" s="1"/>
  <c r="N498" i="11"/>
  <c r="N719" i="11" s="1"/>
  <c r="O423" i="11"/>
  <c r="O714" i="11" s="1"/>
  <c r="E22" i="10"/>
  <c r="G22" i="10" s="1"/>
  <c r="I22" i="10" s="1"/>
  <c r="N268" i="11"/>
  <c r="N298" i="11"/>
  <c r="O199" i="11"/>
  <c r="N220" i="11"/>
  <c r="N706" i="11"/>
  <c r="E88" i="10"/>
  <c r="G88" i="10" s="1"/>
  <c r="I88" i="10" s="1"/>
  <c r="D84" i="10"/>
  <c r="F84" i="10" s="1"/>
  <c r="H84" i="10" s="1"/>
  <c r="O268" i="11"/>
  <c r="E87" i="10"/>
  <c r="G87" i="10" s="1"/>
  <c r="I87" i="10" s="1"/>
  <c r="E37" i="10"/>
  <c r="G37" i="10" s="1"/>
  <c r="I37" i="10" s="1"/>
  <c r="O220" i="11"/>
  <c r="N365" i="11"/>
  <c r="N318" i="11"/>
  <c r="N709" i="11" s="1"/>
  <c r="O271" i="11"/>
  <c r="O708" i="11" s="1"/>
  <c r="E54" i="10"/>
  <c r="G54" i="10" s="1"/>
  <c r="I54" i="10" s="1"/>
  <c r="E92" i="10"/>
  <c r="G92" i="10" s="1"/>
  <c r="I92" i="10" s="1"/>
  <c r="N177" i="11"/>
  <c r="H716" i="11"/>
  <c r="I727" i="11"/>
  <c r="I731" i="11" s="1"/>
  <c r="D35" i="10"/>
  <c r="E35" i="10" s="1"/>
  <c r="G35" i="10" s="1"/>
  <c r="I35" i="10" s="1"/>
  <c r="N672" i="11"/>
  <c r="N483" i="11"/>
  <c r="N718" i="11" s="1"/>
  <c r="O365" i="11"/>
  <c r="N337" i="11"/>
  <c r="N710" i="11" s="1"/>
  <c r="O426" i="11"/>
  <c r="O715" i="11" s="1"/>
  <c r="E51" i="10"/>
  <c r="G51" i="10" s="1"/>
  <c r="I51" i="10" s="1"/>
  <c r="O318" i="11"/>
  <c r="O709" i="11" s="1"/>
  <c r="O337" i="11"/>
  <c r="O710" i="11" s="1"/>
  <c r="N508" i="11"/>
  <c r="N721" i="11" s="1"/>
  <c r="D41" i="10"/>
  <c r="F41" i="10" s="1"/>
  <c r="H41" i="10" s="1"/>
  <c r="O155" i="11"/>
  <c r="N461" i="11"/>
  <c r="O706" i="11"/>
  <c r="N423" i="11"/>
  <c r="N714" i="11" s="1"/>
  <c r="O483" i="11"/>
  <c r="O718" i="11" s="1"/>
  <c r="N388" i="11"/>
  <c r="N712" i="11" s="1"/>
  <c r="O379" i="11"/>
  <c r="E53" i="10"/>
  <c r="G53" i="10" s="1"/>
  <c r="I53" i="10" s="1"/>
  <c r="F85" i="10"/>
  <c r="H85" i="10" s="1"/>
  <c r="O461" i="11"/>
  <c r="N407" i="11"/>
  <c r="N713" i="11" s="1"/>
  <c r="O685" i="11"/>
  <c r="O729" i="11" s="1"/>
  <c r="D50" i="10"/>
  <c r="E50" i="10" s="1"/>
  <c r="G50" i="10" s="1"/>
  <c r="I50" i="10" s="1"/>
  <c r="O440" i="11"/>
  <c r="O716" i="11" s="1"/>
  <c r="O407" i="11"/>
  <c r="O713" i="11" s="1"/>
  <c r="D20" i="10"/>
  <c r="E20" i="10" s="1"/>
  <c r="G20" i="10" s="1"/>
  <c r="I20" i="10" s="1"/>
  <c r="F22" i="10"/>
  <c r="H22" i="10" s="1"/>
  <c r="O388" i="11"/>
  <c r="O712" i="11" s="1"/>
  <c r="O498" i="11"/>
  <c r="O719" i="11" s="1"/>
  <c r="D18" i="10"/>
  <c r="F18" i="10" s="1"/>
  <c r="H18" i="10" s="1"/>
  <c r="N143" i="11"/>
  <c r="O623" i="11"/>
  <c r="O728" i="11" s="1"/>
  <c r="E39" i="10"/>
  <c r="G39" i="10" s="1"/>
  <c r="I39" i="10" s="1"/>
  <c r="E38" i="10"/>
  <c r="G38" i="10" s="1"/>
  <c r="I38" i="10" s="1"/>
  <c r="E27" i="10"/>
  <c r="G27" i="10" s="1"/>
  <c r="I27" i="10" s="1"/>
  <c r="O143" i="11"/>
  <c r="F19" i="10"/>
  <c r="H19" i="10" s="1"/>
  <c r="E24" i="10"/>
  <c r="G24" i="10" s="1"/>
  <c r="I24" i="10" s="1"/>
  <c r="F24" i="10"/>
  <c r="H24" i="10" s="1"/>
  <c r="E21" i="10"/>
  <c r="G21" i="10" s="1"/>
  <c r="I21" i="10" s="1"/>
  <c r="F21" i="10"/>
  <c r="H21" i="10" s="1"/>
  <c r="N571" i="11"/>
  <c r="N724" i="11" s="1"/>
  <c r="F53" i="10"/>
  <c r="H53" i="10" s="1"/>
  <c r="D48" i="10"/>
  <c r="F48" i="10" s="1"/>
  <c r="H48" i="10" s="1"/>
  <c r="N605" i="11"/>
  <c r="N727" i="11" s="1"/>
  <c r="K714" i="11"/>
  <c r="L724" i="11"/>
  <c r="L731" i="11" s="1"/>
  <c r="J726" i="11"/>
  <c r="N538" i="11"/>
  <c r="N69" i="11"/>
  <c r="E89" i="10"/>
  <c r="G89" i="10" s="1"/>
  <c r="I89" i="10" s="1"/>
  <c r="N685" i="11"/>
  <c r="N729" i="11" s="1"/>
  <c r="H712" i="11"/>
  <c r="H731" i="11" s="1"/>
  <c r="O503" i="11"/>
  <c r="O720" i="11" s="1"/>
  <c r="O526" i="11"/>
  <c r="O571" i="11"/>
  <c r="O724" i="11" s="1"/>
  <c r="N379" i="11"/>
  <c r="J720" i="11"/>
  <c r="O69" i="11"/>
  <c r="O192" i="11"/>
  <c r="E26" i="10"/>
  <c r="G26" i="10" s="1"/>
  <c r="I26" i="10" s="1"/>
  <c r="F51" i="10"/>
  <c r="H51" i="10" s="1"/>
  <c r="E93" i="10"/>
  <c r="G93" i="10" s="1"/>
  <c r="I93" i="10" s="1"/>
  <c r="E36" i="10"/>
  <c r="G36" i="10" s="1"/>
  <c r="I36" i="10" s="1"/>
  <c r="E42" i="10"/>
  <c r="G42" i="10" s="1"/>
  <c r="I42" i="10" s="1"/>
  <c r="E23" i="10"/>
  <c r="G23" i="10" s="1"/>
  <c r="I23" i="10" s="1"/>
  <c r="ES21" i="9"/>
  <c r="ER23" i="9"/>
  <c r="EW25" i="9" s="1"/>
  <c r="P63" i="6"/>
  <c r="R54" i="6"/>
  <c r="Q61" i="6"/>
  <c r="Q63" i="6" s="1"/>
  <c r="Q42" i="6"/>
  <c r="P84" i="6"/>
  <c r="P42" i="6"/>
  <c r="P75" i="6"/>
  <c r="O82" i="6"/>
  <c r="O84" i="6" s="1"/>
  <c r="O55" i="6"/>
  <c r="N84" i="6"/>
  <c r="R20" i="6"/>
  <c r="S24" i="6" s="1"/>
  <c r="S25" i="6" s="1"/>
  <c r="AR39" i="4" s="1"/>
  <c r="R69" i="6"/>
  <c r="N42" i="6"/>
  <c r="N61" i="6"/>
  <c r="N63" i="6" s="1"/>
  <c r="N55" i="6"/>
  <c r="R5" i="6"/>
  <c r="J52" i="8" s="1"/>
  <c r="M84" i="6"/>
  <c r="M42" i="6"/>
  <c r="M63" i="6"/>
  <c r="R34" i="6"/>
  <c r="M52" i="8" s="1"/>
  <c r="R76" i="6"/>
  <c r="L77" i="6"/>
  <c r="L63" i="6"/>
  <c r="L42" i="6"/>
  <c r="K68" i="6"/>
  <c r="R12" i="6"/>
  <c r="K52" i="8" s="1"/>
  <c r="K61" i="6"/>
  <c r="K42" i="6"/>
  <c r="R83" i="6"/>
  <c r="R25" i="6"/>
  <c r="K77" i="6"/>
  <c r="R23" i="6"/>
  <c r="R62" i="6"/>
  <c r="I42" i="6"/>
  <c r="I47" i="6"/>
  <c r="C52" i="8"/>
  <c r="F27" i="5"/>
  <c r="D47" i="5"/>
  <c r="F11" i="5"/>
  <c r="D68" i="2" s="1"/>
  <c r="D55" i="8" s="1"/>
  <c r="L27" i="8"/>
  <c r="L22" i="8"/>
  <c r="L33" i="8"/>
  <c r="L26" i="8"/>
  <c r="L24" i="8"/>
  <c r="K47" i="8"/>
  <c r="D47" i="8"/>
  <c r="J47" i="8"/>
  <c r="H47" i="8"/>
  <c r="E47" i="8"/>
  <c r="M47" i="8"/>
  <c r="G47" i="8"/>
  <c r="F47" i="8"/>
  <c r="C47" i="8"/>
  <c r="M43" i="8"/>
  <c r="G43" i="8"/>
  <c r="H43" i="8"/>
  <c r="J43" i="8"/>
  <c r="E43" i="8"/>
  <c r="D43" i="8"/>
  <c r="C43" i="8"/>
  <c r="F43" i="8"/>
  <c r="K43" i="8"/>
  <c r="D41" i="8"/>
  <c r="M41" i="8"/>
  <c r="E41" i="8"/>
  <c r="G41" i="8"/>
  <c r="K41" i="8"/>
  <c r="C41" i="8"/>
  <c r="F41" i="8"/>
  <c r="H41" i="8"/>
  <c r="J41" i="8"/>
  <c r="I37" i="8"/>
  <c r="B37" i="8"/>
  <c r="F38" i="8"/>
  <c r="M38" i="8"/>
  <c r="G38" i="8"/>
  <c r="H38" i="8"/>
  <c r="J38" i="8"/>
  <c r="C38" i="8"/>
  <c r="K38" i="8"/>
  <c r="D38" i="8"/>
  <c r="E38" i="8"/>
  <c r="H44" i="8"/>
  <c r="K44" i="8"/>
  <c r="F44" i="8"/>
  <c r="C44" i="8"/>
  <c r="J44" i="8"/>
  <c r="M44" i="8"/>
  <c r="D44" i="8"/>
  <c r="E44" i="8"/>
  <c r="G44" i="8"/>
  <c r="BL25" i="9"/>
  <c r="H50" i="1"/>
  <c r="BR25" i="9"/>
  <c r="DH25" i="9"/>
  <c r="BX25" i="9"/>
  <c r="P53" i="6"/>
  <c r="P55" i="6" s="1"/>
  <c r="L25" i="8"/>
  <c r="CD30" i="9"/>
  <c r="CD32" i="9" s="1"/>
  <c r="B40" i="8" s="1"/>
  <c r="CD23" i="9"/>
  <c r="DN30" i="9"/>
  <c r="DN32" i="9" s="1"/>
  <c r="DN23" i="9"/>
  <c r="EI21" i="9"/>
  <c r="EF23" i="9"/>
  <c r="DY21" i="9"/>
  <c r="DX30" i="9"/>
  <c r="DX32" i="9" s="1"/>
  <c r="E39" i="8"/>
  <c r="C39" i="8"/>
  <c r="F42" i="8"/>
  <c r="F15" i="5"/>
  <c r="F16" i="5"/>
  <c r="F68" i="2" s="1"/>
  <c r="CZ27" i="9"/>
  <c r="H62" i="1"/>
  <c r="M53" i="6"/>
  <c r="K32" i="8"/>
  <c r="D32" i="8"/>
  <c r="N623" i="11"/>
  <c r="N728" i="11" s="1"/>
  <c r="L9" i="1"/>
  <c r="AC23" i="9"/>
  <c r="AZ30" i="9"/>
  <c r="AZ32" i="9" s="1"/>
  <c r="B35" i="8" s="1"/>
  <c r="H51" i="8"/>
  <c r="N722" i="11" l="1"/>
  <c r="N691" i="11"/>
  <c r="O698" i="11" s="1"/>
  <c r="E34" i="10"/>
  <c r="G34" i="10" s="1"/>
  <c r="I34" i="10" s="1"/>
  <c r="R68" i="6"/>
  <c r="R70" i="6" s="1"/>
  <c r="N731" i="11"/>
  <c r="AV23" i="9"/>
  <c r="AR34" i="9"/>
  <c r="D34" i="8"/>
  <c r="K34" i="8"/>
  <c r="E34" i="8"/>
  <c r="G34" i="8"/>
  <c r="J34" i="8"/>
  <c r="L34" i="8" s="1"/>
  <c r="H48" i="8"/>
  <c r="F48" i="8"/>
  <c r="H34" i="8"/>
  <c r="O731" i="11"/>
  <c r="C34" i="8"/>
  <c r="M34" i="8"/>
  <c r="K48" i="8"/>
  <c r="EA23" i="9"/>
  <c r="ED23" i="9" s="1"/>
  <c r="EC33" i="9"/>
  <c r="B49" i="8" s="1"/>
  <c r="ED21" i="9"/>
  <c r="CV25" i="9"/>
  <c r="DB25" i="9"/>
  <c r="CX23" i="9"/>
  <c r="D48" i="8"/>
  <c r="J48" i="8"/>
  <c r="M48" i="8"/>
  <c r="L32" i="8"/>
  <c r="O691" i="11"/>
  <c r="G6" i="5"/>
  <c r="C68" i="2" s="1"/>
  <c r="L36" i="8"/>
  <c r="L45" i="8"/>
  <c r="D10" i="10"/>
  <c r="F10" i="10" s="1"/>
  <c r="H10" i="10" s="1"/>
  <c r="D40" i="10"/>
  <c r="F40" i="10" s="1"/>
  <c r="H40" i="10" s="1"/>
  <c r="F47" i="10"/>
  <c r="H47" i="10" s="1"/>
  <c r="F83" i="10"/>
  <c r="H83" i="10" s="1"/>
  <c r="D55" i="10"/>
  <c r="F55" i="10" s="1"/>
  <c r="H55" i="10" s="1"/>
  <c r="F17" i="10"/>
  <c r="H17" i="10" s="1"/>
  <c r="E32" i="10"/>
  <c r="G32" i="10" s="1"/>
  <c r="I32" i="10" s="1"/>
  <c r="D32" i="5"/>
  <c r="D6" i="10"/>
  <c r="F6" i="10" s="1"/>
  <c r="H6" i="10" s="1"/>
  <c r="D9" i="10"/>
  <c r="F9" i="10" s="1"/>
  <c r="H9" i="10" s="1"/>
  <c r="I14" i="5"/>
  <c r="E55" i="8"/>
  <c r="P694" i="11"/>
  <c r="F79" i="10"/>
  <c r="H79" i="10" s="1"/>
  <c r="AR33" i="4"/>
  <c r="H695" i="11"/>
  <c r="G27" i="5"/>
  <c r="I68" i="2" s="1"/>
  <c r="H68" i="2"/>
  <c r="F55" i="8" s="1"/>
  <c r="L39" i="8"/>
  <c r="R75" i="6"/>
  <c r="R77" i="6" s="1"/>
  <c r="AR40" i="4" s="1"/>
  <c r="G33" i="5"/>
  <c r="L694" i="11"/>
  <c r="L696" i="11" s="1"/>
  <c r="G30" i="5"/>
  <c r="M694" i="11" s="1"/>
  <c r="G86" i="10"/>
  <c r="I86" i="10" s="1"/>
  <c r="E33" i="10"/>
  <c r="G33" i="10" s="1"/>
  <c r="I33" i="10" s="1"/>
  <c r="M732" i="11"/>
  <c r="Q732" i="11"/>
  <c r="E91" i="10" s="1"/>
  <c r="G91" i="10" s="1"/>
  <c r="I91" i="10" s="1"/>
  <c r="F35" i="10"/>
  <c r="H35" i="10" s="1"/>
  <c r="E84" i="10"/>
  <c r="G84" i="10" s="1"/>
  <c r="I84" i="10" s="1"/>
  <c r="G17" i="10"/>
  <c r="I17" i="10" s="1"/>
  <c r="M692" i="11"/>
  <c r="F50" i="10"/>
  <c r="H50" i="10" s="1"/>
  <c r="E41" i="10"/>
  <c r="G41" i="10" s="1"/>
  <c r="I41" i="10" s="1"/>
  <c r="F49" i="10"/>
  <c r="H49" i="10" s="1"/>
  <c r="G85" i="10"/>
  <c r="I85" i="10" s="1"/>
  <c r="E18" i="10"/>
  <c r="G18" i="10" s="1"/>
  <c r="I18" i="10" s="1"/>
  <c r="F20" i="10"/>
  <c r="H20" i="10" s="1"/>
  <c r="G732" i="11"/>
  <c r="E25" i="10" s="1"/>
  <c r="G25" i="10" s="1"/>
  <c r="I25" i="10" s="1"/>
  <c r="G83" i="10"/>
  <c r="I83" i="10" s="1"/>
  <c r="G692" i="11"/>
  <c r="E48" i="10"/>
  <c r="G48" i="10" s="1"/>
  <c r="I48" i="10" s="1"/>
  <c r="G47" i="10"/>
  <c r="I47" i="10" s="1"/>
  <c r="I692" i="11"/>
  <c r="Q692" i="11"/>
  <c r="K692" i="11"/>
  <c r="ER25" i="9"/>
  <c r="ES23" i="9"/>
  <c r="P77" i="6"/>
  <c r="R82" i="6"/>
  <c r="R84" i="6" s="1"/>
  <c r="T84" i="6" s="1"/>
  <c r="L52" i="8"/>
  <c r="R61" i="6"/>
  <c r="R63" i="6" s="1"/>
  <c r="K70" i="6"/>
  <c r="R42" i="6"/>
  <c r="K63" i="6"/>
  <c r="D7" i="10"/>
  <c r="F7" i="10" s="1"/>
  <c r="H7" i="10" s="1"/>
  <c r="G11" i="5"/>
  <c r="E68" i="2" s="1"/>
  <c r="D49" i="5"/>
  <c r="E47" i="5"/>
  <c r="F52" i="8"/>
  <c r="J9" i="5"/>
  <c r="AR14" i="4" s="1"/>
  <c r="L47" i="8"/>
  <c r="F40" i="8"/>
  <c r="H40" i="8"/>
  <c r="G40" i="8"/>
  <c r="D40" i="8"/>
  <c r="E40" i="8"/>
  <c r="K40" i="8"/>
  <c r="M40" i="8"/>
  <c r="C40" i="8"/>
  <c r="J40" i="8"/>
  <c r="J37" i="8"/>
  <c r="M37" i="8"/>
  <c r="H37" i="8"/>
  <c r="C37" i="8"/>
  <c r="E37" i="8"/>
  <c r="D37" i="8"/>
  <c r="F37" i="8"/>
  <c r="G37" i="8"/>
  <c r="K37" i="8"/>
  <c r="M35" i="8"/>
  <c r="F35" i="8"/>
  <c r="G35" i="8"/>
  <c r="D35" i="8"/>
  <c r="C35" i="8"/>
  <c r="J35" i="8"/>
  <c r="K35" i="8"/>
  <c r="E35" i="8"/>
  <c r="H35" i="8"/>
  <c r="G16" i="5"/>
  <c r="G68" i="2" s="1"/>
  <c r="J24" i="5"/>
  <c r="EH32" i="9"/>
  <c r="EI23" i="9"/>
  <c r="L38" i="8"/>
  <c r="L41" i="8"/>
  <c r="L44" i="8"/>
  <c r="L43" i="8"/>
  <c r="CJ25" i="9"/>
  <c r="CF23" i="9"/>
  <c r="CD25" i="9"/>
  <c r="G15" i="5"/>
  <c r="E8" i="10" s="1"/>
  <c r="G8" i="10" s="1"/>
  <c r="I8" i="10" s="1"/>
  <c r="D8" i="10"/>
  <c r="F8" i="10" s="1"/>
  <c r="H8" i="10" s="1"/>
  <c r="DS25" i="9"/>
  <c r="DO23" i="9"/>
  <c r="DN25" i="9"/>
  <c r="M55" i="6"/>
  <c r="R53" i="6"/>
  <c r="R55" i="6" s="1"/>
  <c r="L55" i="8" s="1"/>
  <c r="F13" i="10"/>
  <c r="H13" i="10" s="1"/>
  <c r="E32" i="5"/>
  <c r="E13" i="10" s="1"/>
  <c r="F694" i="11"/>
  <c r="D34" i="5" l="1"/>
  <c r="F696" i="11"/>
  <c r="F28" i="10"/>
  <c r="H28" i="10" s="1"/>
  <c r="AR34" i="4"/>
  <c r="E79" i="10"/>
  <c r="L48" i="8"/>
  <c r="E6" i="10"/>
  <c r="G6" i="10" s="1"/>
  <c r="I6" i="10" s="1"/>
  <c r="J49" i="8"/>
  <c r="H49" i="8"/>
  <c r="C49" i="8"/>
  <c r="F49" i="8"/>
  <c r="M49" i="8"/>
  <c r="D49" i="8"/>
  <c r="K49" i="8"/>
  <c r="E49" i="8"/>
  <c r="G49" i="8"/>
  <c r="F94" i="10"/>
  <c r="H94" i="10" s="1"/>
  <c r="P696" i="11"/>
  <c r="E738" i="11"/>
  <c r="AR23" i="4"/>
  <c r="J26" i="5"/>
  <c r="AR31" i="4" s="1"/>
  <c r="AR5" i="4"/>
  <c r="J695" i="11"/>
  <c r="K695" i="11" s="1"/>
  <c r="AR6" i="4"/>
  <c r="I695" i="11"/>
  <c r="I732" i="11"/>
  <c r="E40" i="10" s="1"/>
  <c r="G40" i="10" s="1"/>
  <c r="I40" i="10" s="1"/>
  <c r="K732" i="11"/>
  <c r="E55" i="10" s="1"/>
  <c r="G55" i="10" s="1"/>
  <c r="I55" i="10" s="1"/>
  <c r="O692" i="11"/>
  <c r="O732" i="11"/>
  <c r="D65" i="1"/>
  <c r="K65" i="1" s="1"/>
  <c r="Q694" i="11"/>
  <c r="G79" i="10"/>
  <c r="I79" i="10" s="1"/>
  <c r="E49" i="5"/>
  <c r="E7" i="10"/>
  <c r="G7" i="10" s="1"/>
  <c r="I7" i="10" s="1"/>
  <c r="J10" i="5"/>
  <c r="AR15" i="4" s="1"/>
  <c r="H694" i="11"/>
  <c r="H52" i="8"/>
  <c r="D52" i="8"/>
  <c r="E52" i="8"/>
  <c r="I16" i="5"/>
  <c r="J25" i="5"/>
  <c r="AR24" i="4" s="1"/>
  <c r="J694" i="11"/>
  <c r="G694" i="11"/>
  <c r="E34" i="5"/>
  <c r="G13" i="10"/>
  <c r="I13" i="10" s="1"/>
  <c r="B65" i="1"/>
  <c r="J65" i="1" s="1"/>
  <c r="G52" i="8"/>
  <c r="L37" i="8"/>
  <c r="L35" i="8"/>
  <c r="L40" i="8"/>
  <c r="E28" i="10" l="1"/>
  <c r="G28" i="10" s="1"/>
  <c r="I28" i="10" s="1"/>
  <c r="E94" i="10"/>
  <c r="G94" i="10" s="1"/>
  <c r="I94" i="10" s="1"/>
  <c r="L49" i="8"/>
  <c r="J696" i="11"/>
  <c r="F43" i="10"/>
  <c r="H43" i="10" s="1"/>
  <c r="H696" i="11"/>
  <c r="E741" i="11"/>
  <c r="G65" i="1"/>
  <c r="H65" i="1"/>
  <c r="E735" i="11"/>
  <c r="E736" i="11"/>
  <c r="F58" i="10"/>
  <c r="H58" i="10" s="1"/>
  <c r="I694" i="11"/>
  <c r="K694" i="11"/>
  <c r="E43" i="10" l="1"/>
  <c r="G43" i="10" s="1"/>
  <c r="I43" i="10" s="1"/>
  <c r="E58" i="10"/>
  <c r="G58" i="10" s="1"/>
  <c r="I58" i="10" s="1"/>
  <c r="E737" i="11"/>
  <c r="E740" i="11" s="1"/>
</calcChain>
</file>

<file path=xl/sharedStrings.xml><?xml version="1.0" encoding="utf-8"?>
<sst xmlns="http://schemas.openxmlformats.org/spreadsheetml/2006/main" count="3760" uniqueCount="611">
  <si>
    <t>Per Capita Income</t>
  </si>
  <si>
    <t xml:space="preserve"> </t>
  </si>
  <si>
    <t>CPI-U</t>
  </si>
  <si>
    <t>Per Capita Income (Calendar Year Basis):</t>
  </si>
  <si>
    <t xml:space="preserve">   Calendar Year CPI-U Adjusted to School Year Basis.</t>
  </si>
  <si>
    <t>ESA's</t>
  </si>
  <si>
    <t>FTE</t>
  </si>
  <si>
    <t>FTE*</t>
  </si>
  <si>
    <t>FTE**</t>
  </si>
  <si>
    <t>Table 7</t>
  </si>
  <si>
    <t>BaseSal</t>
  </si>
  <si>
    <t>TOTAL FTE</t>
  </si>
  <si>
    <t>SUMPRODUCT</t>
  </si>
  <si>
    <t>table2</t>
  </si>
  <si>
    <t>diff = 630's</t>
  </si>
  <si>
    <t>subtotal CAS</t>
  </si>
  <si>
    <t>total Certs</t>
  </si>
  <si>
    <t>check</t>
  </si>
  <si>
    <t>total Class</t>
  </si>
  <si>
    <t>difference</t>
  </si>
  <si>
    <t>FTE staff</t>
  </si>
  <si>
    <t>Average LEAP 1 mix</t>
  </si>
  <si>
    <t xml:space="preserve">NA   </t>
  </si>
  <si>
    <t>Avg. LEAP 1A mix</t>
  </si>
  <si>
    <t>Derived base</t>
  </si>
  <si>
    <t>Average mix</t>
  </si>
  <si>
    <t>Duty Code</t>
  </si>
  <si>
    <t>Avg Supp K</t>
  </si>
  <si>
    <t>Admin Certs</t>
  </si>
  <si>
    <t>Total FTE</t>
  </si>
  <si>
    <t>BaseSal SUMPRODUCT</t>
  </si>
  <si>
    <t>Instructional Certs</t>
  </si>
  <si>
    <t>Supp K SUMPRODUCT</t>
  </si>
  <si>
    <t>From Table 11</t>
  </si>
  <si>
    <t>-----------FTE-----------</t>
  </si>
  <si>
    <t>-------------------------------    BASIC EDUCATION    ---------------------------------</t>
  </si>
  <si>
    <t>Program--&gt;</t>
  </si>
  <si>
    <t>01</t>
  </si>
  <si>
    <t>Total</t>
  </si>
  <si>
    <t>BEd Total</t>
  </si>
  <si>
    <t>Check</t>
  </si>
  <si>
    <t>Admin CERTS</t>
  </si>
  <si>
    <t>Instruct CERTS</t>
  </si>
  <si>
    <t>Other (510,520,610)</t>
  </si>
  <si>
    <t>table 9, prog 01</t>
  </si>
  <si>
    <t>table 9, prog 31</t>
  </si>
  <si>
    <t>check--&gt;</t>
  </si>
  <si>
    <t>Table34 + 36</t>
  </si>
  <si>
    <t>Total CERTS</t>
  </si>
  <si>
    <t>Other</t>
  </si>
  <si>
    <t>table 9, prog 97</t>
  </si>
  <si>
    <t>Total Certs in BEd</t>
  </si>
  <si>
    <t>------------</t>
  </si>
  <si>
    <t>State Total - FTE</t>
  </si>
  <si>
    <t>check---&gt;</t>
  </si>
  <si>
    <t>----------------------------------    SALARY    ----------------------------------</t>
  </si>
  <si>
    <t>sumproduct</t>
  </si>
  <si>
    <t>Table 36</t>
  </si>
  <si>
    <t>Average Salary</t>
  </si>
  <si>
    <t>Table 34</t>
  </si>
  <si>
    <t>Kindergarten Through Third Grade</t>
  </si>
  <si>
    <t>Basic Education Programs</t>
  </si>
  <si>
    <t>Avg Annual</t>
  </si>
  <si>
    <t>Certificated Staff</t>
  </si>
  <si>
    <t>Classified</t>
  </si>
  <si>
    <t>School</t>
  </si>
  <si>
    <t>Enrollment</t>
  </si>
  <si>
    <t>Instructional</t>
  </si>
  <si>
    <t>Annual</t>
  </si>
  <si>
    <t>Certificated</t>
  </si>
  <si>
    <t>Selected</t>
  </si>
  <si>
    <t>Year</t>
  </si>
  <si>
    <t>Central</t>
  </si>
  <si>
    <t>Unit</t>
  </si>
  <si>
    <t>Teachers</t>
  </si>
  <si>
    <t>ESAs</t>
  </si>
  <si>
    <t>Staff</t>
  </si>
  <si>
    <t>Assistants</t>
  </si>
  <si>
    <t>1993-94 Enrollment</t>
  </si>
  <si>
    <t>1994-95 Enrollment</t>
  </si>
  <si>
    <t>1995-96 Enrollment</t>
  </si>
  <si>
    <t>Form 1191E</t>
  </si>
  <si>
    <t>K - full year</t>
  </si>
  <si>
    <t>Grades 1 -3</t>
  </si>
  <si>
    <t xml:space="preserve">  Add:  P240 &amp; P223S</t>
  </si>
  <si>
    <t>Grades 7 - 8</t>
  </si>
  <si>
    <t>Grades 9 - 12</t>
  </si>
  <si>
    <t>Total AAFTE Enrollment</t>
  </si>
  <si>
    <t>Table 4</t>
  </si>
  <si>
    <t>Difference</t>
  </si>
  <si>
    <t>T-165B BasicEd Enroll</t>
  </si>
  <si>
    <t xml:space="preserve">  ADD:</t>
  </si>
  <si>
    <t xml:space="preserve">    Handicapped FTE</t>
  </si>
  <si>
    <t>none</t>
  </si>
  <si>
    <t>FTE %</t>
  </si>
  <si>
    <t>Central Administrator</t>
  </si>
  <si>
    <t>Unit Administrator</t>
  </si>
  <si>
    <t>Classroom Teacher</t>
  </si>
  <si>
    <t>Educational Staff Associate</t>
  </si>
  <si>
    <t>On Paid Leave Duty 61</t>
  </si>
  <si>
    <t>Learning Assistance, State (55)</t>
  </si>
  <si>
    <t>Highly Capable (74)</t>
  </si>
  <si>
    <t>Other, State and Federal</t>
  </si>
  <si>
    <t>Pupil Transportation (99)</t>
  </si>
  <si>
    <t>Director/Supervisor</t>
  </si>
  <si>
    <t>Aide</t>
  </si>
  <si>
    <t>Crafts/Trades</t>
  </si>
  <si>
    <t>Laborer</t>
  </si>
  <si>
    <t>Office/Clerical</t>
  </si>
  <si>
    <t>Operator</t>
  </si>
  <si>
    <t>Professional</t>
  </si>
  <si>
    <t>Service Worker</t>
  </si>
  <si>
    <t>Technical</t>
  </si>
  <si>
    <t>On Paid Leave</t>
  </si>
  <si>
    <t>[Column A]</t>
  </si>
  <si>
    <t>[Column B]</t>
  </si>
  <si>
    <t>[Column C]</t>
  </si>
  <si>
    <t>[Column D]</t>
  </si>
  <si>
    <t>[Column E]</t>
  </si>
  <si>
    <t>[Column F]</t>
  </si>
  <si>
    <t>All Certificated Staff</t>
  </si>
  <si>
    <t>Cert Admin Staff</t>
  </si>
  <si>
    <t>Cert Instruct Staff</t>
  </si>
  <si>
    <t>51,52,61 Staff</t>
  </si>
  <si>
    <t>Grand Total - All Cert Staff</t>
  </si>
  <si>
    <t>Classified Staff</t>
  </si>
  <si>
    <t>Base Salary</t>
  </si>
  <si>
    <t>Basic Education</t>
  </si>
  <si>
    <t>Deputy/Assist. Supt.</t>
  </si>
  <si>
    <t>Other District Admin.</t>
  </si>
  <si>
    <t>Other School Admin.</t>
  </si>
  <si>
    <t>Secondary Teacher</t>
  </si>
  <si>
    <t>Other Teacher</t>
  </si>
  <si>
    <t>Other Support Personnel</t>
  </si>
  <si>
    <t>Extracurricular</t>
  </si>
  <si>
    <t>Substitute Teacher</t>
  </si>
  <si>
    <t>Elementary Principal</t>
  </si>
  <si>
    <t>Secondary Principal</t>
  </si>
  <si>
    <t>Counselor</t>
  </si>
  <si>
    <t>Occupational Therapist</t>
  </si>
  <si>
    <t>Social Worker</t>
  </si>
  <si>
    <t>Psychologist</t>
  </si>
  <si>
    <t>Nurse</t>
  </si>
  <si>
    <t>Physical Therapist</t>
  </si>
  <si>
    <t>Library Media Specialist</t>
  </si>
  <si>
    <t>Secondary Vice Principal</t>
  </si>
  <si>
    <t>Elem. Vice Principal</t>
  </si>
  <si>
    <t>Traffic Safety</t>
  </si>
  <si>
    <t>Summer School</t>
  </si>
  <si>
    <t>Highly Capable</t>
  </si>
  <si>
    <t>Public Radio/Television</t>
  </si>
  <si>
    <t>Community Schools</t>
  </si>
  <si>
    <t>Superintendent</t>
  </si>
  <si>
    <t>Pupil Transportation</t>
  </si>
  <si>
    <t>CP</t>
  </si>
  <si>
    <t>Capital Projects Funds</t>
  </si>
  <si>
    <t>SB</t>
  </si>
  <si>
    <t>xx</t>
  </si>
  <si>
    <t>State Summary</t>
  </si>
  <si>
    <t>Cert Admin Staff By Program</t>
  </si>
  <si>
    <t>Table5c</t>
  </si>
  <si>
    <t>Cert Instruct Staff By Program</t>
  </si>
  <si>
    <t>Table5d</t>
  </si>
  <si>
    <t>Subtotal</t>
  </si>
  <si>
    <t>Add:  Duties 510-520</t>
  </si>
  <si>
    <t>Table5a</t>
  </si>
  <si>
    <t>Add:  Duty 610</t>
  </si>
  <si>
    <t>All Cert Staff Total</t>
  </si>
  <si>
    <t>Table 5a &amp; 5b</t>
  </si>
  <si>
    <t>Districtwide Support</t>
  </si>
  <si>
    <t>1996-97 Enrollment</t>
  </si>
  <si>
    <t>RS</t>
  </si>
  <si>
    <t>Table 2 Totals</t>
  </si>
  <si>
    <t>Table 11</t>
  </si>
  <si>
    <t>WS Total</t>
  </si>
  <si>
    <t>1997-98 Enrollment</t>
  </si>
  <si>
    <t>Table 3ws1 totals</t>
  </si>
  <si>
    <t>State summary</t>
  </si>
  <si>
    <t>Check:</t>
  </si>
  <si>
    <t>Col E + Col F</t>
  </si>
  <si>
    <t>Worksheet for Table 5:  Other State and Federal Programs</t>
  </si>
  <si>
    <t xml:space="preserve">K-3 Enrollment </t>
  </si>
  <si>
    <t>Table 9 total</t>
  </si>
  <si>
    <t>Table 10 total</t>
  </si>
  <si>
    <t>Agrees w/ Tbl 11</t>
  </si>
  <si>
    <t>table19</t>
  </si>
  <si>
    <t>(from Report 1159F)</t>
  </si>
  <si>
    <t>(From WaE&amp;RF Table A4.1)</t>
  </si>
  <si>
    <t>(Form 1191E)</t>
  </si>
  <si>
    <t>P223 Subtotal</t>
  </si>
  <si>
    <t>less 27931 &amp; 27932</t>
  </si>
  <si>
    <t>Avg. supplemental</t>
  </si>
  <si>
    <t>year to year change</t>
  </si>
  <si>
    <t>Contractor Teacher</t>
  </si>
  <si>
    <t>Contractor ESA</t>
  </si>
  <si>
    <t>Duty Assignment</t>
  </si>
  <si>
    <t>Individuals</t>
  </si>
  <si>
    <t>Table 10</t>
  </si>
  <si>
    <t>Table 9</t>
  </si>
  <si>
    <t>Base Sal</t>
  </si>
  <si>
    <t>Calendar Year</t>
  </si>
  <si>
    <t>Avg. LEAP 1S mix</t>
  </si>
  <si>
    <t>Grade 4</t>
  </si>
  <si>
    <t>(from Report 1159)</t>
  </si>
  <si>
    <t>Kindergarten Through Fourth Grade</t>
  </si>
  <si>
    <t>-</t>
  </si>
  <si>
    <t>--[Duty Roots 31-49,63,&amp;64]--</t>
  </si>
  <si>
    <t>--[Duty Roots 11-64]--</t>
  </si>
  <si>
    <t>--[Duty Roots 11-25]--</t>
  </si>
  <si>
    <t>--[Col B + Col C + Col D]--</t>
  </si>
  <si>
    <t>Avg Salary</t>
  </si>
  <si>
    <t>&lt;-- teachers only</t>
  </si>
  <si>
    <t>&lt;-- ESAs only</t>
  </si>
  <si>
    <t>&lt;-- 63 &amp; 64</t>
  </si>
  <si>
    <t>&lt;-- 51 &amp; 52</t>
  </si>
  <si>
    <t>&lt;-- Included in Table 2 State total column only</t>
  </si>
  <si>
    <t>-----------------------------------Table 7-----------------------------------</t>
  </si>
  <si>
    <t>1959–60</t>
  </si>
  <si>
    <t>1960–61</t>
  </si>
  <si>
    <t>1961–62</t>
  </si>
  <si>
    <t>1962–63</t>
  </si>
  <si>
    <t>1963–64</t>
  </si>
  <si>
    <t>1964–65</t>
  </si>
  <si>
    <t>1965–66</t>
  </si>
  <si>
    <t>1966–67</t>
  </si>
  <si>
    <t>1967–68</t>
  </si>
  <si>
    <t>1968–69</t>
  </si>
  <si>
    <t>1969–70</t>
  </si>
  <si>
    <t>1970–71</t>
  </si>
  <si>
    <t>1971–72</t>
  </si>
  <si>
    <t>1972–73</t>
  </si>
  <si>
    <t>1973–74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</si>
  <si>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</si>
  <si>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</si>
  <si>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</si>
  <si>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</si>
  <si>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</si>
  <si>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</si>
  <si>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</si>
  <si>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</si>
  <si>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</si>
  <si>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</si>
  <si>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</si>
  <si>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</si>
  <si>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</si>
  <si>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</si>
  <si>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</si>
  <si>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</si>
  <si>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</si>
  <si>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</si>
  <si>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</si>
  <si>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</si>
  <si>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</si>
  <si>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</si>
  <si>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</si>
  <si>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</si>
  <si>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</si>
  <si>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1999–2000</t>
  </si>
  <si>
    <t>U.S. CPI-U Calendar Year Basis (1982–84 = 100):</t>
  </si>
  <si>
    <t>* Beginning in 1995–96, total includes staff reported with duty code 630.</t>
  </si>
  <si>
    <t>** Beginning in 1995–96, total includes staff reported with duty code 640.</t>
  </si>
  <si>
    <t>Spch.-Lang. Path./Audio.</t>
  </si>
  <si>
    <t>Certificated on Leave</t>
  </si>
  <si>
    <t>Classified on Leave</t>
  </si>
  <si>
    <t xml:space="preserve">   1995 from "Economic and Revenue Forecast," November 1999 rev.</t>
  </si>
  <si>
    <t xml:space="preserve">K-4 Enrollment </t>
  </si>
  <si>
    <t>1251 REPORT (P223/S &amp; P240)</t>
  </si>
  <si>
    <t>--[Duty Roots 90-99]--</t>
  </si>
  <si>
    <t>2000–01</t>
  </si>
  <si>
    <t>Table 38</t>
  </si>
  <si>
    <t>1251 Report (P223)</t>
  </si>
  <si>
    <t>use on Table 4</t>
  </si>
  <si>
    <t>1251 Report (P223/S &amp; P240)</t>
  </si>
  <si>
    <t>2000–01 Enrollment</t>
  </si>
  <si>
    <t>less 17937, 27931, &amp; 27932</t>
  </si>
  <si>
    <t>1998–99 Enrollment</t>
  </si>
  <si>
    <t>1999–2000 Enrollment</t>
  </si>
  <si>
    <t>Miscellaneous Duties 51–52</t>
  </si>
  <si>
    <t>2001–02</t>
  </si>
  <si>
    <t>2001–02 Enrollment</t>
  </si>
  <si>
    <t>Grades 5 - 6</t>
  </si>
  <si>
    <t xml:space="preserve">   1996–97 from "Economic and Revenue Forecast," November 2001 rev.</t>
  </si>
  <si>
    <t>&lt;&lt;--See Economic &amp; Revenue Forecast Publications in the Washington State Office of the Forecast Council website @ www.wa.gov/ofc/</t>
  </si>
  <si>
    <t>2002–03 Enrollment</t>
  </si>
  <si>
    <t>2002–03</t>
  </si>
  <si>
    <t>Special Ed.—Supp.—State</t>
  </si>
  <si>
    <t>Special Ed.—Supp.—Fed.</t>
  </si>
  <si>
    <t>Special Ed.—Inst.—State</t>
  </si>
  <si>
    <t>Special Ed.—Other—Fed.</t>
  </si>
  <si>
    <t>Vocational—Basic—State</t>
  </si>
  <si>
    <t>Vocational—Federal</t>
  </si>
  <si>
    <t>Vocational—Other Categ.</t>
  </si>
  <si>
    <t>Disadvantaged—Federal</t>
  </si>
  <si>
    <t>School Improvement—Fed.</t>
  </si>
  <si>
    <t>Migrant—Federal</t>
  </si>
  <si>
    <t>Learning Asst. Prog.—St.</t>
  </si>
  <si>
    <t>St. Inst., Centers/Homes</t>
  </si>
  <si>
    <t>Inst.—Neglected/Delinq.</t>
  </si>
  <si>
    <t>Special/Pilot Prog.—St.</t>
  </si>
  <si>
    <t>Head Start—Federal</t>
  </si>
  <si>
    <t>Transit. Bilingual—St.</t>
  </si>
  <si>
    <t>Indian Ed.—Fed.—JOM</t>
  </si>
  <si>
    <t>Indian Ed.—Fed.—ED</t>
  </si>
  <si>
    <t>Compensatory—Other</t>
  </si>
  <si>
    <t>Targeted Assist.—Fed.</t>
  </si>
  <si>
    <t>Youth Train. Prog.—Fed.</t>
  </si>
  <si>
    <t>Instruc. Progs.—Other</t>
  </si>
  <si>
    <t>Other Community Services</t>
  </si>
  <si>
    <t>Associated Student Body</t>
  </si>
  <si>
    <t>Disadvantaged, Federal (51)</t>
  </si>
  <si>
    <t>Transitional Bilingual, State (65)</t>
  </si>
  <si>
    <t>Food Services (98)</t>
  </si>
  <si>
    <t>Admin</t>
  </si>
  <si>
    <t xml:space="preserve">   1998–99 from "Economic and Revenue Forecast," November 2002 rev.</t>
  </si>
  <si>
    <t>Form 1191E (Aug 2003)</t>
  </si>
  <si>
    <t>Per capita income is influenced by the</t>
  </si>
  <si>
    <t>Contracted Agency Staff Duties 63–64</t>
  </si>
  <si>
    <t>2003–04</t>
  </si>
  <si>
    <t>2003–04 Enrollment</t>
  </si>
  <si>
    <t>Avg. LEAP 1Sa mix</t>
  </si>
  <si>
    <t>subtotal CIS+</t>
  </si>
  <si>
    <t>increase in two-income families.</t>
  </si>
  <si>
    <t>2004–05</t>
  </si>
  <si>
    <t>2004–05 Enrollment</t>
  </si>
  <si>
    <t>less 17937, 17942, 27931, &amp; 27932</t>
  </si>
  <si>
    <t>2005–06</t>
  </si>
  <si>
    <t xml:space="preserve">   2000–01 from "Economic and Revenue Forecast," September 2005 rev.</t>
  </si>
  <si>
    <t>2005–06 Enrollment</t>
  </si>
  <si>
    <t>School Food Services</t>
  </si>
  <si>
    <t>2006–07</t>
  </si>
  <si>
    <t>2006–07 Enrollment</t>
  </si>
  <si>
    <t>Average</t>
  </si>
  <si>
    <t>Base</t>
  </si>
  <si>
    <t>Insur.</t>
  </si>
  <si>
    <t>Days in</t>
  </si>
  <si>
    <t>Salary</t>
  </si>
  <si>
    <t>Ben.</t>
  </si>
  <si>
    <t xml:space="preserve">   2002 from "Economic and Revenue Forecast," November 2006 rev.</t>
  </si>
  <si>
    <t xml:space="preserve">   2003 from "Economic and Revenue Forecast," September 2007 rev.</t>
  </si>
  <si>
    <t>2007–08</t>
  </si>
  <si>
    <t>2007–08 Enrollment</t>
  </si>
  <si>
    <t>Middle School CTE—State</t>
  </si>
  <si>
    <t>Math and Science—Fed.</t>
  </si>
  <si>
    <t>17937, 27931, &amp; 27932</t>
  </si>
  <si>
    <t>Report T-165A***</t>
  </si>
  <si>
    <t>Basic Education Programs****</t>
  </si>
  <si>
    <t>* Beginning in 2007–08, an accounting methodology was changed which resulted in fewer special education certificated instructional staff being partially reported in basic education.</t>
  </si>
  <si>
    <t>2008–09</t>
  </si>
  <si>
    <t>2008–09 Enrollment</t>
  </si>
  <si>
    <t xml:space="preserve">   2004–05 from "Economic and Revenue Forecast," November 2008 rev.</t>
  </si>
  <si>
    <t>2009–10</t>
  </si>
  <si>
    <t>(From WaE&amp;RF Table A1.4)</t>
  </si>
  <si>
    <t>2009–10 Enrollment</t>
  </si>
  <si>
    <t>Form 1191E (Aug 2009)</t>
  </si>
  <si>
    <t>Form 1191E (Aug 2004)</t>
  </si>
  <si>
    <t>Form 1191E (Aug 2005)</t>
  </si>
  <si>
    <t>Form 1191E (Aug 2006)</t>
  </si>
  <si>
    <t>Form 1191E (Aug 2007)</t>
  </si>
  <si>
    <t>Form 1191E (Jan 2008)</t>
  </si>
  <si>
    <t>less direct-funded tech college</t>
  </si>
  <si>
    <t>Form 1191E (Aug 2010)</t>
  </si>
  <si>
    <t xml:space="preserve">   2006–07 from "Economic and Revenue Forecast," November 2009 rev.</t>
  </si>
  <si>
    <t>2010–11</t>
  </si>
  <si>
    <t>2010–11 Enrollment</t>
  </si>
  <si>
    <t>02</t>
  </si>
  <si>
    <t>table 9, prog 02</t>
  </si>
  <si>
    <t>table 9, prog 34</t>
  </si>
  <si>
    <t>table 9, prog 45</t>
  </si>
  <si>
    <t>Institutions, State (26, 56, 59)</t>
  </si>
  <si>
    <t>Historical Comparison of Statewide School District Personnel</t>
  </si>
  <si>
    <t>Increase (Decrease)</t>
  </si>
  <si>
    <t xml:space="preserve">Salary % </t>
  </si>
  <si>
    <t>Certificated Instructional</t>
  </si>
  <si>
    <t>Certificated Administrative</t>
  </si>
  <si>
    <t>by Duty Assignment</t>
  </si>
  <si>
    <t>by Program Assignment</t>
  </si>
  <si>
    <t>Administration</t>
  </si>
  <si>
    <t>Average Base Salary</t>
  </si>
  <si>
    <t>per 1.0 FTE</t>
  </si>
  <si>
    <t>All</t>
  </si>
  <si>
    <t>Washington</t>
  </si>
  <si>
    <t>per Capita</t>
  </si>
  <si>
    <t>Income</t>
  </si>
  <si>
    <t>Average Base Salary as</t>
  </si>
  <si>
    <t>a % of Average Income</t>
  </si>
  <si>
    <t>Salary Notes:</t>
  </si>
  <si>
    <t>Sources:</t>
  </si>
  <si>
    <t>Abbreviations:</t>
  </si>
  <si>
    <t>Per Capita Income Note:</t>
  </si>
  <si>
    <t>Form 1191E (Aug 2011)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</si>
  <si>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</si>
  <si>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</si>
  <si>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</si>
  <si>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</si>
  <si>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</si>
  <si>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</si>
  <si>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</si>
  <si>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</si>
  <si>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</si>
  <si>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</si>
  <si>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</si>
  <si>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</si>
  <si>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</si>
  <si>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</si>
  <si>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</si>
  <si>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</si>
  <si>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</si>
  <si>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</si>
  <si>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</si>
  <si>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</si>
  <si>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</si>
  <si>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</si>
  <si>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</si>
  <si>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61</t>
  </si>
  <si>
    <t>63</t>
  </si>
  <si>
    <t>64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</si>
  <si>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</si>
  <si>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</si>
  <si>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</si>
  <si>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</si>
  <si>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</si>
  <si>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</si>
  <si>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</si>
  <si>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</si>
  <si>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</si>
  <si>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</si>
  <si>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Avg Add'l</t>
  </si>
  <si>
    <t>Mand.</t>
  </si>
  <si>
    <t>per Indiv.</t>
  </si>
  <si>
    <t>Table 45 Enrollment Extract</t>
  </si>
  <si>
    <t>Avg. base salary per 1.0 FTE</t>
  </si>
  <si>
    <t xml:space="preserve">   </t>
  </si>
  <si>
    <t>2011–12</t>
  </si>
  <si>
    <t>2011–12 Enrollment</t>
  </si>
  <si>
    <t>Used P223 run 10/20/10</t>
  </si>
  <si>
    <t>Used P223 run 8/25/09</t>
  </si>
  <si>
    <t>used P223 run 8/28/08</t>
  </si>
  <si>
    <t>used P223 run 10/25/07</t>
  </si>
  <si>
    <t>used P223 run 10/24/06</t>
  </si>
  <si>
    <t>used P223 run 10/28/05</t>
  </si>
  <si>
    <t>used P223 run 11/4/03</t>
  </si>
  <si>
    <t>used P223 run 11/1/04</t>
  </si>
  <si>
    <t>used P223 run 1/28/03</t>
  </si>
  <si>
    <t>used P223 run 3/20/01</t>
  </si>
  <si>
    <t>used P223 run 4/4/00</t>
  </si>
  <si>
    <t>used P223 run 1/16/98</t>
  </si>
  <si>
    <t>used P223 run 11/19/97</t>
  </si>
  <si>
    <t>used P223 run 11/21/96</t>
  </si>
  <si>
    <t>2012–13</t>
  </si>
  <si>
    <t>US-CPI</t>
  </si>
  <si>
    <t>2012–13 Enrollment</t>
  </si>
  <si>
    <t>Used 1251 run 1/24/13</t>
  </si>
  <si>
    <t>A</t>
  </si>
  <si>
    <t>Y</t>
  </si>
  <si>
    <t>A,Y</t>
  </si>
  <si>
    <t>Z,Y,X</t>
  </si>
  <si>
    <t>A,Y,X</t>
  </si>
  <si>
    <t>Y,X</t>
  </si>
  <si>
    <t>A,W</t>
  </si>
  <si>
    <t>Used P223 run 10/27/11</t>
  </si>
  <si>
    <t>Used P223 run 1/19/12</t>
  </si>
  <si>
    <t>Form 1191E Aug 2012)</t>
  </si>
  <si>
    <t xml:space="preserve">   2008–09 from "Economic and Revenue Forecast," November 2011 rev.</t>
  </si>
  <si>
    <t xml:space="preserve">   2010–11 from "Economic and Revenue Forecast," June 2012 rev.</t>
  </si>
  <si>
    <t>Form 1191E Aug 2013)</t>
  </si>
  <si>
    <t>2013–14</t>
  </si>
  <si>
    <t>Special Education, State (21, 22)</t>
  </si>
  <si>
    <t>Special Education, Federal (24, 25, 29)</t>
  </si>
  <si>
    <t>2013–14 Enrollment</t>
  </si>
  <si>
    <t>Spec Ed.—Inf.&amp;Tod.—State</t>
  </si>
  <si>
    <t xml:space="preserve">   ****Beginning in 1999–2000, enhanced staffing for kindergarten through third grade was expanded to also include fourth grade.  Beginning in 2011–12, </t>
  </si>
  <si>
    <t xml:space="preserve">     kindergarten through third/fourth grade staffing was no longer tracked.</t>
  </si>
  <si>
    <t xml:space="preserve">   ***Source: SPI Form 1159.  This measurement is made pursuant to chapter 392-140 WAC.  Enrollment periods used in the calculation of these ratios </t>
  </si>
  <si>
    <t xml:space="preserve">     may be selected by school districts and may differ among school districts.  Additional staff not reported on Form S-275 may be included.  Excluded </t>
  </si>
  <si>
    <t xml:space="preserve">     instructional assistants beginning 2009–10.</t>
  </si>
  <si>
    <t>Dropout Reengagement</t>
  </si>
  <si>
    <t>ALE</t>
  </si>
  <si>
    <t>CPI-U = Consumer Price Index - Urban U.S.</t>
  </si>
  <si>
    <t>2014–15</t>
  </si>
  <si>
    <t xml:space="preserve">   2012–13 from "Economic and Revenue Forecast," November 2013 rev.</t>
  </si>
  <si>
    <t>Used 1251 run 8/22/14</t>
  </si>
  <si>
    <t>Form 1191E Aug 2014)</t>
  </si>
  <si>
    <t xml:space="preserve"> use on Table 4 </t>
  </si>
  <si>
    <t>03</t>
  </si>
  <si>
    <t>Basic Education (01, 02, 03, 31, 34, 45, 97)</t>
  </si>
  <si>
    <t>Basic Ed.—Dropout Reeng.</t>
  </si>
  <si>
    <t>table 9, prog 03</t>
  </si>
  <si>
    <t>Total Classified</t>
  </si>
  <si>
    <t>Per</t>
  </si>
  <si>
    <t>Capita</t>
  </si>
  <si>
    <t>2014–15 Enrollment</t>
  </si>
  <si>
    <t>Used 1251 run 8/18/15</t>
  </si>
  <si>
    <t>Form 1191E Aug 2015)</t>
  </si>
  <si>
    <t>district-run OD*</t>
  </si>
  <si>
    <t>Table 1: Average Base Salaries per 1.0 FTE and per Capita Income</t>
  </si>
  <si>
    <t>Table 2: Full-Time Equivalents and Average Base Salaries per 1.0 FTE</t>
  </si>
  <si>
    <t>2015–16 Enrollment</t>
  </si>
  <si>
    <t>Used 1251 run 1/14/16</t>
  </si>
  <si>
    <t>Form 1191E Jan 2016)</t>
  </si>
  <si>
    <t>new charters: budget - actual</t>
  </si>
  <si>
    <t>less 17937 1418</t>
  </si>
  <si>
    <t>2015–16</t>
  </si>
  <si>
    <t>Elem. Homeroom Teacher</t>
  </si>
  <si>
    <t>34</t>
  </si>
  <si>
    <t>Elem. Specialist Teacher</t>
  </si>
  <si>
    <t>2016–17</t>
  </si>
  <si>
    <t>2016–17 Enrollment</t>
  </si>
  <si>
    <t xml:space="preserve">   2014–15 from "Economic and Revenue Forecast," November 2015 rev.</t>
  </si>
  <si>
    <t>Form 1191E Aug 2017)</t>
  </si>
  <si>
    <t>Used 1251 run 11/30/17</t>
  </si>
  <si>
    <t>2017–18</t>
  </si>
  <si>
    <t>2017–18 Enrollment</t>
  </si>
  <si>
    <t>Used 1251 run 1/15/18</t>
  </si>
  <si>
    <t xml:space="preserve">   2016–17 from "Economic and Revenue Forecast," November 2017 rev.</t>
  </si>
  <si>
    <t>All Programs</t>
  </si>
  <si>
    <t>All Certificated</t>
  </si>
  <si>
    <t>Administrative Certs</t>
  </si>
  <si>
    <t>All Classified</t>
  </si>
  <si>
    <t>Basic Education Programs*</t>
  </si>
  <si>
    <t>Form 1191E Aug 2018)</t>
  </si>
  <si>
    <t>less 17937, 27931 1418</t>
  </si>
  <si>
    <t>2018–19</t>
  </si>
  <si>
    <t>2018–19 Enrollment</t>
  </si>
  <si>
    <t>Form 1191E Jan 2019)</t>
  </si>
  <si>
    <t>Used 1251 run 8/20/19</t>
  </si>
  <si>
    <t>P223S (non-standard)</t>
  </si>
  <si>
    <t>UW &amp; WY</t>
  </si>
  <si>
    <t>-----  Basic Education Programs* ** -----</t>
  </si>
  <si>
    <t>--------------  All Education Programs  --------------</t>
  </si>
  <si>
    <t>----- Certificated Staff -----</t>
  </si>
  <si>
    <t>----------- Certificated Staff -----------</t>
  </si>
  <si>
    <t xml:space="preserve">(Form </t>
  </si>
  <si>
    <t>P-223)**</t>
  </si>
  <si>
    <t>2019–20</t>
  </si>
  <si>
    <t>Behavior Analyst</t>
  </si>
  <si>
    <t>2019–20 Enrollment</t>
  </si>
  <si>
    <t>less 17937, 17941, 27931, &amp; 27932</t>
  </si>
  <si>
    <t>less 17937, 17941, 27931 1418</t>
  </si>
  <si>
    <t>Used 1251 run 1/21/20</t>
  </si>
  <si>
    <t>Table 7: All School Personnel by Duty</t>
  </si>
  <si>
    <t xml:space="preserve">     ~~~~~~~~~~ Average per 1.0 FTE ~~~~~~~~~~</t>
  </si>
  <si>
    <t>1.0 FTE</t>
  </si>
  <si>
    <t>54</t>
  </si>
  <si>
    <t>2020–21</t>
  </si>
  <si>
    <t>2020–21 Enrollment</t>
  </si>
  <si>
    <t>Used 1251 run 1/21/21</t>
  </si>
  <si>
    <t>Form 1191E (Jan 2021)</t>
  </si>
  <si>
    <t xml:space="preserve"> Table 5: Certificated Staff Increase (Decrease) Over 2019–20</t>
  </si>
  <si>
    <t>Adjusted to Constant 2020–21 Dollars</t>
  </si>
  <si>
    <t>N/A</t>
  </si>
  <si>
    <t>2020–21 School Year</t>
  </si>
  <si>
    <t>Avg. staff mix</t>
  </si>
  <si>
    <t xml:space="preserve">   2018–19 from "Economic and Revenue Forecast," November 2019 rev.</t>
  </si>
  <si>
    <t>Basic Ed.—Alt. Lrn. Exp.</t>
  </si>
  <si>
    <t>19</t>
  </si>
  <si>
    <t>26</t>
  </si>
  <si>
    <t>29</t>
  </si>
  <si>
    <t>38</t>
  </si>
  <si>
    <t>39</t>
  </si>
  <si>
    <t>Skill Center—Basic—St.</t>
  </si>
  <si>
    <t>Skill Center—Federal</t>
  </si>
  <si>
    <t>53</t>
  </si>
  <si>
    <t>55</t>
  </si>
  <si>
    <t>56</t>
  </si>
  <si>
    <t>57</t>
  </si>
  <si>
    <t>58</t>
  </si>
  <si>
    <t>59</t>
  </si>
  <si>
    <t>Inst.—Juv in Adult Jails</t>
  </si>
  <si>
    <t>62</t>
  </si>
  <si>
    <t>Limited English Pro—Fed.</t>
  </si>
  <si>
    <t>65</t>
  </si>
  <si>
    <t>67</t>
  </si>
  <si>
    <t>68</t>
  </si>
  <si>
    <t>69</t>
  </si>
  <si>
    <t>71</t>
  </si>
  <si>
    <t>73</t>
  </si>
  <si>
    <t>74</t>
  </si>
  <si>
    <t>76</t>
  </si>
  <si>
    <t>78</t>
  </si>
  <si>
    <t>79</t>
  </si>
  <si>
    <t>81</t>
  </si>
  <si>
    <t>86</t>
  </si>
  <si>
    <t>88</t>
  </si>
  <si>
    <t>Child Care</t>
  </si>
  <si>
    <t>89</t>
  </si>
  <si>
    <t>A. Includes contractor staff.</t>
  </si>
  <si>
    <t xml:space="preserve">*Beginning in 2007–08, an accounting methodology was changed which resulted in fewer special education certificated instructional </t>
  </si>
  <si>
    <t xml:space="preserve">  staff being  partially reported in basic education.</t>
  </si>
  <si>
    <t xml:space="preserve">**Beginning in 1986–87, enrollment figures include P-240 enrollment and exclude special education program student FTEs. For 1988–89 </t>
  </si>
  <si>
    <t xml:space="preserve">   program FTE for UW and direct-funded technical colleges. Enrollment figures for the same period are the enrollments used for </t>
  </si>
  <si>
    <t xml:space="preserve">   apportionment purposes. Only staff assigned to basic education are used in the computation of the ratios. Staff counts used in the </t>
  </si>
  <si>
    <t xml:space="preserve">   ratios for 1978–86 include the basic education portion of special education program staff time. Beginning in 2007–08, enrollment </t>
  </si>
  <si>
    <t xml:space="preserve">   included state-funded full-day kindergarten.</t>
  </si>
  <si>
    <t xml:space="preserve">   Also beginning in 1993–94, enrollment figures exclude Running Start program FTE. Beginning in 1995–96, enrollment figures exclude </t>
  </si>
  <si>
    <t xml:space="preserve">The increases (decreases) over 2019–20 shown on this page are raw data increases (decreases). Included are terminated staff, new staff, staff </t>
  </si>
  <si>
    <t xml:space="preserve">are average base salaries per 1.0 FTE. </t>
  </si>
  <si>
    <t xml:space="preserve">with both administrative and instructional assignments, reassigned staff, salary schedule step increases, and general salary increases. All salaries </t>
  </si>
  <si>
    <t xml:space="preserve"> Table 4: Kindergarten through Twelfth Grade Staff per 1,000 Enrolled Students</t>
  </si>
  <si>
    <t>Kindergarten through Twelfth Grade</t>
  </si>
  <si>
    <t>Table 3: Key Data for All Programs and for Basic Education Programs</t>
  </si>
  <si>
    <t xml:space="preserve"> Table 6: Classified Staff Increase (Decrease) Over 2019–20</t>
  </si>
  <si>
    <t xml:space="preserve">   2020–21 from "Economic and Revenue Forecast," September 2021 rev.</t>
  </si>
  <si>
    <t xml:space="preserve">   1979–2021 from "Economic and Revenue Forecast," September 2021 rev.</t>
  </si>
  <si>
    <t>Form 1191E (Aug 2021)</t>
  </si>
  <si>
    <t>Fed Spec P.—ESSER II</t>
  </si>
  <si>
    <t>14</t>
  </si>
  <si>
    <t>Fed Spec P.—ESSER III—Lr</t>
  </si>
  <si>
    <t>Reading First—Federal</t>
  </si>
  <si>
    <t>CARES Act—Other</t>
  </si>
  <si>
    <t xml:space="preserve">   through 1992–93, enrollment figures further exclude learning center program FTE. Beginning in 1993–94, former learning center </t>
  </si>
  <si>
    <t xml:space="preserve">   enrollment and staff FTE were no longer reported in program 56 and so no longer required adjustment for calculation of these ratios.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</si>
</sst>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_);_(* \(#,##0.00000\);_(* &quot;-&quot;??_);_(@_)"/>
    <numFmt numFmtId="167" formatCode="0.00000"/>
    <numFmt numFmtId="168" formatCode="0.000"/>
    <numFmt numFmtId="169" formatCode="#,##0.0"/>
    <numFmt numFmtId="170" formatCode="_(* #,##0.000_);_(* \(#,##0.000\);_(* &quot;-&quot;???_);_(@_)"/>
    <numFmt numFmtId="171" formatCode="_(* #,##0.0_);_(* \(#,##0.0\);_(* &quot;-&quot;?_);_(@_)"/>
    <numFmt numFmtId="172" formatCode="#,##0.000"/>
    <numFmt numFmtId="173" formatCode="0.0%"/>
    <numFmt numFmtId="174" formatCode="00000"/>
    <numFmt numFmtId="175" formatCode="#,##0.0_);[Red]\(#,##0.0\)"/>
    <numFmt numFmtId="176" formatCode="0.000_);[Red]\(0.000\)"/>
    <numFmt numFmtId="177" formatCode="00"/>
  </numFmts>
  <fonts count="51" x14ac:knownFonts="1">
    <font>
      <sz val="10"/>
      <name val="Arial"/>
    </font>
    <font>
      <sz val="10"/>
      <name val="Arial"/>
      <family val="2"/>
    </font>
    <font>
      <b/>
      <sz val="14"/>
      <name val="Segoe UI"/>
      <family val="2"/>
    </font>
    <font>
      <sz val="14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10"/>
      <name val="Segoe UI"/>
      <family val="2"/>
    </font>
    <font>
      <b/>
      <sz val="8"/>
      <name val="Segoe UI"/>
      <family val="2"/>
    </font>
    <font>
      <b/>
      <sz val="8"/>
      <color indexed="33"/>
      <name val="Segoe UI"/>
      <family val="2"/>
    </font>
    <font>
      <b/>
      <sz val="8"/>
      <color indexed="39"/>
      <name val="Segoe UI"/>
      <family val="2"/>
    </font>
    <font>
      <b/>
      <sz val="8"/>
      <color indexed="17"/>
      <name val="Segoe UI"/>
      <family val="2"/>
    </font>
    <font>
      <b/>
      <sz val="8"/>
      <color indexed="16"/>
      <name val="Segoe UI"/>
      <family val="2"/>
    </font>
    <font>
      <sz val="8"/>
      <color indexed="10"/>
      <name val="Segoe UI"/>
      <family val="2"/>
    </font>
    <font>
      <sz val="8"/>
      <color indexed="16"/>
      <name val="Segoe UI"/>
      <family val="2"/>
    </font>
    <font>
      <sz val="8"/>
      <color indexed="12"/>
      <name val="Segoe UI"/>
      <family val="2"/>
    </font>
    <font>
      <b/>
      <sz val="8"/>
      <color indexed="12"/>
      <name val="Segoe UI"/>
      <family val="2"/>
    </font>
    <font>
      <sz val="8"/>
      <color indexed="14"/>
      <name val="Segoe UI"/>
      <family val="2"/>
    </font>
    <font>
      <i/>
      <sz val="8"/>
      <name val="Segoe UI"/>
      <family val="2"/>
    </font>
    <font>
      <sz val="8"/>
      <color indexed="33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indexed="14"/>
      <name val="Segoe UI"/>
      <family val="2"/>
    </font>
    <font>
      <sz val="11"/>
      <color indexed="28"/>
      <name val="Segoe UI"/>
      <family val="2"/>
    </font>
    <font>
      <sz val="11"/>
      <color indexed="10"/>
      <name val="Segoe UI"/>
      <family val="2"/>
    </font>
    <font>
      <sz val="11"/>
      <color indexed="50"/>
      <name val="Segoe UI"/>
      <family val="2"/>
    </font>
    <font>
      <sz val="11"/>
      <color indexed="25"/>
      <name val="Segoe UI"/>
      <family val="2"/>
    </font>
    <font>
      <sz val="11"/>
      <color indexed="39"/>
      <name val="Segoe UI"/>
      <family val="2"/>
    </font>
    <font>
      <sz val="11"/>
      <color indexed="53"/>
      <name val="Segoe UI"/>
      <family val="2"/>
    </font>
    <font>
      <sz val="11"/>
      <color indexed="33"/>
      <name val="Segoe UI"/>
      <family val="2"/>
    </font>
    <font>
      <sz val="11"/>
      <color indexed="12"/>
      <name val="Segoe UI"/>
      <family val="2"/>
    </font>
    <font>
      <sz val="11"/>
      <color rgb="FF0000FF"/>
      <name val="Segoe UI"/>
      <family val="2"/>
    </font>
    <font>
      <sz val="11"/>
      <color rgb="FFFF0000"/>
      <name val="Segoe UI"/>
      <family val="2"/>
    </font>
    <font>
      <b/>
      <u/>
      <sz val="11"/>
      <name val="Segoe UI"/>
      <family val="2"/>
    </font>
    <font>
      <strike/>
      <sz val="11"/>
      <name val="Segoe UI"/>
      <family val="2"/>
    </font>
    <font>
      <sz val="10"/>
      <color indexed="8"/>
      <name val="Segoe UI"/>
      <family val="2"/>
    </font>
    <font>
      <sz val="11"/>
      <color rgb="FF00B050"/>
      <name val="Segoe UI"/>
      <family val="2"/>
    </font>
    <font>
      <sz val="10"/>
      <color indexed="12"/>
      <name val="Segoe UI"/>
      <family val="2"/>
    </font>
    <font>
      <b/>
      <sz val="10"/>
      <color indexed="52"/>
      <name val="Segoe UI"/>
      <family val="2"/>
    </font>
    <font>
      <sz val="10"/>
      <color indexed="16"/>
      <name val="Segoe UI"/>
      <family val="2"/>
    </font>
    <font>
      <sz val="10"/>
      <color indexed="18"/>
      <name val="Segoe UI"/>
      <family val="2"/>
    </font>
    <font>
      <sz val="10"/>
      <color indexed="10"/>
      <name val="Segoe UI"/>
      <family val="2"/>
    </font>
    <font>
      <sz val="10"/>
      <color indexed="14"/>
      <name val="Segoe UI"/>
      <family val="2"/>
    </font>
    <font>
      <sz val="10"/>
      <color indexed="62"/>
      <name val="Segoe UI"/>
      <family val="2"/>
    </font>
    <font>
      <b/>
      <sz val="10"/>
      <color indexed="10"/>
      <name val="Segoe UI"/>
      <family val="2"/>
    </font>
    <font>
      <sz val="10"/>
      <color indexed="52"/>
      <name val="Segoe UI"/>
      <family val="2"/>
    </font>
    <font>
      <sz val="10"/>
      <color indexed="17"/>
      <name val="Segoe UI"/>
      <family val="2"/>
    </font>
    <font>
      <b/>
      <sz val="14"/>
      <color rgb="FFFFFFFF"/>
      <name val="Segoe UI"/>
      <family val="2"/>
    </font>
    <font>
      <b/>
      <sz val="12"/>
      <color rgb="FFFFFFFF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13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D5761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2">
    <xf numFmtId="0" fontId="0" fillId="0" borderId="0" xfId="0"/>
    <xf numFmtId="0" fontId="3" fillId="3" borderId="12" xfId="0" applyFont="1" applyFill="1" applyBorder="1" applyAlignment="1">
      <alignment horizontal="centerContinuous"/>
    </xf>
    <xf numFmtId="0" fontId="3" fillId="3" borderId="34" xfId="0" applyFont="1" applyFill="1" applyBorder="1" applyAlignment="1">
      <alignment horizontal="centerContinuous"/>
    </xf>
    <xf numFmtId="0" fontId="6" fillId="0" borderId="98" xfId="0" applyFont="1" applyBorder="1" applyAlignment="1"/>
    <xf numFmtId="0" fontId="6" fillId="0" borderId="0" xfId="0" applyFont="1"/>
    <xf numFmtId="0" fontId="8" fillId="0" borderId="0" xfId="0" applyFont="1"/>
    <xf numFmtId="3" fontId="7" fillId="0" borderId="0" xfId="0" applyNumberFormat="1" applyFont="1" applyFill="1" applyAlignment="1">
      <alignment horizontal="right"/>
    </xf>
    <xf numFmtId="4" fontId="7" fillId="0" borderId="66" xfId="0" applyNumberFormat="1" applyFont="1" applyFill="1" applyBorder="1" applyAlignment="1">
      <alignment horizontal="right"/>
    </xf>
    <xf numFmtId="0" fontId="9" fillId="7" borderId="48" xfId="0" applyFont="1" applyFill="1" applyBorder="1"/>
    <xf numFmtId="0" fontId="8" fillId="7" borderId="49" xfId="0" applyFont="1" applyFill="1" applyBorder="1"/>
    <xf numFmtId="0" fontId="8" fillId="7" borderId="50" xfId="0" applyFont="1" applyFill="1" applyBorder="1"/>
    <xf numFmtId="0" fontId="10" fillId="0" borderId="0" xfId="0" applyFont="1"/>
    <xf numFmtId="0" fontId="9" fillId="0" borderId="0" xfId="0" quotePrefix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3" fontId="8" fillId="0" borderId="3" xfId="1" applyNumberFormat="1" applyFont="1" applyBorder="1"/>
    <xf numFmtId="0" fontId="9" fillId="0" borderId="51" xfId="0" applyFont="1" applyBorder="1"/>
    <xf numFmtId="0" fontId="8" fillId="0" borderId="52" xfId="0" applyFont="1" applyBorder="1"/>
    <xf numFmtId="0" fontId="8" fillId="0" borderId="53" xfId="0" applyFont="1" applyBorder="1"/>
    <xf numFmtId="0" fontId="11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43" fontId="8" fillId="0" borderId="4" xfId="0" applyNumberFormat="1" applyFont="1" applyBorder="1"/>
    <xf numFmtId="4" fontId="9" fillId="0" borderId="55" xfId="0" applyNumberFormat="1" applyFont="1" applyBorder="1"/>
    <xf numFmtId="43" fontId="11" fillId="0" borderId="55" xfId="1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/>
    <xf numFmtId="4" fontId="8" fillId="0" borderId="38" xfId="0" applyNumberFormat="1" applyFont="1" applyBorder="1"/>
    <xf numFmtId="0" fontId="8" fillId="0" borderId="38" xfId="0" applyFont="1" applyBorder="1"/>
    <xf numFmtId="43" fontId="8" fillId="0" borderId="38" xfId="0" applyNumberFormat="1" applyFont="1" applyBorder="1"/>
    <xf numFmtId="43" fontId="11" fillId="0" borderId="51" xfId="1" applyNumberFormat="1" applyFont="1" applyBorder="1"/>
    <xf numFmtId="0" fontId="11" fillId="0" borderId="45" xfId="0" applyFont="1" applyBorder="1"/>
    <xf numFmtId="4" fontId="8" fillId="0" borderId="53" xfId="0" applyNumberFormat="1" applyFont="1" applyBorder="1"/>
    <xf numFmtId="4" fontId="9" fillId="0" borderId="54" xfId="0" applyNumberFormat="1" applyFont="1" applyBorder="1"/>
    <xf numFmtId="0" fontId="9" fillId="0" borderId="56" xfId="0" applyFont="1" applyBorder="1"/>
    <xf numFmtId="4" fontId="9" fillId="0" borderId="39" xfId="0" applyNumberFormat="1" applyFont="1" applyBorder="1"/>
    <xf numFmtId="43" fontId="11" fillId="0" borderId="57" xfId="1" applyNumberFormat="1" applyFont="1" applyBorder="1"/>
    <xf numFmtId="0" fontId="11" fillId="0" borderId="27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3" fontId="12" fillId="0" borderId="52" xfId="1" applyFont="1" applyBorder="1"/>
    <xf numFmtId="0" fontId="12" fillId="0" borderId="52" xfId="0" applyFont="1" applyBorder="1"/>
    <xf numFmtId="43" fontId="12" fillId="0" borderId="0" xfId="1" applyFont="1" applyBorder="1"/>
    <xf numFmtId="0" fontId="12" fillId="0" borderId="0" xfId="0" applyFont="1" applyBorder="1"/>
    <xf numFmtId="43" fontId="8" fillId="0" borderId="3" xfId="1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5" xfId="0" applyFont="1" applyBorder="1"/>
    <xf numFmtId="43" fontId="12" fillId="0" borderId="105" xfId="1" applyFont="1" applyBorder="1"/>
    <xf numFmtId="0" fontId="12" fillId="0" borderId="4" xfId="0" applyFont="1" applyBorder="1"/>
    <xf numFmtId="43" fontId="10" fillId="0" borderId="3" xfId="1" applyNumberFormat="1" applyFont="1" applyBorder="1" applyAlignment="1">
      <alignment horizontal="right"/>
    </xf>
    <xf numFmtId="43" fontId="10" fillId="0" borderId="3" xfId="1" applyNumberFormat="1" applyFont="1" applyBorder="1"/>
    <xf numFmtId="0" fontId="8" fillId="0" borderId="0" xfId="0" applyFont="1" applyAlignment="1">
      <alignment horizontal="right"/>
    </xf>
    <xf numFmtId="43" fontId="12" fillId="0" borderId="39" xfId="1" applyFont="1" applyBorder="1"/>
    <xf numFmtId="49" fontId="10" fillId="0" borderId="53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3" fillId="0" borderId="58" xfId="0" applyFont="1" applyBorder="1" applyAlignment="1">
      <alignment horizontal="right"/>
    </xf>
    <xf numFmtId="2" fontId="10" fillId="0" borderId="59" xfId="0" applyNumberFormat="1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61" xfId="0" applyFont="1" applyBorder="1" applyAlignment="1">
      <alignment horizontal="right"/>
    </xf>
    <xf numFmtId="43" fontId="13" fillId="0" borderId="0" xfId="1" applyFont="1" applyBorder="1"/>
    <xf numFmtId="43" fontId="13" fillId="0" borderId="0" xfId="1" applyFont="1" applyBorder="1" applyAlignment="1">
      <alignment horizontal="center"/>
    </xf>
    <xf numFmtId="43" fontId="13" fillId="0" borderId="62" xfId="1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3" xfId="0" applyFont="1" applyBorder="1" applyAlignment="1">
      <alignment horizontal="right"/>
    </xf>
    <xf numFmtId="43" fontId="13" fillId="0" borderId="64" xfId="1" applyFont="1" applyBorder="1"/>
    <xf numFmtId="43" fontId="13" fillId="0" borderId="65" xfId="1" applyFont="1" applyBorder="1"/>
    <xf numFmtId="43" fontId="8" fillId="0" borderId="0" xfId="1" applyNumberFormat="1" applyFont="1" applyBorder="1"/>
    <xf numFmtId="2" fontId="13" fillId="0" borderId="0" xfId="0" applyNumberFormat="1" applyFont="1" applyBorder="1" applyAlignment="1">
      <alignment horizontal="center"/>
    </xf>
    <xf numFmtId="165" fontId="8" fillId="0" borderId="0" xfId="1" applyNumberFormat="1" applyFont="1" applyBorder="1"/>
    <xf numFmtId="165" fontId="8" fillId="0" borderId="3" xfId="1" applyNumberFormat="1" applyFont="1" applyBorder="1"/>
    <xf numFmtId="0" fontId="8" fillId="0" borderId="66" xfId="0" applyFont="1" applyBorder="1" applyAlignment="1">
      <alignment horizontal="center"/>
    </xf>
    <xf numFmtId="43" fontId="8" fillId="0" borderId="0" xfId="0" applyNumberFormat="1" applyFont="1" applyBorder="1"/>
    <xf numFmtId="0" fontId="8" fillId="0" borderId="66" xfId="0" applyFont="1" applyBorder="1" applyAlignment="1">
      <alignment horizontal="right"/>
    </xf>
    <xf numFmtId="165" fontId="8" fillId="0" borderId="38" xfId="1" applyNumberFormat="1" applyFont="1" applyBorder="1"/>
    <xf numFmtId="0" fontId="9" fillId="0" borderId="52" xfId="0" applyFont="1" applyBorder="1"/>
    <xf numFmtId="0" fontId="9" fillId="0" borderId="54" xfId="0" applyFont="1" applyBorder="1"/>
    <xf numFmtId="165" fontId="8" fillId="0" borderId="4" xfId="1" applyNumberFormat="1" applyFont="1" applyBorder="1"/>
    <xf numFmtId="165" fontId="9" fillId="0" borderId="55" xfId="0" applyNumberFormat="1" applyFont="1" applyBorder="1"/>
    <xf numFmtId="165" fontId="11" fillId="0" borderId="55" xfId="1" applyNumberFormat="1" applyFont="1" applyFill="1" applyBorder="1"/>
    <xf numFmtId="0" fontId="9" fillId="0" borderId="4" xfId="0" applyFont="1" applyBorder="1"/>
    <xf numFmtId="165" fontId="8" fillId="0" borderId="0" xfId="1" applyNumberFormat="1" applyFont="1"/>
    <xf numFmtId="164" fontId="8" fillId="0" borderId="0" xfId="1" applyNumberFormat="1" applyFont="1"/>
    <xf numFmtId="165" fontId="8" fillId="0" borderId="66" xfId="0" applyNumberFormat="1" applyFont="1" applyBorder="1"/>
    <xf numFmtId="165" fontId="8" fillId="0" borderId="38" xfId="0" applyNumberFormat="1" applyFont="1" applyBorder="1"/>
    <xf numFmtId="3" fontId="8" fillId="0" borderId="0" xfId="0" applyNumberFormat="1" applyFont="1"/>
    <xf numFmtId="165" fontId="8" fillId="0" borderId="53" xfId="1" applyNumberFormat="1" applyFont="1" applyBorder="1"/>
    <xf numFmtId="0" fontId="9" fillId="0" borderId="0" xfId="0" applyFont="1"/>
    <xf numFmtId="43" fontId="8" fillId="0" borderId="0" xfId="0" applyNumberFormat="1" applyFont="1"/>
    <xf numFmtId="0" fontId="11" fillId="0" borderId="0" xfId="0" applyFont="1" applyAlignment="1">
      <alignment horizontal="center"/>
    </xf>
    <xf numFmtId="165" fontId="9" fillId="0" borderId="38" xfId="0" applyNumberFormat="1" applyFont="1" applyBorder="1"/>
    <xf numFmtId="165" fontId="11" fillId="0" borderId="0" xfId="1" applyNumberFormat="1" applyFont="1"/>
    <xf numFmtId="41" fontId="11" fillId="0" borderId="0" xfId="1" applyNumberFormat="1" applyFont="1"/>
    <xf numFmtId="165" fontId="8" fillId="0" borderId="3" xfId="0" applyNumberFormat="1" applyFont="1" applyBorder="1"/>
    <xf numFmtId="165" fontId="10" fillId="0" borderId="3" xfId="1" applyNumberFormat="1" applyFont="1" applyBorder="1"/>
    <xf numFmtId="0" fontId="8" fillId="0" borderId="0" xfId="0" applyFont="1" applyAlignment="1">
      <alignment horizontal="center" wrapText="1"/>
    </xf>
    <xf numFmtId="3" fontId="8" fillId="0" borderId="0" xfId="0" quotePrefix="1" applyNumberFormat="1" applyFont="1" applyAlignment="1"/>
    <xf numFmtId="3" fontId="8" fillId="0" borderId="0" xfId="0" applyNumberFormat="1" applyFont="1" applyAlignme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Alignment="1">
      <alignment horizontal="center"/>
    </xf>
    <xf numFmtId="0" fontId="8" fillId="0" borderId="1" xfId="0" applyFont="1" applyBorder="1"/>
    <xf numFmtId="49" fontId="8" fillId="0" borderId="0" xfId="0" applyNumberFormat="1" applyFont="1" applyAlignment="1">
      <alignment horizontal="center"/>
    </xf>
    <xf numFmtId="0" fontId="8" fillId="0" borderId="9" xfId="0" applyFont="1" applyBorder="1"/>
    <xf numFmtId="41" fontId="8" fillId="0" borderId="10" xfId="0" applyNumberFormat="1" applyFont="1" applyBorder="1"/>
    <xf numFmtId="41" fontId="8" fillId="0" borderId="10" xfId="1" applyNumberFormat="1" applyFont="1" applyBorder="1"/>
    <xf numFmtId="43" fontId="8" fillId="0" borderId="0" xfId="1" applyFont="1"/>
    <xf numFmtId="41" fontId="8" fillId="0" borderId="74" xfId="0" applyNumberFormat="1" applyFont="1" applyBorder="1"/>
    <xf numFmtId="0" fontId="8" fillId="0" borderId="74" xfId="0" applyFont="1" applyBorder="1"/>
    <xf numFmtId="0" fontId="9" fillId="0" borderId="74" xfId="0" applyFont="1" applyBorder="1"/>
    <xf numFmtId="0" fontId="9" fillId="0" borderId="32" xfId="0" applyFont="1" applyBorder="1"/>
    <xf numFmtId="43" fontId="14" fillId="0" borderId="0" xfId="0" applyNumberFormat="1" applyFont="1"/>
    <xf numFmtId="0" fontId="8" fillId="0" borderId="13" xfId="0" applyFont="1" applyBorder="1"/>
    <xf numFmtId="41" fontId="8" fillId="0" borderId="0" xfId="0" applyNumberFormat="1" applyFont="1" applyBorder="1"/>
    <xf numFmtId="41" fontId="8" fillId="0" borderId="0" xfId="1" applyNumberFormat="1" applyFont="1" applyBorder="1"/>
    <xf numFmtId="41" fontId="8" fillId="0" borderId="56" xfId="0" applyNumberFormat="1" applyFont="1" applyBorder="1"/>
    <xf numFmtId="0" fontId="9" fillId="0" borderId="75" xfId="0" applyFont="1" applyBorder="1"/>
    <xf numFmtId="0" fontId="8" fillId="0" borderId="11" xfId="0" applyFont="1" applyBorder="1"/>
    <xf numFmtId="41" fontId="8" fillId="0" borderId="1" xfId="0" applyNumberFormat="1" applyFont="1" applyBorder="1"/>
    <xf numFmtId="41" fontId="8" fillId="0" borderId="1" xfId="1" applyNumberFormat="1" applyFont="1" applyBorder="1"/>
    <xf numFmtId="43" fontId="8" fillId="0" borderId="1" xfId="1" applyFont="1" applyBorder="1"/>
    <xf numFmtId="41" fontId="8" fillId="0" borderId="76" xfId="0" applyNumberFormat="1" applyFont="1" applyBorder="1"/>
    <xf numFmtId="43" fontId="9" fillId="0" borderId="76" xfId="0" applyNumberFormat="1" applyFont="1" applyBorder="1" applyAlignment="1">
      <alignment horizontal="center"/>
    </xf>
    <xf numFmtId="165" fontId="9" fillId="0" borderId="76" xfId="0" applyNumberFormat="1" applyFont="1" applyBorder="1" applyAlignment="1">
      <alignment horizontal="center"/>
    </xf>
    <xf numFmtId="166" fontId="15" fillId="0" borderId="33" xfId="1" applyNumberFormat="1" applyFont="1" applyBorder="1" applyAlignment="1">
      <alignment horizontal="center"/>
    </xf>
    <xf numFmtId="41" fontId="8" fillId="0" borderId="0" xfId="0" applyNumberFormat="1" applyFont="1"/>
    <xf numFmtId="0" fontId="8" fillId="0" borderId="19" xfId="0" applyFont="1" applyBorder="1"/>
    <xf numFmtId="0" fontId="8" fillId="0" borderId="56" xfId="0" applyFont="1" applyBorder="1"/>
    <xf numFmtId="0" fontId="8" fillId="0" borderId="20" xfId="0" applyFont="1" applyBorder="1"/>
    <xf numFmtId="0" fontId="8" fillId="0" borderId="77" xfId="0" applyFont="1" applyBorder="1"/>
    <xf numFmtId="0" fontId="14" fillId="0" borderId="0" xfId="0" applyFont="1"/>
    <xf numFmtId="0" fontId="9" fillId="0" borderId="77" xfId="0" applyFont="1" applyBorder="1"/>
    <xf numFmtId="0" fontId="9" fillId="0" borderId="38" xfId="0" applyFont="1" applyBorder="1"/>
    <xf numFmtId="165" fontId="14" fillId="0" borderId="0" xfId="0" applyNumberFormat="1" applyFont="1"/>
    <xf numFmtId="165" fontId="14" fillId="0" borderId="0" xfId="1" applyNumberFormat="1" applyFont="1"/>
    <xf numFmtId="43" fontId="9" fillId="0" borderId="31" xfId="0" applyNumberFormat="1" applyFont="1" applyBorder="1"/>
    <xf numFmtId="166" fontId="15" fillId="0" borderId="36" xfId="1" applyNumberFormat="1" applyFont="1" applyBorder="1"/>
    <xf numFmtId="167" fontId="14" fillId="0" borderId="0" xfId="0" applyNumberFormat="1" applyFont="1"/>
    <xf numFmtId="0" fontId="8" fillId="0" borderId="10" xfId="0" applyFont="1" applyBorder="1"/>
    <xf numFmtId="43" fontId="15" fillId="0" borderId="13" xfId="1" applyFont="1" applyBorder="1"/>
    <xf numFmtId="0" fontId="15" fillId="0" borderId="77" xfId="0" applyFont="1" applyBorder="1"/>
    <xf numFmtId="43" fontId="15" fillId="0" borderId="38" xfId="0" applyNumberFormat="1" applyFont="1" applyBorder="1"/>
    <xf numFmtId="41" fontId="15" fillId="0" borderId="56" xfId="0" applyNumberFormat="1" applyFont="1" applyBorder="1"/>
    <xf numFmtId="0" fontId="15" fillId="0" borderId="0" xfId="0" applyFont="1" applyBorder="1"/>
    <xf numFmtId="165" fontId="9" fillId="0" borderId="76" xfId="1" applyNumberFormat="1" applyFont="1" applyBorder="1"/>
    <xf numFmtId="166" fontId="15" fillId="0" borderId="1" xfId="1" applyNumberFormat="1" applyFont="1" applyBorder="1"/>
    <xf numFmtId="43" fontId="15" fillId="0" borderId="11" xfId="0" applyNumberFormat="1" applyFont="1" applyBorder="1"/>
    <xf numFmtId="0" fontId="15" fillId="0" borderId="36" xfId="0" applyFont="1" applyBorder="1"/>
    <xf numFmtId="0" fontId="16" fillId="0" borderId="0" xfId="0" applyFont="1"/>
    <xf numFmtId="165" fontId="14" fillId="0" borderId="0" xfId="0" applyNumberFormat="1" applyFont="1" applyAlignment="1">
      <alignment horizontal="left"/>
    </xf>
    <xf numFmtId="165" fontId="9" fillId="0" borderId="56" xfId="1" applyNumberFormat="1" applyFont="1" applyBorder="1"/>
    <xf numFmtId="41" fontId="17" fillId="0" borderId="0" xfId="1" applyNumberFormat="1" applyFont="1" applyBorder="1"/>
    <xf numFmtId="0" fontId="18" fillId="0" borderId="19" xfId="0" applyFont="1" applyBorder="1"/>
    <xf numFmtId="0" fontId="18" fillId="0" borderId="20" xfId="0" applyFont="1" applyBorder="1"/>
    <xf numFmtId="43" fontId="17" fillId="0" borderId="56" xfId="0" applyNumberFormat="1" applyFont="1" applyBorder="1"/>
    <xf numFmtId="41" fontId="17" fillId="0" borderId="38" xfId="0" applyNumberFormat="1" applyFont="1" applyBorder="1"/>
    <xf numFmtId="0" fontId="17" fillId="0" borderId="77" xfId="0" applyFont="1" applyBorder="1"/>
    <xf numFmtId="0" fontId="17" fillId="0" borderId="0" xfId="0" applyFont="1" applyBorder="1"/>
    <xf numFmtId="41" fontId="17" fillId="0" borderId="1" xfId="1" applyNumberFormat="1" applyFont="1" applyBorder="1"/>
    <xf numFmtId="43" fontId="18" fillId="0" borderId="76" xfId="0" applyNumberFormat="1" applyFont="1" applyBorder="1"/>
    <xf numFmtId="165" fontId="18" fillId="0" borderId="76" xfId="1" applyNumberFormat="1" applyFont="1" applyBorder="1"/>
    <xf numFmtId="166" fontId="17" fillId="0" borderId="36" xfId="1" applyNumberFormat="1" applyFont="1" applyBorder="1"/>
    <xf numFmtId="0" fontId="17" fillId="0" borderId="11" xfId="0" applyFont="1" applyBorder="1"/>
    <xf numFmtId="0" fontId="8" fillId="0" borderId="36" xfId="0" applyFont="1" applyBorder="1"/>
    <xf numFmtId="0" fontId="15" fillId="0" borderId="0" xfId="0" applyFont="1"/>
    <xf numFmtId="41" fontId="10" fillId="0" borderId="0" xfId="0" applyNumberFormat="1" applyFont="1"/>
    <xf numFmtId="0" fontId="19" fillId="0" borderId="0" xfId="0" applyFont="1"/>
    <xf numFmtId="43" fontId="19" fillId="0" borderId="0" xfId="1" applyFont="1"/>
    <xf numFmtId="43" fontId="15" fillId="0" borderId="0" xfId="0" applyNumberFormat="1" applyFont="1" applyBorder="1"/>
    <xf numFmtId="165" fontId="15" fillId="0" borderId="0" xfId="1" applyNumberFormat="1" applyFont="1"/>
    <xf numFmtId="41" fontId="9" fillId="0" borderId="0" xfId="0" applyNumberFormat="1" applyFont="1"/>
    <xf numFmtId="43" fontId="9" fillId="0" borderId="3" xfId="0" applyNumberFormat="1" applyFont="1" applyBorder="1"/>
    <xf numFmtId="41" fontId="9" fillId="0" borderId="27" xfId="1" applyNumberFormat="1" applyFont="1" applyBorder="1"/>
    <xf numFmtId="41" fontId="8" fillId="0" borderId="0" xfId="1" applyNumberFormat="1" applyFont="1"/>
    <xf numFmtId="165" fontId="8" fillId="0" borderId="0" xfId="0" applyNumberFormat="1" applyFont="1"/>
    <xf numFmtId="0" fontId="15" fillId="0" borderId="3" xfId="0" applyFont="1" applyBorder="1"/>
    <xf numFmtId="41" fontId="15" fillId="0" borderId="0" xfId="0" applyNumberFormat="1" applyFont="1"/>
    <xf numFmtId="43" fontId="15" fillId="0" borderId="3" xfId="0" applyNumberFormat="1" applyFont="1" applyBorder="1"/>
    <xf numFmtId="165" fontId="15" fillId="0" borderId="3" xfId="1" applyNumberFormat="1" applyFont="1" applyBorder="1"/>
    <xf numFmtId="0" fontId="8" fillId="5" borderId="0" xfId="0" applyFont="1" applyFill="1"/>
    <xf numFmtId="0" fontId="8" fillId="0" borderId="41" xfId="0" applyFont="1" applyBorder="1"/>
    <xf numFmtId="0" fontId="10" fillId="0" borderId="41" xfId="0" applyFont="1" applyBorder="1" applyAlignment="1">
      <alignment horizontal="centerContinuous"/>
    </xf>
    <xf numFmtId="0" fontId="8" fillId="0" borderId="0" xfId="0" quotePrefix="1" applyFont="1" applyAlignment="1"/>
    <xf numFmtId="0" fontId="8" fillId="0" borderId="41" xfId="0" quotePrefix="1" applyFont="1" applyBorder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center" vertical="top" wrapText="1"/>
    </xf>
    <xf numFmtId="43" fontId="8" fillId="0" borderId="38" xfId="1" applyFont="1" applyBorder="1"/>
    <xf numFmtId="40" fontId="8" fillId="0" borderId="38" xfId="0" applyNumberFormat="1" applyFont="1" applyBorder="1"/>
    <xf numFmtId="43" fontId="8" fillId="0" borderId="0" xfId="1" applyFont="1" applyBorder="1"/>
    <xf numFmtId="43" fontId="20" fillId="0" borderId="0" xfId="1" applyFont="1"/>
    <xf numFmtId="43" fontId="8" fillId="0" borderId="0" xfId="1" applyFont="1" applyFill="1"/>
    <xf numFmtId="0" fontId="8" fillId="0" borderId="0" xfId="0" applyFont="1" applyFill="1"/>
    <xf numFmtId="43" fontId="8" fillId="0" borderId="38" xfId="1" applyFont="1" applyFill="1" applyBorder="1"/>
    <xf numFmtId="43" fontId="8" fillId="0" borderId="0" xfId="0" applyNumberFormat="1" applyFont="1" applyFill="1"/>
    <xf numFmtId="0" fontId="8" fillId="0" borderId="41" xfId="0" applyFont="1" applyFill="1" applyBorder="1"/>
    <xf numFmtId="43" fontId="8" fillId="0" borderId="31" xfId="1" applyFont="1" applyBorder="1"/>
    <xf numFmtId="43" fontId="8" fillId="0" borderId="1" xfId="0" applyNumberFormat="1" applyFont="1" applyBorder="1"/>
    <xf numFmtId="43" fontId="20" fillId="0" borderId="1" xfId="1" applyFont="1" applyBorder="1"/>
    <xf numFmtId="43" fontId="8" fillId="0" borderId="1" xfId="1" applyFont="1" applyFill="1" applyBorder="1"/>
    <xf numFmtId="43" fontId="8" fillId="0" borderId="1" xfId="0" applyNumberFormat="1" applyFont="1" applyFill="1" applyBorder="1"/>
    <xf numFmtId="0" fontId="16" fillId="0" borderId="0" xfId="0" applyFont="1" applyAlignment="1">
      <alignment wrapText="1"/>
    </xf>
    <xf numFmtId="43" fontId="16" fillId="0" borderId="0" xfId="0" applyNumberFormat="1" applyFont="1"/>
    <xf numFmtId="43" fontId="16" fillId="0" borderId="0" xfId="0" applyNumberFormat="1" applyFont="1" applyFill="1" applyBorder="1"/>
    <xf numFmtId="43" fontId="16" fillId="6" borderId="0" xfId="0" applyNumberFormat="1" applyFont="1" applyFill="1"/>
    <xf numFmtId="43" fontId="16" fillId="0" borderId="0" xfId="0" applyNumberFormat="1" applyFont="1" applyBorder="1"/>
    <xf numFmtId="43" fontId="16" fillId="0" borderId="0" xfId="0" applyNumberFormat="1" applyFont="1" applyFill="1"/>
    <xf numFmtId="43" fontId="8" fillId="6" borderId="10" xfId="0" applyNumberFormat="1" applyFont="1" applyFill="1" applyBorder="1"/>
    <xf numFmtId="43" fontId="8" fillId="0" borderId="10" xfId="0" applyNumberFormat="1" applyFont="1" applyFill="1" applyBorder="1"/>
    <xf numFmtId="43" fontId="8" fillId="0" borderId="4" xfId="1" applyFont="1" applyBorder="1"/>
    <xf numFmtId="43" fontId="16" fillId="0" borderId="0" xfId="1" applyFont="1" applyBorder="1"/>
    <xf numFmtId="43" fontId="8" fillId="10" borderId="0" xfId="1" applyFont="1" applyFill="1" applyBorder="1"/>
    <xf numFmtId="43" fontId="8" fillId="10" borderId="4" xfId="1" applyFont="1" applyFill="1" applyBorder="1"/>
    <xf numFmtId="43" fontId="21" fillId="0" borderId="3" xfId="1" applyFont="1" applyBorder="1"/>
    <xf numFmtId="43" fontId="8" fillId="0" borderId="3" xfId="0" applyNumberFormat="1" applyFont="1" applyBorder="1"/>
    <xf numFmtId="43" fontId="8" fillId="0" borderId="40" xfId="0" applyNumberFormat="1" applyFont="1" applyBorder="1"/>
    <xf numFmtId="43" fontId="8" fillId="9" borderId="3" xfId="1" applyFont="1" applyFill="1" applyBorder="1"/>
    <xf numFmtId="40" fontId="8" fillId="0" borderId="0" xfId="0" applyNumberFormat="1" applyFont="1"/>
    <xf numFmtId="43" fontId="8" fillId="0" borderId="39" xfId="0" applyNumberFormat="1" applyFont="1" applyFill="1" applyBorder="1"/>
    <xf numFmtId="43" fontId="8" fillId="9" borderId="0" xfId="1" applyFont="1" applyFill="1"/>
    <xf numFmtId="43" fontId="8" fillId="0" borderId="3" xfId="0" applyNumberFormat="1" applyFont="1" applyFill="1" applyBorder="1"/>
    <xf numFmtId="0" fontId="8" fillId="0" borderId="30" xfId="0" applyFont="1" applyFill="1" applyBorder="1"/>
    <xf numFmtId="0" fontId="8" fillId="0" borderId="40" xfId="0" applyFont="1" applyFill="1" applyBorder="1"/>
    <xf numFmtId="4" fontId="8" fillId="3" borderId="0" xfId="0" applyNumberFormat="1" applyFont="1" applyFill="1"/>
    <xf numFmtId="0" fontId="8" fillId="3" borderId="0" xfId="0" applyFont="1" applyFill="1"/>
    <xf numFmtId="0" fontId="8" fillId="10" borderId="0" xfId="0" applyFont="1" applyFill="1"/>
    <xf numFmtId="4" fontId="8" fillId="10" borderId="0" xfId="0" applyNumberFormat="1" applyFont="1" applyFill="1"/>
    <xf numFmtId="43" fontId="8" fillId="6" borderId="0" xfId="0" applyNumberFormat="1" applyFont="1" applyFill="1"/>
    <xf numFmtId="0" fontId="8" fillId="6" borderId="0" xfId="0" applyFont="1" applyFill="1"/>
    <xf numFmtId="0" fontId="4" fillId="0" borderId="0" xfId="3" applyFont="1"/>
    <xf numFmtId="0" fontId="4" fillId="0" borderId="0" xfId="12" applyFont="1"/>
    <xf numFmtId="0" fontId="4" fillId="0" borderId="0" xfId="3" applyFont="1" applyAlignment="1"/>
    <xf numFmtId="0" fontId="23" fillId="0" borderId="0" xfId="0" applyFont="1"/>
    <xf numFmtId="172" fontId="23" fillId="0" borderId="0" xfId="0" applyNumberFormat="1" applyFont="1"/>
    <xf numFmtId="0" fontId="22" fillId="0" borderId="9" xfId="0" applyFont="1" applyBorder="1" applyAlignment="1"/>
    <xf numFmtId="0" fontId="22" fillId="0" borderId="10" xfId="0" applyFont="1" applyBorder="1" applyAlignment="1"/>
    <xf numFmtId="0" fontId="22" fillId="0" borderId="20" xfId="0" applyFont="1" applyBorder="1" applyAlignment="1"/>
    <xf numFmtId="0" fontId="23" fillId="0" borderId="13" xfId="0" applyFont="1" applyBorder="1" applyAlignment="1"/>
    <xf numFmtId="0" fontId="23" fillId="0" borderId="0" xfId="0" applyFont="1" applyBorder="1" applyAlignment="1"/>
    <xf numFmtId="0" fontId="23" fillId="0" borderId="77" xfId="0" applyFont="1" applyBorder="1" applyAlignment="1"/>
    <xf numFmtId="0" fontId="23" fillId="0" borderId="13" xfId="0" applyFont="1" applyBorder="1"/>
    <xf numFmtId="172" fontId="23" fillId="0" borderId="77" xfId="0" applyNumberFormat="1" applyFont="1" applyBorder="1"/>
    <xf numFmtId="0" fontId="23" fillId="0" borderId="0" xfId="0" applyFont="1" applyBorder="1"/>
    <xf numFmtId="0" fontId="23" fillId="0" borderId="77" xfId="0" applyFont="1" applyBorder="1"/>
    <xf numFmtId="0" fontId="23" fillId="0" borderId="13" xfId="0" applyFont="1" applyBorder="1" applyAlignment="1">
      <alignment horizontal="right"/>
    </xf>
    <xf numFmtId="172" fontId="23" fillId="0" borderId="77" xfId="0" applyNumberFormat="1" applyFont="1" applyBorder="1" applyAlignment="1">
      <alignment horizontal="right"/>
    </xf>
    <xf numFmtId="42" fontId="23" fillId="0" borderId="3" xfId="0" applyNumberFormat="1" applyFont="1" applyBorder="1" applyAlignment="1"/>
    <xf numFmtId="0" fontId="23" fillId="0" borderId="3" xfId="0" applyFont="1" applyBorder="1"/>
    <xf numFmtId="42" fontId="23" fillId="0" borderId="117" xfId="0" applyNumberFormat="1" applyFont="1" applyBorder="1" applyAlignment="1"/>
    <xf numFmtId="9" fontId="23" fillId="0" borderId="3" xfId="0" applyNumberFormat="1" applyFont="1" applyBorder="1" applyAlignment="1"/>
    <xf numFmtId="0" fontId="23" fillId="0" borderId="3" xfId="0" applyFont="1" applyBorder="1" applyAlignment="1"/>
    <xf numFmtId="172" fontId="23" fillId="0" borderId="28" xfId="0" applyNumberFormat="1" applyFont="1" applyBorder="1" applyAlignment="1"/>
    <xf numFmtId="42" fontId="23" fillId="0" borderId="73" xfId="0" applyNumberFormat="1" applyFont="1" applyBorder="1" applyAlignment="1">
      <alignment horizontal="center"/>
    </xf>
    <xf numFmtId="172" fontId="23" fillId="0" borderId="118" xfId="0" applyNumberFormat="1" applyFont="1" applyBorder="1" applyAlignment="1"/>
    <xf numFmtId="164" fontId="23" fillId="0" borderId="0" xfId="1" applyNumberFormat="1" applyFont="1"/>
    <xf numFmtId="172" fontId="23" fillId="0" borderId="77" xfId="1" applyNumberFormat="1" applyFont="1" applyBorder="1"/>
    <xf numFmtId="165" fontId="24" fillId="0" borderId="0" xfId="1" applyNumberFormat="1" applyFont="1"/>
    <xf numFmtId="17" fontId="24" fillId="0" borderId="77" xfId="0" applyNumberFormat="1" applyFont="1" applyBorder="1"/>
    <xf numFmtId="0" fontId="24" fillId="0" borderId="77" xfId="0" applyFont="1" applyBorder="1"/>
    <xf numFmtId="165" fontId="25" fillId="0" borderId="0" xfId="1" applyNumberFormat="1" applyFont="1"/>
    <xf numFmtId="17" fontId="25" fillId="0" borderId="77" xfId="0" applyNumberFormat="1" applyFont="1" applyBorder="1"/>
    <xf numFmtId="3" fontId="26" fillId="0" borderId="0" xfId="1" applyNumberFormat="1" applyFont="1"/>
    <xf numFmtId="17" fontId="26" fillId="0" borderId="77" xfId="0" applyNumberFormat="1" applyFont="1" applyBorder="1"/>
    <xf numFmtId="3" fontId="27" fillId="0" borderId="0" xfId="1" applyNumberFormat="1" applyFont="1"/>
    <xf numFmtId="17" fontId="27" fillId="0" borderId="77" xfId="0" applyNumberFormat="1" applyFont="1" applyBorder="1"/>
    <xf numFmtId="165" fontId="23" fillId="0" borderId="3" xfId="1" applyNumberFormat="1" applyFont="1" applyBorder="1"/>
    <xf numFmtId="3" fontId="28" fillId="0" borderId="0" xfId="1" applyNumberFormat="1" applyFont="1"/>
    <xf numFmtId="17" fontId="28" fillId="0" borderId="77" xfId="0" applyNumberFormat="1" applyFont="1" applyBorder="1"/>
    <xf numFmtId="0" fontId="23" fillId="0" borderId="29" xfId="0" applyFont="1" applyBorder="1"/>
    <xf numFmtId="9" fontId="23" fillId="0" borderId="30" xfId="0" applyNumberFormat="1" applyFont="1" applyBorder="1" applyAlignment="1"/>
    <xf numFmtId="3" fontId="29" fillId="0" borderId="0" xfId="1" applyNumberFormat="1" applyFont="1" applyBorder="1"/>
    <xf numFmtId="17" fontId="29" fillId="0" borderId="77" xfId="0" applyNumberFormat="1" applyFont="1" applyBorder="1"/>
    <xf numFmtId="0" fontId="29" fillId="0" borderId="77" xfId="0" applyFont="1" applyBorder="1"/>
    <xf numFmtId="42" fontId="23" fillId="0" borderId="29" xfId="0" applyNumberFormat="1" applyFont="1" applyBorder="1" applyAlignment="1"/>
    <xf numFmtId="42" fontId="23" fillId="0" borderId="79" xfId="0" applyNumberFormat="1" applyFont="1" applyBorder="1" applyAlignment="1">
      <alignment horizontal="center"/>
    </xf>
    <xf numFmtId="3" fontId="30" fillId="0" borderId="0" xfId="1" applyNumberFormat="1" applyFont="1" applyBorder="1"/>
    <xf numFmtId="17" fontId="30" fillId="0" borderId="77" xfId="0" applyNumberFormat="1" applyFont="1" applyBorder="1"/>
    <xf numFmtId="0" fontId="30" fillId="0" borderId="77" xfId="0" applyFont="1" applyBorder="1"/>
    <xf numFmtId="3" fontId="27" fillId="0" borderId="0" xfId="1" applyNumberFormat="1" applyFont="1" applyBorder="1"/>
    <xf numFmtId="3" fontId="31" fillId="0" borderId="0" xfId="1" applyNumberFormat="1" applyFont="1" applyBorder="1"/>
    <xf numFmtId="17" fontId="31" fillId="0" borderId="77" xfId="0" applyNumberFormat="1" applyFont="1" applyBorder="1"/>
    <xf numFmtId="3" fontId="23" fillId="0" borderId="0" xfId="1" applyNumberFormat="1" applyFont="1" applyBorder="1"/>
    <xf numFmtId="17" fontId="23" fillId="0" borderId="77" xfId="0" applyNumberFormat="1" applyFont="1" applyBorder="1"/>
    <xf numFmtId="3" fontId="32" fillId="0" borderId="0" xfId="1" applyNumberFormat="1" applyFont="1" applyBorder="1"/>
    <xf numFmtId="17" fontId="32" fillId="0" borderId="77" xfId="0" applyNumberFormat="1" applyFont="1" applyBorder="1"/>
    <xf numFmtId="42" fontId="23" fillId="0" borderId="28" xfId="67" applyNumberFormat="1" applyFont="1" applyBorder="1" applyAlignment="1"/>
    <xf numFmtId="0" fontId="23" fillId="0" borderId="29" xfId="67" applyFont="1" applyBorder="1"/>
    <xf numFmtId="42" fontId="23" fillId="0" borderId="3" xfId="67" applyNumberFormat="1" applyFont="1" applyBorder="1" applyAlignment="1"/>
    <xf numFmtId="0" fontId="23" fillId="0" borderId="3" xfId="67" applyFont="1" applyBorder="1"/>
    <xf numFmtId="42" fontId="23" fillId="0" borderId="117" xfId="67" applyNumberFormat="1" applyFont="1" applyBorder="1" applyAlignment="1"/>
    <xf numFmtId="9" fontId="23" fillId="0" borderId="3" xfId="67" applyNumberFormat="1" applyFont="1" applyBorder="1" applyAlignment="1"/>
    <xf numFmtId="9" fontId="23" fillId="0" borderId="30" xfId="67" applyNumberFormat="1" applyFont="1" applyBorder="1" applyAlignment="1"/>
    <xf numFmtId="172" fontId="23" fillId="0" borderId="28" xfId="67" applyNumberFormat="1" applyFont="1" applyBorder="1" applyAlignment="1"/>
    <xf numFmtId="42" fontId="23" fillId="0" borderId="29" xfId="67" applyNumberFormat="1" applyFont="1" applyBorder="1" applyAlignment="1"/>
    <xf numFmtId="42" fontId="23" fillId="0" borderId="79" xfId="67" applyNumberFormat="1" applyFont="1" applyBorder="1" applyAlignment="1">
      <alignment horizontal="center"/>
    </xf>
    <xf numFmtId="0" fontId="32" fillId="0" borderId="77" xfId="0" applyFont="1" applyBorder="1"/>
    <xf numFmtId="3" fontId="33" fillId="0" borderId="0" xfId="1" applyNumberFormat="1" applyFont="1"/>
    <xf numFmtId="17" fontId="33" fillId="0" borderId="77" xfId="0" applyNumberFormat="1" applyFont="1" applyBorder="1"/>
    <xf numFmtId="0" fontId="33" fillId="0" borderId="77" xfId="0" applyFont="1" applyBorder="1"/>
    <xf numFmtId="3" fontId="23" fillId="0" borderId="0" xfId="1" applyNumberFormat="1" applyFont="1"/>
    <xf numFmtId="3" fontId="34" fillId="0" borderId="0" xfId="1" applyNumberFormat="1" applyFont="1" applyBorder="1"/>
    <xf numFmtId="17" fontId="34" fillId="0" borderId="77" xfId="0" applyNumberFormat="1" applyFont="1" applyBorder="1"/>
    <xf numFmtId="42" fontId="23" fillId="0" borderId="109" xfId="0" applyNumberFormat="1" applyFont="1" applyBorder="1" applyAlignment="1"/>
    <xf numFmtId="0" fontId="23" fillId="0" borderId="69" xfId="0" applyFont="1" applyBorder="1"/>
    <xf numFmtId="0" fontId="23" fillId="0" borderId="109" xfId="0" applyFont="1" applyBorder="1"/>
    <xf numFmtId="42" fontId="23" fillId="0" borderId="119" xfId="0" applyNumberFormat="1" applyFont="1" applyBorder="1" applyAlignment="1"/>
    <xf numFmtId="9" fontId="23" fillId="0" borderId="109" xfId="0" applyNumberFormat="1" applyFont="1" applyBorder="1" applyAlignment="1"/>
    <xf numFmtId="9" fontId="23" fillId="0" borderId="7" xfId="0" applyNumberFormat="1" applyFont="1" applyBorder="1" applyAlignment="1"/>
    <xf numFmtId="172" fontId="23" fillId="0" borderId="67" xfId="0" applyNumberFormat="1" applyFont="1" applyBorder="1" applyAlignment="1"/>
    <xf numFmtId="42" fontId="23" fillId="0" borderId="69" xfId="0" applyNumberFormat="1" applyFont="1" applyBorder="1" applyAlignment="1"/>
    <xf numFmtId="42" fontId="23" fillId="0" borderId="35" xfId="0" applyNumberFormat="1" applyFont="1" applyBorder="1" applyAlignment="1">
      <alignment horizontal="center"/>
    </xf>
    <xf numFmtId="0" fontId="23" fillId="0" borderId="11" xfId="0" applyFont="1" applyBorder="1"/>
    <xf numFmtId="17" fontId="23" fillId="0" borderId="36" xfId="0" applyNumberFormat="1" applyFont="1" applyBorder="1"/>
    <xf numFmtId="172" fontId="23" fillId="0" borderId="36" xfId="0" applyNumberFormat="1" applyFont="1" applyBorder="1"/>
    <xf numFmtId="41" fontId="23" fillId="0" borderId="0" xfId="0" applyNumberFormat="1" applyFont="1"/>
    <xf numFmtId="164" fontId="23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172" fontId="26" fillId="0" borderId="0" xfId="0" applyNumberFormat="1" applyFont="1"/>
    <xf numFmtId="0" fontId="35" fillId="0" borderId="0" xfId="0" applyFont="1"/>
    <xf numFmtId="0" fontId="3" fillId="0" borderId="0" xfId="0" applyFont="1"/>
    <xf numFmtId="172" fontId="3" fillId="0" borderId="0" xfId="0" applyNumberFormat="1" applyFont="1"/>
    <xf numFmtId="0" fontId="23" fillId="0" borderId="0" xfId="0" applyFont="1" applyFill="1"/>
    <xf numFmtId="0" fontId="23" fillId="0" borderId="26" xfId="0" applyFont="1" applyFill="1" applyBorder="1" applyAlignment="1">
      <alignment horizontal="center"/>
    </xf>
    <xf numFmtId="171" fontId="23" fillId="0" borderId="27" xfId="0" applyNumberFormat="1" applyFont="1" applyFill="1" applyBorder="1" applyAlignment="1">
      <alignment horizontal="right"/>
    </xf>
    <xf numFmtId="42" fontId="23" fillId="0" borderId="21" xfId="0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center"/>
    </xf>
    <xf numFmtId="42" fontId="23" fillId="0" borderId="24" xfId="0" applyNumberFormat="1" applyFont="1" applyFill="1" applyBorder="1" applyAlignment="1">
      <alignment horizontal="right"/>
    </xf>
    <xf numFmtId="171" fontId="23" fillId="0" borderId="28" xfId="1" applyNumberFormat="1" applyFont="1" applyFill="1" applyBorder="1" applyAlignment="1">
      <alignment horizontal="right"/>
    </xf>
    <xf numFmtId="42" fontId="23" fillId="0" borderId="23" xfId="1" applyNumberFormat="1" applyFont="1" applyFill="1" applyBorder="1" applyAlignment="1">
      <alignment horizontal="right"/>
    </xf>
    <xf numFmtId="171" fontId="23" fillId="0" borderId="29" xfId="1" applyNumberFormat="1" applyFont="1" applyFill="1" applyBorder="1" applyAlignment="1">
      <alignment horizontal="right"/>
    </xf>
    <xf numFmtId="0" fontId="23" fillId="0" borderId="42" xfId="0" applyFont="1" applyFill="1" applyBorder="1" applyAlignment="1">
      <alignment horizontal="center"/>
    </xf>
    <xf numFmtId="171" fontId="23" fillId="0" borderId="43" xfId="1" applyNumberFormat="1" applyFont="1" applyFill="1" applyBorder="1" applyAlignment="1">
      <alignment horizontal="right"/>
    </xf>
    <xf numFmtId="42" fontId="23" fillId="0" borderId="44" xfId="1" applyNumberFormat="1" applyFont="1" applyFill="1" applyBorder="1" applyAlignment="1">
      <alignment horizontal="right"/>
    </xf>
    <xf numFmtId="171" fontId="23" fillId="0" borderId="45" xfId="1" applyNumberFormat="1" applyFont="1" applyFill="1" applyBorder="1" applyAlignment="1">
      <alignment horizontal="right"/>
    </xf>
    <xf numFmtId="42" fontId="23" fillId="0" borderId="46" xfId="0" applyNumberFormat="1" applyFont="1" applyFill="1" applyBorder="1" applyAlignment="1">
      <alignment horizontal="right"/>
    </xf>
    <xf numFmtId="42" fontId="23" fillId="0" borderId="24" xfId="50" applyNumberFormat="1" applyFont="1" applyFill="1" applyBorder="1" applyAlignment="1">
      <alignment horizontal="right"/>
    </xf>
    <xf numFmtId="0" fontId="23" fillId="0" borderId="78" xfId="0" applyFont="1" applyFill="1" applyBorder="1" applyAlignment="1">
      <alignment horizontal="center"/>
    </xf>
    <xf numFmtId="171" fontId="23" fillId="0" borderId="67" xfId="1" applyNumberFormat="1" applyFont="1" applyFill="1" applyBorder="1" applyAlignment="1">
      <alignment horizontal="right"/>
    </xf>
    <xf numFmtId="42" fontId="23" fillId="0" borderId="68" xfId="1" applyNumberFormat="1" applyFont="1" applyFill="1" applyBorder="1" applyAlignment="1">
      <alignment horizontal="right"/>
    </xf>
    <xf numFmtId="171" fontId="23" fillId="0" borderId="69" xfId="1" applyNumberFormat="1" applyFont="1" applyFill="1" applyBorder="1" applyAlignment="1">
      <alignment horizontal="right"/>
    </xf>
    <xf numFmtId="42" fontId="23" fillId="0" borderId="70" xfId="0" applyNumberFormat="1" applyFont="1" applyFill="1" applyBorder="1" applyAlignment="1">
      <alignment horizontal="right"/>
    </xf>
    <xf numFmtId="171" fontId="23" fillId="0" borderId="0" xfId="0" applyNumberFormat="1" applyFont="1" applyFill="1"/>
    <xf numFmtId="3" fontId="23" fillId="0" borderId="0" xfId="0" applyNumberFormat="1" applyFont="1" applyFill="1"/>
    <xf numFmtId="171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1" applyNumberFormat="1" applyFont="1" applyFill="1"/>
    <xf numFmtId="0" fontId="3" fillId="0" borderId="0" xfId="0" applyFont="1" applyFill="1"/>
    <xf numFmtId="0" fontId="23" fillId="0" borderId="3" xfId="0" applyFont="1" applyBorder="1" applyAlignment="1">
      <alignment horizontal="center"/>
    </xf>
    <xf numFmtId="0" fontId="23" fillId="0" borderId="0" xfId="0" applyFont="1" applyAlignment="1"/>
    <xf numFmtId="0" fontId="23" fillId="0" borderId="18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9" fontId="23" fillId="0" borderId="2" xfId="0" applyNumberFormat="1" applyFont="1" applyBorder="1" applyAlignment="1"/>
    <xf numFmtId="169" fontId="23" fillId="0" borderId="3" xfId="0" applyNumberFormat="1" applyFont="1" applyBorder="1" applyAlignment="1">
      <alignment horizontal="center"/>
    </xf>
    <xf numFmtId="175" fontId="23" fillId="0" borderId="3" xfId="0" applyNumberFormat="1" applyFont="1" applyBorder="1" applyAlignment="1"/>
    <xf numFmtId="175" fontId="23" fillId="0" borderId="40" xfId="0" applyNumberFormat="1" applyFont="1" applyBorder="1" applyAlignment="1"/>
    <xf numFmtId="175" fontId="23" fillId="0" borderId="3" xfId="33" applyNumberFormat="1" applyFont="1" applyBorder="1" applyAlignment="1"/>
    <xf numFmtId="175" fontId="23" fillId="11" borderId="79" xfId="0" applyNumberFormat="1" applyFont="1" applyFill="1" applyBorder="1" applyAlignment="1"/>
    <xf numFmtId="169" fontId="23" fillId="0" borderId="0" xfId="0" applyNumberFormat="1" applyFont="1" applyAlignment="1"/>
    <xf numFmtId="0" fontId="23" fillId="0" borderId="2" xfId="0" applyFont="1" applyBorder="1" applyAlignment="1"/>
    <xf numFmtId="6" fontId="23" fillId="0" borderId="3" xfId="0" applyNumberFormat="1" applyFont="1" applyBorder="1" applyAlignment="1">
      <alignment horizontal="center"/>
    </xf>
    <xf numFmtId="42" fontId="23" fillId="0" borderId="3" xfId="0" applyNumberFormat="1" applyFont="1" applyBorder="1" applyAlignment="1">
      <alignment horizontal="center"/>
    </xf>
    <xf numFmtId="42" fontId="23" fillId="0" borderId="40" xfId="0" applyNumberFormat="1" applyFont="1" applyBorder="1" applyAlignment="1"/>
    <xf numFmtId="42" fontId="23" fillId="0" borderId="40" xfId="2" applyNumberFormat="1" applyFont="1" applyBorder="1" applyAlignment="1"/>
    <xf numFmtId="42" fontId="23" fillId="0" borderId="3" xfId="2" applyNumberFormat="1" applyFont="1" applyBorder="1" applyAlignment="1"/>
    <xf numFmtId="42" fontId="23" fillId="11" borderId="73" xfId="2" applyNumberFormat="1" applyFont="1" applyFill="1" applyBorder="1" applyAlignment="1"/>
    <xf numFmtId="172" fontId="23" fillId="0" borderId="2" xfId="0" applyNumberFormat="1" applyFont="1" applyBorder="1" applyAlignment="1"/>
    <xf numFmtId="172" fontId="23" fillId="0" borderId="3" xfId="0" applyNumberFormat="1" applyFont="1" applyBorder="1" applyAlignment="1">
      <alignment horizontal="center"/>
    </xf>
    <xf numFmtId="172" fontId="23" fillId="0" borderId="3" xfId="0" applyNumberFormat="1" applyFont="1" applyBorder="1" applyAlignment="1">
      <alignment horizontal="right"/>
    </xf>
    <xf numFmtId="172" fontId="23" fillId="0" borderId="3" xfId="33" applyNumberFormat="1" applyFont="1" applyBorder="1" applyAlignment="1">
      <alignment horizontal="right"/>
    </xf>
    <xf numFmtId="172" fontId="23" fillId="0" borderId="40" xfId="33" applyNumberFormat="1" applyFont="1" applyBorder="1" applyAlignment="1">
      <alignment horizontal="right"/>
    </xf>
    <xf numFmtId="172" fontId="23" fillId="11" borderId="73" xfId="33" applyNumberFormat="1" applyFont="1" applyFill="1" applyBorder="1" applyAlignment="1">
      <alignment horizontal="right"/>
    </xf>
    <xf numFmtId="172" fontId="23" fillId="0" borderId="0" xfId="0" applyNumberFormat="1" applyFont="1" applyAlignment="1"/>
    <xf numFmtId="170" fontId="23" fillId="0" borderId="3" xfId="0" applyNumberFormat="1" applyFont="1" applyBorder="1" applyAlignment="1">
      <alignment horizontal="center"/>
    </xf>
    <xf numFmtId="176" fontId="23" fillId="0" borderId="3" xfId="0" applyNumberFormat="1" applyFont="1" applyBorder="1" applyAlignment="1">
      <alignment horizontal="right"/>
    </xf>
    <xf numFmtId="172" fontId="23" fillId="8" borderId="3" xfId="0" applyNumberFormat="1" applyFont="1" applyFill="1" applyBorder="1" applyAlignment="1">
      <alignment horizontal="right"/>
    </xf>
    <xf numFmtId="172" fontId="23" fillId="8" borderId="3" xfId="33" applyNumberFormat="1" applyFont="1" applyFill="1" applyBorder="1" applyAlignment="1">
      <alignment horizontal="right"/>
    </xf>
    <xf numFmtId="172" fontId="23" fillId="8" borderId="40" xfId="33" applyNumberFormat="1" applyFont="1" applyFill="1" applyBorder="1" applyAlignment="1">
      <alignment horizontal="right"/>
    </xf>
    <xf numFmtId="172" fontId="23" fillId="8" borderId="73" xfId="33" applyNumberFormat="1" applyFont="1" applyFill="1" applyBorder="1" applyAlignment="1">
      <alignment horizontal="right"/>
    </xf>
    <xf numFmtId="176" fontId="23" fillId="0" borderId="40" xfId="0" applyNumberFormat="1" applyFont="1" applyBorder="1" applyAlignment="1">
      <alignment horizontal="right"/>
    </xf>
    <xf numFmtId="176" fontId="23" fillId="8" borderId="40" xfId="0" applyNumberFormat="1" applyFont="1" applyFill="1" applyBorder="1" applyAlignment="1">
      <alignment horizontal="right"/>
    </xf>
    <xf numFmtId="176" fontId="23" fillId="8" borderId="3" xfId="33" applyNumberFormat="1" applyFont="1" applyFill="1" applyBorder="1" applyAlignment="1">
      <alignment horizontal="right"/>
    </xf>
    <xf numFmtId="176" fontId="23" fillId="8" borderId="40" xfId="33" applyNumberFormat="1" applyFont="1" applyFill="1" applyBorder="1" applyAlignment="1">
      <alignment horizontal="right"/>
    </xf>
    <xf numFmtId="176" fontId="23" fillId="8" borderId="73" xfId="33" applyNumberFormat="1" applyFont="1" applyFill="1" applyBorder="1" applyAlignment="1">
      <alignment horizontal="right"/>
    </xf>
    <xf numFmtId="176" fontId="23" fillId="8" borderId="3" xfId="0" applyNumberFormat="1" applyFont="1" applyFill="1" applyBorder="1" applyAlignment="1">
      <alignment horizontal="right"/>
    </xf>
    <xf numFmtId="176" fontId="23" fillId="0" borderId="3" xfId="33" applyNumberFormat="1" applyFont="1" applyBorder="1" applyAlignment="1">
      <alignment horizontal="right"/>
    </xf>
    <xf numFmtId="176" fontId="23" fillId="0" borderId="40" xfId="33" applyNumberFormat="1" applyFont="1" applyBorder="1" applyAlignment="1">
      <alignment horizontal="right"/>
    </xf>
    <xf numFmtId="0" fontId="23" fillId="0" borderId="6" xfId="0" applyFont="1" applyBorder="1" applyAlignment="1"/>
    <xf numFmtId="6" fontId="23" fillId="0" borderId="5" xfId="0" applyNumberFormat="1" applyFont="1" applyBorder="1" applyAlignment="1">
      <alignment horizontal="center"/>
    </xf>
    <xf numFmtId="42" fontId="23" fillId="0" borderId="5" xfId="0" applyNumberFormat="1" applyFont="1" applyBorder="1" applyAlignment="1">
      <alignment horizontal="center"/>
    </xf>
    <xf numFmtId="42" fontId="23" fillId="0" borderId="5" xfId="0" applyNumberFormat="1" applyFont="1" applyBorder="1" applyAlignment="1"/>
    <xf numFmtId="42" fontId="23" fillId="0" borderId="71" xfId="2" applyNumberFormat="1" applyFont="1" applyBorder="1" applyAlignment="1"/>
    <xf numFmtId="0" fontId="23" fillId="0" borderId="72" xfId="0" applyFont="1" applyFill="1" applyBorder="1" applyAlignment="1">
      <alignment horizontal="center" vertical="center"/>
    </xf>
    <xf numFmtId="175" fontId="23" fillId="0" borderId="40" xfId="33" applyNumberFormat="1" applyFont="1" applyBorder="1" applyAlignment="1"/>
    <xf numFmtId="175" fontId="23" fillId="11" borderId="73" xfId="33" applyNumberFormat="1" applyFont="1" applyFill="1" applyBorder="1" applyAlignment="1"/>
    <xf numFmtId="168" fontId="23" fillId="0" borderId="2" xfId="0" applyNumberFormat="1" applyFont="1" applyBorder="1" applyAlignment="1"/>
    <xf numFmtId="168" fontId="23" fillId="0" borderId="3" xfId="0" applyNumberFormat="1" applyFont="1" applyBorder="1" applyAlignment="1">
      <alignment horizontal="center"/>
    </xf>
    <xf numFmtId="168" fontId="23" fillId="0" borderId="0" xfId="0" applyNumberFormat="1" applyFont="1" applyAlignment="1"/>
    <xf numFmtId="3" fontId="23" fillId="0" borderId="6" xfId="0" applyNumberFormat="1" applyFont="1" applyBorder="1" applyAlignment="1"/>
    <xf numFmtId="3" fontId="23" fillId="0" borderId="0" xfId="0" applyNumberFormat="1" applyFont="1" applyAlignment="1"/>
    <xf numFmtId="3" fontId="23" fillId="0" borderId="2" xfId="0" applyNumberFormat="1" applyFont="1" applyBorder="1" applyAlignment="1"/>
    <xf numFmtId="42" fontId="23" fillId="0" borderId="51" xfId="0" applyNumberFormat="1" applyFont="1" applyBorder="1" applyAlignment="1"/>
    <xf numFmtId="42" fontId="23" fillId="0" borderId="40" xfId="0" applyNumberFormat="1" applyFont="1" applyBorder="1" applyAlignment="1">
      <alignment horizontal="center"/>
    </xf>
    <xf numFmtId="42" fontId="23" fillId="0" borderId="40" xfId="2" applyNumberFormat="1" applyFont="1" applyBorder="1" applyAlignment="1">
      <alignment horizontal="center"/>
    </xf>
    <xf numFmtId="42" fontId="23" fillId="0" borderId="3" xfId="2" applyNumberFormat="1" applyFont="1" applyBorder="1" applyAlignment="1">
      <alignment horizontal="center"/>
    </xf>
    <xf numFmtId="42" fontId="23" fillId="11" borderId="73" xfId="2" applyNumberFormat="1" applyFont="1" applyFill="1" applyBorder="1" applyAlignment="1">
      <alignment horizontal="center"/>
    </xf>
    <xf numFmtId="6" fontId="23" fillId="0" borderId="53" xfId="0" applyNumberFormat="1" applyFont="1" applyBorder="1" applyAlignment="1">
      <alignment horizontal="center"/>
    </xf>
    <xf numFmtId="42" fontId="23" fillId="0" borderId="53" xfId="0" applyNumberFormat="1" applyFont="1" applyBorder="1" applyAlignment="1">
      <alignment horizontal="center"/>
    </xf>
    <xf numFmtId="172" fontId="23" fillId="0" borderId="53" xfId="0" applyNumberFormat="1" applyFont="1" applyBorder="1" applyAlignment="1">
      <alignment horizontal="right"/>
    </xf>
    <xf numFmtId="172" fontId="23" fillId="0" borderId="53" xfId="33" applyNumberFormat="1" applyFont="1" applyBorder="1" applyAlignment="1">
      <alignment horizontal="right"/>
    </xf>
    <xf numFmtId="172" fontId="23" fillId="0" borderId="51" xfId="33" applyNumberFormat="1" applyFont="1" applyBorder="1" applyAlignment="1">
      <alignment horizontal="right"/>
    </xf>
    <xf numFmtId="172" fontId="23" fillId="11" borderId="85" xfId="33" applyNumberFormat="1" applyFont="1" applyFill="1" applyBorder="1" applyAlignment="1">
      <alignment horizontal="right"/>
    </xf>
    <xf numFmtId="172" fontId="23" fillId="0" borderId="53" xfId="0" applyNumberFormat="1" applyFont="1" applyBorder="1" applyAlignment="1">
      <alignment horizontal="center"/>
    </xf>
    <xf numFmtId="172" fontId="23" fillId="0" borderId="4" xfId="0" applyNumberFormat="1" applyFont="1" applyBorder="1"/>
    <xf numFmtId="172" fontId="23" fillId="0" borderId="73" xfId="0" applyNumberFormat="1" applyFont="1" applyBorder="1" applyAlignment="1">
      <alignment horizontal="right"/>
    </xf>
    <xf numFmtId="172" fontId="23" fillId="11" borderId="73" xfId="0" applyNumberFormat="1" applyFont="1" applyFill="1" applyBorder="1" applyAlignment="1">
      <alignment horizontal="right"/>
    </xf>
    <xf numFmtId="0" fontId="23" fillId="0" borderId="7" xfId="0" applyFont="1" applyBorder="1"/>
    <xf numFmtId="0" fontId="23" fillId="0" borderId="22" xfId="0" applyFont="1" applyBorder="1" applyAlignment="1">
      <alignment horizontal="center"/>
    </xf>
    <xf numFmtId="42" fontId="23" fillId="0" borderId="22" xfId="0" applyNumberFormat="1" applyFont="1" applyBorder="1" applyAlignment="1">
      <alignment horizontal="center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11" borderId="79" xfId="0" applyFont="1" applyFill="1" applyBorder="1" applyAlignment="1">
      <alignment horizontal="center"/>
    </xf>
    <xf numFmtId="0" fontId="6" fillId="0" borderId="0" xfId="0" applyFont="1" applyAlignment="1"/>
    <xf numFmtId="0" fontId="23" fillId="0" borderId="25" xfId="0" applyFont="1" applyBorder="1" applyAlignment="1">
      <alignment horizontal="center"/>
    </xf>
    <xf numFmtId="41" fontId="23" fillId="0" borderId="21" xfId="0" applyNumberFormat="1" applyFont="1" applyBorder="1" applyAlignment="1">
      <alignment horizontal="center"/>
    </xf>
    <xf numFmtId="43" fontId="23" fillId="0" borderId="4" xfId="0" applyNumberFormat="1" applyFont="1" applyBorder="1" applyAlignment="1">
      <alignment horizontal="center"/>
    </xf>
    <xf numFmtId="43" fontId="23" fillId="0" borderId="55" xfId="0" applyNumberFormat="1" applyFont="1" applyBorder="1" applyAlignment="1">
      <alignment horizontal="center"/>
    </xf>
    <xf numFmtId="43" fontId="23" fillId="0" borderId="21" xfId="0" applyNumberFormat="1" applyFont="1" applyBorder="1" applyAlignment="1">
      <alignment horizontal="center"/>
    </xf>
    <xf numFmtId="43" fontId="23" fillId="4" borderId="4" xfId="0" applyNumberFormat="1" applyFont="1" applyFill="1" applyBorder="1" applyAlignment="1">
      <alignment horizontal="center"/>
    </xf>
    <xf numFmtId="43" fontId="23" fillId="4" borderId="55" xfId="0" applyNumberFormat="1" applyFont="1" applyFill="1" applyBorder="1" applyAlignment="1">
      <alignment horizontal="center"/>
    </xf>
    <xf numFmtId="43" fontId="23" fillId="4" borderId="106" xfId="0" applyNumberFormat="1" applyFont="1" applyFill="1" applyBorder="1" applyAlignment="1">
      <alignment horizontal="center"/>
    </xf>
    <xf numFmtId="43" fontId="23" fillId="4" borderId="21" xfId="0" applyNumberFormat="1" applyFont="1" applyFill="1" applyBorder="1" applyAlignment="1">
      <alignment horizontal="center"/>
    </xf>
    <xf numFmtId="43" fontId="23" fillId="4" borderId="107" xfId="0" applyNumberFormat="1" applyFont="1" applyFill="1" applyBorder="1" applyAlignment="1">
      <alignment horizontal="center"/>
    </xf>
    <xf numFmtId="41" fontId="23" fillId="0" borderId="4" xfId="0" applyNumberFormat="1" applyFont="1" applyBorder="1" applyAlignment="1">
      <alignment horizontal="center"/>
    </xf>
    <xf numFmtId="43" fontId="23" fillId="0" borderId="106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41" fontId="23" fillId="0" borderId="24" xfId="0" applyNumberFormat="1" applyFont="1" applyBorder="1" applyAlignment="1">
      <alignment horizontal="center"/>
    </xf>
    <xf numFmtId="43" fontId="23" fillId="0" borderId="30" xfId="0" applyNumberFormat="1" applyFont="1" applyBorder="1" applyAlignment="1">
      <alignment horizontal="center"/>
    </xf>
    <xf numFmtId="43" fontId="23" fillId="0" borderId="3" xfId="0" applyNumberFormat="1" applyFont="1" applyBorder="1" applyAlignment="1">
      <alignment horizontal="center"/>
    </xf>
    <xf numFmtId="43" fontId="23" fillId="0" borderId="24" xfId="0" applyNumberFormat="1" applyFont="1" applyBorder="1" applyAlignment="1">
      <alignment horizontal="center"/>
    </xf>
    <xf numFmtId="41" fontId="23" fillId="0" borderId="30" xfId="0" applyNumberFormat="1" applyFont="1" applyBorder="1" applyAlignment="1">
      <alignment horizontal="center"/>
    </xf>
    <xf numFmtId="43" fontId="23" fillId="0" borderId="79" xfId="0" applyNumberFormat="1" applyFont="1" applyBorder="1" applyAlignment="1">
      <alignment horizontal="center"/>
    </xf>
    <xf numFmtId="0" fontId="23" fillId="0" borderId="99" xfId="0" applyFont="1" applyBorder="1" applyAlignment="1">
      <alignment horizontal="center"/>
    </xf>
    <xf numFmtId="41" fontId="23" fillId="0" borderId="77" xfId="0" applyNumberFormat="1" applyFont="1" applyBorder="1" applyAlignment="1">
      <alignment horizontal="center"/>
    </xf>
    <xf numFmtId="43" fontId="23" fillId="0" borderId="0" xfId="0" applyNumberFormat="1" applyFont="1" applyBorder="1" applyAlignment="1">
      <alignment horizontal="center"/>
    </xf>
    <xf numFmtId="43" fontId="23" fillId="0" borderId="38" xfId="0" applyNumberFormat="1" applyFont="1" applyBorder="1" applyAlignment="1">
      <alignment horizontal="center"/>
    </xf>
    <xf numFmtId="43" fontId="23" fillId="0" borderId="77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3" fontId="23" fillId="0" borderId="53" xfId="0" applyNumberFormat="1" applyFont="1" applyBorder="1" applyAlignment="1">
      <alignment horizontal="center"/>
    </xf>
    <xf numFmtId="43" fontId="23" fillId="0" borderId="102" xfId="0" applyNumberFormat="1" applyFont="1" applyBorder="1" applyAlignment="1">
      <alignment horizontal="center"/>
    </xf>
    <xf numFmtId="41" fontId="23" fillId="4" borderId="107" xfId="0" applyNumberFormat="1" applyFont="1" applyFill="1" applyBorder="1" applyAlignment="1">
      <alignment horizontal="center"/>
    </xf>
    <xf numFmtId="41" fontId="23" fillId="0" borderId="29" xfId="0" applyNumberFormat="1" applyFont="1" applyBorder="1" applyAlignment="1">
      <alignment horizontal="center"/>
    </xf>
    <xf numFmtId="43" fontId="23" fillId="0" borderId="73" xfId="0" applyNumberFormat="1" applyFont="1" applyBorder="1" applyAlignment="1">
      <alignment horizontal="center"/>
    </xf>
    <xf numFmtId="43" fontId="23" fillId="0" borderId="23" xfId="0" applyNumberFormat="1" applyFont="1" applyBorder="1" applyAlignment="1">
      <alignment horizontal="center"/>
    </xf>
    <xf numFmtId="41" fontId="23" fillId="4" borderId="13" xfId="0" applyNumberFormat="1" applyFont="1" applyFill="1" applyBorder="1" applyAlignment="1">
      <alignment horizontal="center"/>
    </xf>
    <xf numFmtId="43" fontId="23" fillId="4" borderId="38" xfId="0" applyNumberFormat="1" applyFont="1" applyFill="1" applyBorder="1" applyAlignment="1">
      <alignment horizontal="center"/>
    </xf>
    <xf numFmtId="43" fontId="23" fillId="4" borderId="102" xfId="0" applyNumberFormat="1" applyFont="1" applyFill="1" applyBorder="1" applyAlignment="1">
      <alignment horizontal="center"/>
    </xf>
    <xf numFmtId="41" fontId="23" fillId="4" borderId="108" xfId="0" applyNumberFormat="1" applyFont="1" applyFill="1" applyBorder="1" applyAlignment="1">
      <alignment horizontal="center"/>
    </xf>
    <xf numFmtId="43" fontId="23" fillId="4" borderId="3" xfId="0" applyNumberFormat="1" applyFont="1" applyFill="1" applyBorder="1" applyAlignment="1">
      <alignment horizontal="center"/>
    </xf>
    <xf numFmtId="43" fontId="23" fillId="4" borderId="79" xfId="0" applyNumberFormat="1" applyFont="1" applyFill="1" applyBorder="1" applyAlignment="1">
      <alignment horizontal="center"/>
    </xf>
    <xf numFmtId="0" fontId="23" fillId="0" borderId="78" xfId="0" applyFont="1" applyBorder="1" applyAlignment="1">
      <alignment horizontal="center"/>
    </xf>
    <xf numFmtId="41" fontId="23" fillId="0" borderId="70" xfId="0" applyNumberFormat="1" applyFont="1" applyBorder="1" applyAlignment="1">
      <alignment horizontal="center"/>
    </xf>
    <xf numFmtId="43" fontId="23" fillId="0" borderId="7" xfId="0" applyNumberFormat="1" applyFont="1" applyBorder="1" applyAlignment="1">
      <alignment horizontal="center"/>
    </xf>
    <xf numFmtId="43" fontId="23" fillId="0" borderId="109" xfId="0" applyNumberFormat="1" applyFont="1" applyBorder="1" applyAlignment="1">
      <alignment horizontal="center"/>
    </xf>
    <xf numFmtId="43" fontId="23" fillId="0" borderId="70" xfId="0" applyNumberFormat="1" applyFont="1" applyBorder="1" applyAlignment="1">
      <alignment horizontal="center"/>
    </xf>
    <xf numFmtId="41" fontId="23" fillId="0" borderId="7" xfId="0" applyNumberFormat="1" applyFont="1" applyBorder="1" applyAlignment="1">
      <alignment horizontal="center"/>
    </xf>
    <xf numFmtId="43" fontId="23" fillId="0" borderId="35" xfId="0" applyNumberFormat="1" applyFont="1" applyBorder="1" applyAlignment="1">
      <alignment horizontal="center"/>
    </xf>
    <xf numFmtId="43" fontId="23" fillId="4" borderId="110" xfId="0" applyNumberFormat="1" applyFont="1" applyFill="1" applyBorder="1" applyAlignment="1">
      <alignment horizontal="center"/>
    </xf>
    <xf numFmtId="43" fontId="23" fillId="4" borderId="22" xfId="0" applyNumberFormat="1" applyFont="1" applyFill="1" applyBorder="1" applyAlignment="1">
      <alignment horizontal="center"/>
    </xf>
    <xf numFmtId="43" fontId="23" fillId="4" borderId="111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36" fillId="0" borderId="0" xfId="0" applyFont="1"/>
    <xf numFmtId="2" fontId="36" fillId="0" borderId="0" xfId="0" applyNumberFormat="1" applyFont="1"/>
    <xf numFmtId="43" fontId="36" fillId="0" borderId="0" xfId="1" applyFont="1"/>
    <xf numFmtId="43" fontId="23" fillId="0" borderId="0" xfId="0" applyNumberFormat="1" applyFont="1"/>
    <xf numFmtId="43" fontId="23" fillId="0" borderId="0" xfId="1" applyFont="1"/>
    <xf numFmtId="0" fontId="6" fillId="0" borderId="99" xfId="0" applyFont="1" applyBorder="1"/>
    <xf numFmtId="0" fontId="6" fillId="0" borderId="77" xfId="0" applyFont="1" applyBorder="1"/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77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2" xfId="0" applyFont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77" xfId="0" applyFont="1" applyFill="1" applyBorder="1" applyAlignment="1">
      <alignment horizontal="centerContinuous"/>
    </xf>
    <xf numFmtId="0" fontId="6" fillId="2" borderId="102" xfId="0" applyFont="1" applyFill="1" applyBorder="1" applyAlignment="1">
      <alignment horizontal="centerContinuous"/>
    </xf>
    <xf numFmtId="0" fontId="5" fillId="0" borderId="0" xfId="0" applyFont="1" applyBorder="1"/>
    <xf numFmtId="0" fontId="5" fillId="0" borderId="38" xfId="0" applyFont="1" applyBorder="1"/>
    <xf numFmtId="0" fontId="5" fillId="0" borderId="77" xfId="0" applyFont="1" applyBorder="1"/>
    <xf numFmtId="0" fontId="5" fillId="0" borderId="13" xfId="0" applyFont="1" applyBorder="1"/>
    <xf numFmtId="0" fontId="5" fillId="0" borderId="102" xfId="0" applyFont="1" applyBorder="1"/>
    <xf numFmtId="0" fontId="5" fillId="0" borderId="1" xfId="0" applyFont="1" applyBorder="1"/>
    <xf numFmtId="0" fontId="5" fillId="0" borderId="31" xfId="0" applyFont="1" applyBorder="1"/>
    <xf numFmtId="0" fontId="5" fillId="0" borderId="36" xfId="0" applyFont="1" applyBorder="1"/>
    <xf numFmtId="0" fontId="5" fillId="0" borderId="11" xfId="0" applyFont="1" applyBorder="1"/>
    <xf numFmtId="0" fontId="5" fillId="0" borderId="101" xfId="0" applyFont="1" applyBorder="1"/>
    <xf numFmtId="0" fontId="3" fillId="3" borderId="1" xfId="0" applyFont="1" applyFill="1" applyBorder="1" applyAlignment="1">
      <alignment horizontal="centerContinuous"/>
    </xf>
    <xf numFmtId="0" fontId="3" fillId="3" borderId="101" xfId="0" applyFont="1" applyFill="1" applyBorder="1" applyAlignment="1">
      <alignment horizontal="centerContinuous"/>
    </xf>
    <xf numFmtId="42" fontId="23" fillId="0" borderId="0" xfId="0" applyNumberFormat="1" applyFont="1"/>
    <xf numFmtId="173" fontId="23" fillId="0" borderId="0" xfId="0" applyNumberFormat="1" applyFont="1"/>
    <xf numFmtId="0" fontId="23" fillId="0" borderId="8" xfId="0" applyFont="1" applyBorder="1"/>
    <xf numFmtId="171" fontId="23" fillId="0" borderId="8" xfId="0" applyNumberFormat="1" applyFont="1" applyBorder="1" applyAlignment="1">
      <alignment horizontal="center"/>
    </xf>
    <xf numFmtId="42" fontId="23" fillId="0" borderId="14" xfId="0" applyNumberFormat="1" applyFont="1" applyBorder="1" applyAlignment="1">
      <alignment horizontal="center"/>
    </xf>
    <xf numFmtId="171" fontId="23" fillId="0" borderId="15" xfId="0" applyNumberFormat="1" applyFont="1" applyBorder="1" applyAlignment="1">
      <alignment horizontal="center"/>
    </xf>
    <xf numFmtId="42" fontId="23" fillId="0" borderId="16" xfId="0" applyNumberFormat="1" applyFont="1" applyBorder="1" applyAlignment="1">
      <alignment horizontal="center"/>
    </xf>
    <xf numFmtId="173" fontId="23" fillId="0" borderId="16" xfId="0" applyNumberFormat="1" applyFont="1" applyBorder="1" applyAlignment="1">
      <alignment horizontal="right"/>
    </xf>
    <xf numFmtId="173" fontId="23" fillId="0" borderId="37" xfId="0" applyNumberFormat="1" applyFont="1" applyBorder="1" applyAlignment="1">
      <alignment horizontal="right"/>
    </xf>
    <xf numFmtId="0" fontId="23" fillId="2" borderId="17" xfId="0" applyFont="1" applyFill="1" applyBorder="1"/>
    <xf numFmtId="171" fontId="23" fillId="2" borderId="11" xfId="0" applyNumberFormat="1" applyFont="1" applyFill="1" applyBorder="1" applyAlignment="1">
      <alignment horizontal="center"/>
    </xf>
    <xf numFmtId="42" fontId="23" fillId="2" borderId="33" xfId="0" applyNumberFormat="1" applyFont="1" applyFill="1" applyBorder="1" applyAlignment="1">
      <alignment horizontal="center"/>
    </xf>
    <xf numFmtId="171" fontId="23" fillId="2" borderId="1" xfId="0" applyNumberFormat="1" applyFont="1" applyFill="1" applyBorder="1" applyAlignment="1">
      <alignment horizontal="center"/>
    </xf>
    <xf numFmtId="42" fontId="23" fillId="2" borderId="31" xfId="0" applyNumberFormat="1" applyFont="1" applyFill="1" applyBorder="1" applyAlignment="1">
      <alignment horizontal="center"/>
    </xf>
    <xf numFmtId="173" fontId="23" fillId="2" borderId="31" xfId="0" applyNumberFormat="1" applyFont="1" applyFill="1" applyBorder="1" applyAlignment="1">
      <alignment horizontal="right"/>
    </xf>
    <xf numFmtId="173" fontId="23" fillId="2" borderId="36" xfId="0" applyNumberFormat="1" applyFont="1" applyFill="1" applyBorder="1" applyAlignment="1">
      <alignment horizontal="right"/>
    </xf>
    <xf numFmtId="171" fontId="23" fillId="0" borderId="0" xfId="0" applyNumberFormat="1" applyFont="1" applyAlignment="1">
      <alignment horizontal="center"/>
    </xf>
    <xf numFmtId="42" fontId="23" fillId="0" borderId="0" xfId="0" applyNumberFormat="1" applyFont="1" applyAlignment="1">
      <alignment horizontal="center"/>
    </xf>
    <xf numFmtId="173" fontId="23" fillId="0" borderId="0" xfId="0" applyNumberFormat="1" applyFont="1" applyAlignment="1">
      <alignment horizontal="right"/>
    </xf>
    <xf numFmtId="0" fontId="23" fillId="2" borderId="11" xfId="0" applyFont="1" applyFill="1" applyBorder="1"/>
    <xf numFmtId="43" fontId="23" fillId="0" borderId="0" xfId="0" applyNumberFormat="1" applyFont="1" applyAlignment="1">
      <alignment horizontal="center"/>
    </xf>
    <xf numFmtId="173" fontId="23" fillId="0" borderId="0" xfId="0" applyNumberFormat="1" applyFont="1" applyAlignment="1">
      <alignment horizontal="center"/>
    </xf>
    <xf numFmtId="171" fontId="23" fillId="0" borderId="0" xfId="0" applyNumberFormat="1" applyFont="1"/>
    <xf numFmtId="174" fontId="37" fillId="0" borderId="0" xfId="0" applyNumberFormat="1" applyFont="1" applyAlignment="1">
      <alignment horizontal="left"/>
    </xf>
    <xf numFmtId="0" fontId="37" fillId="0" borderId="0" xfId="0" applyFont="1"/>
    <xf numFmtId="3" fontId="37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169" fontId="37" fillId="0" borderId="0" xfId="0" applyNumberFormat="1" applyFont="1" applyAlignment="1">
      <alignment horizontal="right"/>
    </xf>
    <xf numFmtId="0" fontId="37" fillId="0" borderId="0" xfId="0" applyFont="1" applyFill="1" applyAlignment="1">
      <alignment horizontal="left"/>
    </xf>
    <xf numFmtId="3" fontId="37" fillId="0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 horizontal="right"/>
    </xf>
    <xf numFmtId="169" fontId="37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left"/>
    </xf>
    <xf numFmtId="4" fontId="37" fillId="0" borderId="66" xfId="0" applyNumberFormat="1" applyFont="1" applyFill="1" applyBorder="1" applyAlignment="1">
      <alignment horizontal="right"/>
    </xf>
    <xf numFmtId="3" fontId="37" fillId="0" borderId="0" xfId="0" applyNumberFormat="1" applyFont="1"/>
    <xf numFmtId="177" fontId="37" fillId="0" borderId="0" xfId="0" applyNumberFormat="1" applyFont="1" applyAlignment="1">
      <alignment horizontal="left"/>
    </xf>
    <xf numFmtId="169" fontId="37" fillId="0" borderId="0" xfId="0" applyNumberFormat="1" applyFont="1"/>
    <xf numFmtId="3" fontId="38" fillId="0" borderId="0" xfId="1" applyNumberFormat="1" applyFont="1" applyBorder="1"/>
    <xf numFmtId="17" fontId="38" fillId="0" borderId="77" xfId="0" applyNumberFormat="1" applyFont="1" applyBorder="1"/>
    <xf numFmtId="44" fontId="23" fillId="0" borderId="40" xfId="33" applyNumberFormat="1" applyFont="1" applyFill="1" applyBorder="1" applyAlignment="1">
      <alignment horizontal="right"/>
    </xf>
    <xf numFmtId="44" fontId="23" fillId="0" borderId="73" xfId="33" applyNumberFormat="1" applyFont="1" applyFill="1" applyBorder="1" applyAlignment="1">
      <alignment horizontal="right"/>
    </xf>
    <xf numFmtId="44" fontId="23" fillId="0" borderId="71" xfId="2" applyNumberFormat="1" applyFont="1" applyFill="1" applyBorder="1" applyAlignment="1">
      <alignment horizontal="right"/>
    </xf>
    <xf numFmtId="44" fontId="23" fillId="0" borderId="82" xfId="2" applyNumberFormat="1" applyFont="1" applyFill="1" applyBorder="1" applyAlignment="1">
      <alignment horizontal="right"/>
    </xf>
    <xf numFmtId="44" fontId="23" fillId="0" borderId="40" xfId="2" applyNumberFormat="1" applyFont="1" applyFill="1" applyBorder="1" applyAlignment="1">
      <alignment horizontal="right"/>
    </xf>
    <xf numFmtId="42" fontId="23" fillId="0" borderId="73" xfId="2" applyNumberFormat="1" applyFont="1" applyFill="1" applyBorder="1" applyAlignment="1">
      <alignment horizontal="right"/>
    </xf>
    <xf numFmtId="44" fontId="23" fillId="0" borderId="73" xfId="2" applyNumberFormat="1" applyFont="1" applyFill="1" applyBorder="1" applyAlignment="1">
      <alignment horizontal="right"/>
    </xf>
    <xf numFmtId="3" fontId="38" fillId="0" borderId="1" xfId="1" applyNumberFormat="1" applyFont="1" applyBorder="1"/>
    <xf numFmtId="43" fontId="4" fillId="0" borderId="0" xfId="1" applyFont="1"/>
    <xf numFmtId="165" fontId="4" fillId="0" borderId="0" xfId="1" applyNumberFormat="1" applyFont="1"/>
    <xf numFmtId="0" fontId="39" fillId="0" borderId="0" xfId="3" applyFont="1"/>
    <xf numFmtId="0" fontId="40" fillId="0" borderId="0" xfId="3" applyFont="1"/>
    <xf numFmtId="0" fontId="4" fillId="0" borderId="0" xfId="0" applyFont="1"/>
    <xf numFmtId="43" fontId="4" fillId="0" borderId="0" xfId="1" applyFont="1" applyAlignment="1">
      <alignment horizontal="center"/>
    </xf>
    <xf numFmtId="177" fontId="37" fillId="0" borderId="0" xfId="3" applyNumberFormat="1" applyFont="1" applyAlignment="1">
      <alignment horizontal="left"/>
    </xf>
    <xf numFmtId="177" fontId="37" fillId="0" borderId="0" xfId="3" applyNumberFormat="1" applyFont="1" applyFill="1" applyAlignment="1">
      <alignment horizontal="left"/>
    </xf>
    <xf numFmtId="0" fontId="37" fillId="0" borderId="0" xfId="3" applyFont="1" applyFill="1" applyAlignment="1">
      <alignment horizontal="left"/>
    </xf>
    <xf numFmtId="4" fontId="37" fillId="0" borderId="0" xfId="3" applyNumberFormat="1" applyFont="1" applyFill="1" applyAlignment="1">
      <alignment horizontal="right"/>
    </xf>
    <xf numFmtId="0" fontId="4" fillId="0" borderId="0" xfId="0" applyFont="1" applyAlignment="1"/>
    <xf numFmtId="43" fontId="4" fillId="0" borderId="0" xfId="3" applyNumberFormat="1" applyFont="1"/>
    <xf numFmtId="41" fontId="4" fillId="0" borderId="0" xfId="3" applyNumberFormat="1" applyFont="1"/>
    <xf numFmtId="43" fontId="39" fillId="0" borderId="0" xfId="3" applyNumberFormat="1" applyFont="1"/>
    <xf numFmtId="41" fontId="39" fillId="0" borderId="0" xfId="3" applyNumberFormat="1" applyFont="1"/>
    <xf numFmtId="0" fontId="4" fillId="0" borderId="0" xfId="3" applyFont="1" applyAlignment="1">
      <alignment horizontal="left"/>
    </xf>
    <xf numFmtId="43" fontId="43" fillId="0" borderId="0" xfId="3" applyNumberFormat="1" applyFont="1" applyBorder="1"/>
    <xf numFmtId="43" fontId="46" fillId="0" borderId="0" xfId="3" applyNumberFormat="1" applyFont="1" applyBorder="1"/>
    <xf numFmtId="0" fontId="46" fillId="0" borderId="97" xfId="12" applyFont="1" applyBorder="1"/>
    <xf numFmtId="0" fontId="4" fillId="0" borderId="86" xfId="12" applyFont="1" applyBorder="1"/>
    <xf numFmtId="43" fontId="4" fillId="0" borderId="86" xfId="12" applyNumberFormat="1" applyFont="1" applyBorder="1"/>
    <xf numFmtId="41" fontId="4" fillId="0" borderId="86" xfId="12" applyNumberFormat="1" applyFont="1" applyBorder="1"/>
    <xf numFmtId="41" fontId="39" fillId="0" borderId="86" xfId="12" applyNumberFormat="1" applyFont="1" applyBorder="1"/>
    <xf numFmtId="41" fontId="4" fillId="0" borderId="93" xfId="12" applyNumberFormat="1" applyFont="1" applyBorder="1"/>
    <xf numFmtId="0" fontId="4" fillId="0" borderId="87" xfId="12" applyFont="1" applyBorder="1"/>
    <xf numFmtId="0" fontId="4" fillId="0" borderId="0" xfId="12" applyFont="1" applyBorder="1"/>
    <xf numFmtId="43" fontId="4" fillId="0" borderId="0" xfId="12" applyNumberFormat="1" applyFont="1" applyBorder="1"/>
    <xf numFmtId="41" fontId="4" fillId="0" borderId="0" xfId="12" applyNumberFormat="1" applyFont="1" applyBorder="1"/>
    <xf numFmtId="41" fontId="4" fillId="0" borderId="95" xfId="12" applyNumberFormat="1" applyFont="1" applyBorder="1"/>
    <xf numFmtId="0" fontId="4" fillId="0" borderId="87" xfId="12" applyFont="1" applyBorder="1" applyAlignment="1">
      <alignment horizontal="right"/>
    </xf>
    <xf numFmtId="41" fontId="4" fillId="0" borderId="96" xfId="12" applyNumberFormat="1" applyFont="1" applyBorder="1"/>
    <xf numFmtId="4" fontId="4" fillId="0" borderId="88" xfId="1" applyNumberFormat="1" applyFont="1" applyBorder="1"/>
    <xf numFmtId="4" fontId="4" fillId="0" borderId="30" xfId="12" applyNumberFormat="1" applyFont="1" applyBorder="1"/>
    <xf numFmtId="43" fontId="4" fillId="0" borderId="3" xfId="12" applyNumberFormat="1" applyFont="1" applyBorder="1"/>
    <xf numFmtId="41" fontId="4" fillId="0" borderId="30" xfId="12" applyNumberFormat="1" applyFont="1" applyBorder="1"/>
    <xf numFmtId="41" fontId="4" fillId="0" borderId="91" xfId="12" applyNumberFormat="1" applyFont="1" applyBorder="1"/>
    <xf numFmtId="0" fontId="4" fillId="0" borderId="0" xfId="12" applyFont="1" applyAlignment="1">
      <alignment horizontal="left"/>
    </xf>
    <xf numFmtId="3" fontId="4" fillId="0" borderId="89" xfId="12" applyNumberFormat="1" applyFont="1" applyBorder="1"/>
    <xf numFmtId="3" fontId="4" fillId="0" borderId="90" xfId="12" applyNumberFormat="1" applyFont="1" applyBorder="1"/>
    <xf numFmtId="43" fontId="4" fillId="0" borderId="92" xfId="12" applyNumberFormat="1" applyFont="1" applyBorder="1"/>
    <xf numFmtId="41" fontId="4" fillId="0" borderId="90" xfId="12" applyNumberFormat="1" applyFont="1" applyBorder="1"/>
    <xf numFmtId="41" fontId="4" fillId="0" borderId="94" xfId="12" applyNumberFormat="1" applyFont="1" applyBorder="1"/>
    <xf numFmtId="4" fontId="4" fillId="0" borderId="0" xfId="12" applyNumberFormat="1" applyFont="1" applyAlignment="1">
      <alignment horizontal="left"/>
    </xf>
    <xf numFmtId="4" fontId="4" fillId="0" borderId="0" xfId="12" applyNumberFormat="1" applyFont="1"/>
    <xf numFmtId="0" fontId="4" fillId="2" borderId="40" xfId="12" applyFont="1" applyFill="1" applyBorder="1" applyAlignment="1">
      <alignment horizontal="left"/>
    </xf>
    <xf numFmtId="0" fontId="4" fillId="2" borderId="30" xfId="12" applyFont="1" applyFill="1" applyBorder="1"/>
    <xf numFmtId="0" fontId="4" fillId="2" borderId="3" xfId="12" applyFont="1" applyFill="1" applyBorder="1"/>
    <xf numFmtId="43" fontId="4" fillId="2" borderId="3" xfId="1" applyFont="1" applyFill="1" applyBorder="1" applyAlignment="1"/>
    <xf numFmtId="2" fontId="4" fillId="0" borderId="0" xfId="12" applyNumberFormat="1" applyFont="1"/>
    <xf numFmtId="0" fontId="4" fillId="2" borderId="4" xfId="12" applyFont="1" applyFill="1" applyBorder="1"/>
    <xf numFmtId="0" fontId="4" fillId="2" borderId="55" xfId="12" applyFont="1" applyFill="1" applyBorder="1"/>
    <xf numFmtId="43" fontId="4" fillId="2" borderId="55" xfId="1" applyFont="1" applyFill="1" applyBorder="1" applyAlignment="1"/>
    <xf numFmtId="43" fontId="4" fillId="2" borderId="3" xfId="12" applyNumberFormat="1" applyFont="1" applyFill="1" applyBorder="1" applyAlignment="1"/>
    <xf numFmtId="2" fontId="4" fillId="0" borderId="0" xfId="3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9" fillId="0" borderId="0" xfId="0" applyNumberFormat="1" applyFont="1"/>
    <xf numFmtId="3" fontId="40" fillId="0" borderId="0" xfId="0" applyNumberFormat="1" applyFont="1"/>
    <xf numFmtId="0" fontId="4" fillId="0" borderId="4" xfId="3" applyFont="1" applyBorder="1" applyAlignment="1">
      <alignment horizontal="centerContinuous"/>
    </xf>
    <xf numFmtId="3" fontId="4" fillId="0" borderId="4" xfId="3" applyNumberFormat="1" applyFont="1" applyBorder="1" applyAlignment="1">
      <alignment horizontal="centerContinuous"/>
    </xf>
    <xf numFmtId="0" fontId="37" fillId="0" borderId="4" xfId="3" applyFont="1" applyBorder="1" applyAlignment="1">
      <alignment horizontal="centerContinuous"/>
    </xf>
    <xf numFmtId="3" fontId="39" fillId="0" borderId="4" xfId="3" applyNumberFormat="1" applyFont="1" applyBorder="1" applyAlignment="1">
      <alignment horizontal="centerContinuous"/>
    </xf>
    <xf numFmtId="43" fontId="4" fillId="0" borderId="52" xfId="3" applyNumberFormat="1" applyFont="1" applyBorder="1"/>
    <xf numFmtId="41" fontId="4" fillId="0" borderId="52" xfId="3" applyNumberFormat="1" applyFont="1" applyBorder="1"/>
    <xf numFmtId="43" fontId="39" fillId="0" borderId="52" xfId="3" applyNumberFormat="1" applyFont="1" applyBorder="1"/>
    <xf numFmtId="165" fontId="4" fillId="0" borderId="56" xfId="1" applyNumberFormat="1" applyFont="1" applyBorder="1"/>
    <xf numFmtId="0" fontId="41" fillId="0" borderId="51" xfId="3" applyFont="1" applyBorder="1" applyAlignment="1"/>
    <xf numFmtId="165" fontId="4" fillId="0" borderId="56" xfId="1" applyNumberFormat="1" applyFont="1" applyBorder="1" applyAlignment="1">
      <alignment horizontal="center"/>
    </xf>
    <xf numFmtId="0" fontId="41" fillId="0" borderId="66" xfId="3" applyFont="1" applyBorder="1" applyAlignment="1">
      <alignment horizontal="center"/>
    </xf>
    <xf numFmtId="0" fontId="41" fillId="0" borderId="66" xfId="3" quotePrefix="1" applyFont="1" applyBorder="1" applyAlignment="1"/>
    <xf numFmtId="3" fontId="37" fillId="0" borderId="56" xfId="3" applyNumberFormat="1" applyFont="1" applyFill="1" applyBorder="1" applyAlignment="1">
      <alignment horizontal="right"/>
    </xf>
    <xf numFmtId="43" fontId="4" fillId="0" borderId="66" xfId="3" applyNumberFormat="1" applyFont="1" applyBorder="1"/>
    <xf numFmtId="43" fontId="41" fillId="0" borderId="66" xfId="21" applyNumberFormat="1" applyFont="1" applyBorder="1"/>
    <xf numFmtId="41" fontId="4" fillId="0" borderId="56" xfId="1" applyNumberFormat="1" applyFont="1" applyBorder="1"/>
    <xf numFmtId="43" fontId="4" fillId="0" borderId="56" xfId="1" applyFont="1" applyBorder="1"/>
    <xf numFmtId="43" fontId="41" fillId="0" borderId="66" xfId="3" applyNumberFormat="1" applyFont="1" applyBorder="1"/>
    <xf numFmtId="165" fontId="4" fillId="0" borderId="56" xfId="1" applyNumberFormat="1" applyFont="1" applyBorder="1" applyAlignment="1"/>
    <xf numFmtId="43" fontId="41" fillId="0" borderId="66" xfId="21" applyNumberFormat="1" applyFont="1" applyBorder="1" applyAlignment="1"/>
    <xf numFmtId="0" fontId="4" fillId="0" borderId="66" xfId="3" applyFont="1" applyBorder="1"/>
    <xf numFmtId="0" fontId="41" fillId="0" borderId="45" xfId="3" applyFont="1" applyBorder="1" applyAlignment="1"/>
    <xf numFmtId="3" fontId="42" fillId="0" borderId="51" xfId="3" quotePrefix="1" applyNumberFormat="1" applyFont="1" applyBorder="1" applyAlignment="1"/>
    <xf numFmtId="3" fontId="41" fillId="0" borderId="56" xfId="3" applyNumberFormat="1" applyFont="1" applyBorder="1" applyAlignment="1">
      <alignment horizontal="center"/>
    </xf>
    <xf numFmtId="0" fontId="42" fillId="0" borderId="66" xfId="3" applyFont="1" applyBorder="1" applyAlignment="1">
      <alignment horizontal="center"/>
    </xf>
    <xf numFmtId="0" fontId="41" fillId="0" borderId="56" xfId="3" quotePrefix="1" applyFont="1" applyBorder="1" applyAlignment="1"/>
    <xf numFmtId="3" fontId="42" fillId="0" borderId="66" xfId="3" quotePrefix="1" applyNumberFormat="1" applyFont="1" applyBorder="1" applyAlignment="1"/>
    <xf numFmtId="41" fontId="4" fillId="0" borderId="56" xfId="3" applyNumberFormat="1" applyFont="1" applyBorder="1"/>
    <xf numFmtId="43" fontId="45" fillId="0" borderId="66" xfId="3" applyNumberFormat="1" applyFont="1" applyBorder="1"/>
    <xf numFmtId="41" fontId="41" fillId="0" borderId="56" xfId="1" applyNumberFormat="1" applyFont="1" applyBorder="1"/>
    <xf numFmtId="43" fontId="45" fillId="0" borderId="66" xfId="21" applyNumberFormat="1" applyFont="1" applyBorder="1"/>
    <xf numFmtId="41" fontId="41" fillId="0" borderId="56" xfId="1" applyNumberFormat="1" applyFont="1" applyBorder="1" applyAlignment="1"/>
    <xf numFmtId="43" fontId="45" fillId="0" borderId="66" xfId="21" applyNumberFormat="1" applyFont="1" applyBorder="1" applyAlignment="1"/>
    <xf numFmtId="41" fontId="41" fillId="0" borderId="56" xfId="1" applyNumberFormat="1" applyFont="1" applyFill="1" applyBorder="1"/>
    <xf numFmtId="43" fontId="45" fillId="0" borderId="66" xfId="21" applyNumberFormat="1" applyFont="1" applyFill="1" applyBorder="1"/>
    <xf numFmtId="3" fontId="4" fillId="0" borderId="56" xfId="3" applyNumberFormat="1" applyFont="1" applyBorder="1"/>
    <xf numFmtId="43" fontId="42" fillId="0" borderId="66" xfId="3" applyNumberFormat="1" applyFont="1" applyBorder="1"/>
    <xf numFmtId="3" fontId="42" fillId="0" borderId="45" xfId="3" quotePrefix="1" applyNumberFormat="1" applyFont="1" applyBorder="1" applyAlignment="1"/>
    <xf numFmtId="0" fontId="43" fillId="0" borderId="51" xfId="3" applyFont="1" applyBorder="1" applyAlignment="1"/>
    <xf numFmtId="3" fontId="42" fillId="0" borderId="56" xfId="3" applyNumberFormat="1" applyFont="1" applyBorder="1" applyAlignment="1">
      <alignment horizontal="center"/>
    </xf>
    <xf numFmtId="0" fontId="43" fillId="0" borderId="66" xfId="3" applyFont="1" applyBorder="1" applyAlignment="1">
      <alignment horizontal="center"/>
    </xf>
    <xf numFmtId="3" fontId="42" fillId="0" borderId="56" xfId="3" quotePrefix="1" applyNumberFormat="1" applyFont="1" applyBorder="1" applyAlignment="1"/>
    <xf numFmtId="0" fontId="43" fillId="0" borderId="66" xfId="3" applyFont="1" applyBorder="1" applyAlignment="1"/>
    <xf numFmtId="41" fontId="45" fillId="0" borderId="56" xfId="3" applyNumberFormat="1" applyFont="1" applyBorder="1"/>
    <xf numFmtId="43" fontId="43" fillId="0" borderId="66" xfId="3" applyNumberFormat="1" applyFont="1" applyBorder="1"/>
    <xf numFmtId="43" fontId="43" fillId="0" borderId="66" xfId="21" applyNumberFormat="1" applyFont="1" applyBorder="1"/>
    <xf numFmtId="41" fontId="45" fillId="0" borderId="56" xfId="1" applyNumberFormat="1" applyFont="1" applyBorder="1"/>
    <xf numFmtId="41" fontId="45" fillId="0" borderId="56" xfId="1" applyNumberFormat="1" applyFont="1" applyBorder="1" applyAlignment="1"/>
    <xf numFmtId="43" fontId="43" fillId="0" borderId="66" xfId="21" applyNumberFormat="1" applyFont="1" applyBorder="1" applyAlignment="1"/>
    <xf numFmtId="41" fontId="45" fillId="0" borderId="56" xfId="1" applyNumberFormat="1" applyFont="1" applyFill="1" applyBorder="1"/>
    <xf numFmtId="0" fontId="43" fillId="0" borderId="66" xfId="3" applyFont="1" applyBorder="1"/>
    <xf numFmtId="41" fontId="42" fillId="0" borderId="56" xfId="1" applyNumberFormat="1" applyFont="1" applyBorder="1"/>
    <xf numFmtId="0" fontId="43" fillId="0" borderId="45" xfId="3" applyFont="1" applyBorder="1" applyAlignment="1"/>
    <xf numFmtId="0" fontId="39" fillId="0" borderId="51" xfId="3" applyFont="1" applyBorder="1" applyAlignment="1"/>
    <xf numFmtId="3" fontId="43" fillId="0" borderId="56" xfId="3" applyNumberFormat="1" applyFont="1" applyBorder="1" applyAlignment="1">
      <alignment horizontal="center"/>
    </xf>
    <xf numFmtId="0" fontId="39" fillId="0" borderId="66" xfId="3" applyFont="1" applyBorder="1" applyAlignment="1">
      <alignment horizontal="center"/>
    </xf>
    <xf numFmtId="3" fontId="43" fillId="0" borderId="56" xfId="3" quotePrefix="1" applyNumberFormat="1" applyFont="1" applyBorder="1" applyAlignment="1">
      <alignment horizontal="center" shrinkToFit="1"/>
    </xf>
    <xf numFmtId="0" fontId="39" fillId="0" borderId="66" xfId="3" applyFont="1" applyBorder="1"/>
    <xf numFmtId="41" fontId="43" fillId="0" borderId="56" xfId="3" applyNumberFormat="1" applyFont="1" applyBorder="1"/>
    <xf numFmtId="43" fontId="39" fillId="0" borderId="66" xfId="3" applyNumberFormat="1" applyFont="1" applyBorder="1"/>
    <xf numFmtId="41" fontId="43" fillId="0" borderId="56" xfId="1" applyNumberFormat="1" applyFont="1" applyBorder="1"/>
    <xf numFmtId="43" fontId="39" fillId="0" borderId="66" xfId="21" applyNumberFormat="1" applyFont="1" applyBorder="1"/>
    <xf numFmtId="41" fontId="43" fillId="0" borderId="56" xfId="1" applyNumberFormat="1" applyFont="1" applyBorder="1" applyAlignment="1"/>
    <xf numFmtId="43" fontId="39" fillId="0" borderId="66" xfId="21" applyNumberFormat="1" applyFont="1" applyBorder="1" applyAlignment="1"/>
    <xf numFmtId="3" fontId="43" fillId="0" borderId="56" xfId="1" applyNumberFormat="1" applyFont="1" applyBorder="1"/>
    <xf numFmtId="3" fontId="43" fillId="0" borderId="56" xfId="3" applyNumberFormat="1" applyFont="1" applyBorder="1"/>
    <xf numFmtId="0" fontId="39" fillId="0" borderId="45" xfId="3" applyFont="1" applyBorder="1" applyAlignment="1"/>
    <xf numFmtId="3" fontId="39" fillId="0" borderId="56" xfId="3" applyNumberFormat="1" applyFont="1" applyBorder="1" applyAlignment="1">
      <alignment horizontal="center"/>
    </xf>
    <xf numFmtId="3" fontId="39" fillId="0" borderId="56" xfId="3" applyNumberFormat="1" applyFont="1" applyBorder="1"/>
    <xf numFmtId="41" fontId="39" fillId="0" borderId="56" xfId="3" applyNumberFormat="1" applyFont="1" applyBorder="1"/>
    <xf numFmtId="41" fontId="39" fillId="0" borderId="56" xfId="1" applyNumberFormat="1" applyFont="1" applyBorder="1"/>
    <xf numFmtId="41" fontId="39" fillId="0" borderId="56" xfId="1" applyNumberFormat="1" applyFont="1" applyBorder="1" applyAlignment="1"/>
    <xf numFmtId="41" fontId="39" fillId="0" borderId="45" xfId="3" applyNumberFormat="1" applyFont="1" applyBorder="1"/>
    <xf numFmtId="3" fontId="44" fillId="0" borderId="51" xfId="3" quotePrefix="1" applyNumberFormat="1" applyFont="1" applyBorder="1" applyAlignment="1"/>
    <xf numFmtId="0" fontId="44" fillId="0" borderId="66" xfId="3" applyFont="1" applyBorder="1" applyAlignment="1">
      <alignment horizontal="center"/>
    </xf>
    <xf numFmtId="3" fontId="44" fillId="0" borderId="66" xfId="3" quotePrefix="1" applyNumberFormat="1" applyFont="1" applyBorder="1" applyAlignment="1"/>
    <xf numFmtId="43" fontId="44" fillId="0" borderId="66" xfId="3" applyNumberFormat="1" applyFont="1" applyBorder="1"/>
    <xf numFmtId="43" fontId="44" fillId="0" borderId="66" xfId="21" applyNumberFormat="1" applyFont="1" applyBorder="1"/>
    <xf numFmtId="43" fontId="44" fillId="0" borderId="66" xfId="21" applyNumberFormat="1" applyFont="1" applyBorder="1" applyAlignment="1"/>
    <xf numFmtId="0" fontId="44" fillId="0" borderId="66" xfId="3" applyFont="1" applyBorder="1"/>
    <xf numFmtId="43" fontId="4" fillId="0" borderId="51" xfId="3" applyNumberFormat="1" applyFont="1" applyBorder="1"/>
    <xf numFmtId="3" fontId="44" fillId="0" borderId="45" xfId="3" quotePrefix="1" applyNumberFormat="1" applyFont="1" applyBorder="1" applyAlignment="1"/>
    <xf numFmtId="0" fontId="4" fillId="0" borderId="66" xfId="0" applyFont="1" applyBorder="1"/>
    <xf numFmtId="3" fontId="44" fillId="0" borderId="56" xfId="3" applyNumberFormat="1" applyFont="1" applyBorder="1" applyAlignment="1">
      <alignment horizontal="center"/>
    </xf>
    <xf numFmtId="3" fontId="44" fillId="0" borderId="56" xfId="3" quotePrefix="1" applyNumberFormat="1" applyFont="1" applyBorder="1" applyAlignment="1"/>
    <xf numFmtId="41" fontId="44" fillId="0" borderId="56" xfId="3" applyNumberFormat="1" applyFont="1" applyBorder="1"/>
    <xf numFmtId="41" fontId="44" fillId="0" borderId="56" xfId="1" applyNumberFormat="1" applyFont="1" applyBorder="1"/>
    <xf numFmtId="41" fontId="44" fillId="0" borderId="56" xfId="1" applyNumberFormat="1" applyFont="1" applyBorder="1" applyAlignment="1"/>
    <xf numFmtId="0" fontId="4" fillId="0" borderId="66" xfId="0" applyFont="1" applyBorder="1" applyAlignment="1"/>
    <xf numFmtId="3" fontId="44" fillId="0" borderId="56" xfId="3" applyNumberFormat="1" applyFont="1" applyBorder="1"/>
    <xf numFmtId="43" fontId="43" fillId="0" borderId="54" xfId="3" applyNumberFormat="1" applyFont="1" applyBorder="1"/>
    <xf numFmtId="43" fontId="46" fillId="0" borderId="27" xfId="3" applyNumberFormat="1" applyFont="1" applyBorder="1"/>
    <xf numFmtId="43" fontId="41" fillId="0" borderId="3" xfId="3" applyNumberFormat="1" applyFont="1" applyBorder="1"/>
    <xf numFmtId="41" fontId="41" fillId="0" borderId="55" xfId="3" applyNumberFormat="1" applyFont="1" applyFill="1" applyBorder="1"/>
    <xf numFmtId="41" fontId="41" fillId="0" borderId="3" xfId="1" applyNumberFormat="1" applyFont="1" applyBorder="1"/>
    <xf numFmtId="43" fontId="42" fillId="0" borderId="3" xfId="3" applyNumberFormat="1" applyFont="1" applyBorder="1"/>
    <xf numFmtId="41" fontId="42" fillId="0" borderId="55" xfId="3" applyNumberFormat="1" applyFont="1" applyFill="1" applyBorder="1"/>
    <xf numFmtId="41" fontId="42" fillId="0" borderId="3" xfId="1" applyNumberFormat="1" applyFont="1" applyFill="1" applyBorder="1"/>
    <xf numFmtId="43" fontId="43" fillId="0" borderId="3" xfId="3" applyNumberFormat="1" applyFont="1" applyBorder="1"/>
    <xf numFmtId="41" fontId="43" fillId="0" borderId="55" xfId="3" applyNumberFormat="1" applyFont="1" applyBorder="1"/>
    <xf numFmtId="41" fontId="43" fillId="0" borderId="3" xfId="1" applyNumberFormat="1" applyFont="1" applyBorder="1"/>
    <xf numFmtId="43" fontId="39" fillId="0" borderId="3" xfId="3" applyNumberFormat="1" applyFont="1" applyBorder="1"/>
    <xf numFmtId="41" fontId="39" fillId="0" borderId="55" xfId="3" applyNumberFormat="1" applyFont="1" applyBorder="1"/>
    <xf numFmtId="41" fontId="39" fillId="0" borderId="3" xfId="1" applyNumberFormat="1" applyFont="1" applyBorder="1"/>
    <xf numFmtId="43" fontId="44" fillId="0" borderId="3" xfId="3" applyNumberFormat="1" applyFont="1" applyBorder="1"/>
    <xf numFmtId="41" fontId="44" fillId="0" borderId="55" xfId="3" applyNumberFormat="1" applyFont="1" applyBorder="1"/>
    <xf numFmtId="41" fontId="44" fillId="0" borderId="3" xfId="1" applyNumberFormat="1" applyFont="1" applyBorder="1"/>
    <xf numFmtId="0" fontId="47" fillId="0" borderId="51" xfId="3" applyFont="1" applyBorder="1" applyAlignment="1"/>
    <xf numFmtId="0" fontId="47" fillId="0" borderId="45" xfId="3" applyFont="1" applyBorder="1" applyAlignment="1"/>
    <xf numFmtId="0" fontId="47" fillId="0" borderId="66" xfId="3" applyFont="1" applyBorder="1" applyAlignment="1">
      <alignment horizontal="center"/>
    </xf>
    <xf numFmtId="3" fontId="47" fillId="0" borderId="56" xfId="3" applyNumberFormat="1" applyFont="1" applyBorder="1" applyAlignment="1">
      <alignment horizontal="center"/>
    </xf>
    <xf numFmtId="0" fontId="47" fillId="0" borderId="66" xfId="3" quotePrefix="1" applyFont="1" applyBorder="1" applyAlignment="1">
      <alignment horizontal="centerContinuous"/>
    </xf>
    <xf numFmtId="3" fontId="47" fillId="0" borderId="56" xfId="3" applyNumberFormat="1" applyFont="1" applyBorder="1" applyAlignment="1">
      <alignment horizontal="centerContinuous"/>
    </xf>
    <xf numFmtId="43" fontId="47" fillId="0" borderId="66" xfId="3" applyNumberFormat="1" applyFont="1" applyBorder="1"/>
    <xf numFmtId="41" fontId="47" fillId="0" borderId="56" xfId="3" applyNumberFormat="1" applyFont="1" applyBorder="1"/>
    <xf numFmtId="43" fontId="47" fillId="0" borderId="66" xfId="21" applyNumberFormat="1" applyFont="1" applyBorder="1"/>
    <xf numFmtId="41" fontId="47" fillId="0" borderId="56" xfId="1" applyNumberFormat="1" applyFont="1" applyBorder="1"/>
    <xf numFmtId="43" fontId="47" fillId="0" borderId="66" xfId="21" applyNumberFormat="1" applyFont="1" applyBorder="1" applyAlignment="1"/>
    <xf numFmtId="41" fontId="47" fillId="0" borderId="56" xfId="1" applyNumberFormat="1" applyFont="1" applyBorder="1" applyAlignment="1"/>
    <xf numFmtId="0" fontId="41" fillId="0" borderId="66" xfId="3" applyFont="1" applyBorder="1"/>
    <xf numFmtId="0" fontId="37" fillId="0" borderId="66" xfId="3" applyFont="1" applyBorder="1"/>
    <xf numFmtId="0" fontId="47" fillId="0" borderId="66" xfId="3" applyFont="1" applyBorder="1"/>
    <xf numFmtId="3" fontId="47" fillId="0" borderId="56" xfId="3" applyNumberFormat="1" applyFont="1" applyBorder="1"/>
    <xf numFmtId="43" fontId="47" fillId="0" borderId="3" xfId="3" applyNumberFormat="1" applyFont="1" applyBorder="1"/>
    <xf numFmtId="41" fontId="47" fillId="0" borderId="55" xfId="3" applyNumberFormat="1" applyFont="1" applyBorder="1"/>
    <xf numFmtId="43" fontId="37" fillId="0" borderId="53" xfId="3" applyNumberFormat="1" applyFont="1" applyBorder="1"/>
    <xf numFmtId="43" fontId="39" fillId="0" borderId="53" xfId="3" applyNumberFormat="1" applyFont="1" applyBorder="1"/>
    <xf numFmtId="41" fontId="47" fillId="0" borderId="3" xfId="1" applyNumberFormat="1" applyFont="1" applyBorder="1"/>
    <xf numFmtId="165" fontId="48" fillId="0" borderId="0" xfId="1" applyNumberFormat="1" applyFont="1" applyBorder="1"/>
    <xf numFmtId="43" fontId="48" fillId="0" borderId="66" xfId="3" applyNumberFormat="1" applyFont="1" applyBorder="1"/>
    <xf numFmtId="41" fontId="48" fillId="0" borderId="56" xfId="1" applyNumberFormat="1" applyFont="1" applyBorder="1"/>
    <xf numFmtId="41" fontId="48" fillId="0" borderId="56" xfId="3" applyNumberFormat="1" applyFont="1" applyBorder="1"/>
    <xf numFmtId="165" fontId="44" fillId="0" borderId="0" xfId="1" applyNumberFormat="1" applyFont="1" applyBorder="1"/>
    <xf numFmtId="43" fontId="48" fillId="0" borderId="54" xfId="3" applyNumberFormat="1" applyFont="1" applyBorder="1"/>
    <xf numFmtId="41" fontId="48" fillId="0" borderId="27" xfId="3" applyNumberFormat="1" applyFont="1" applyBorder="1"/>
    <xf numFmtId="41" fontId="4" fillId="0" borderId="27" xfId="3" applyNumberFormat="1" applyFont="1" applyBorder="1"/>
    <xf numFmtId="43" fontId="43" fillId="0" borderId="51" xfId="3" applyNumberFormat="1" applyFont="1" applyBorder="1"/>
    <xf numFmtId="41" fontId="47" fillId="0" borderId="45" xfId="3" applyNumberFormat="1" applyFont="1" applyBorder="1"/>
    <xf numFmtId="43" fontId="43" fillId="0" borderId="56" xfId="3" applyNumberFormat="1" applyFont="1" applyBorder="1"/>
    <xf numFmtId="4" fontId="37" fillId="0" borderId="66" xfId="3" applyNumberFormat="1" applyFont="1" applyFill="1" applyBorder="1" applyAlignment="1">
      <alignment horizontal="right"/>
    </xf>
    <xf numFmtId="43" fontId="4" fillId="0" borderId="66" xfId="1" applyFont="1" applyBorder="1"/>
    <xf numFmtId="43" fontId="4" fillId="0" borderId="66" xfId="1" applyFont="1" applyBorder="1" applyAlignment="1"/>
    <xf numFmtId="43" fontId="4" fillId="0" borderId="66" xfId="3" applyNumberFormat="1" applyFont="1" applyBorder="1" applyAlignment="1">
      <alignment horizontal="center"/>
    </xf>
    <xf numFmtId="41" fontId="4" fillId="0" borderId="56" xfId="3" applyNumberFormat="1" applyFont="1" applyBorder="1" applyAlignment="1">
      <alignment horizontal="center"/>
    </xf>
    <xf numFmtId="43" fontId="45" fillId="0" borderId="66" xfId="3" applyNumberFormat="1" applyFont="1" applyBorder="1" applyAlignment="1">
      <alignment horizontal="center"/>
    </xf>
    <xf numFmtId="41" fontId="45" fillId="0" borderId="56" xfId="3" applyNumberFormat="1" applyFont="1" applyBorder="1" applyAlignment="1">
      <alignment horizontal="center"/>
    </xf>
    <xf numFmtId="43" fontId="43" fillId="0" borderId="66" xfId="3" applyNumberFormat="1" applyFont="1" applyBorder="1" applyAlignment="1">
      <alignment horizontal="center"/>
    </xf>
    <xf numFmtId="41" fontId="43" fillId="0" borderId="56" xfId="3" applyNumberFormat="1" applyFont="1" applyBorder="1" applyAlignment="1">
      <alignment horizontal="center"/>
    </xf>
    <xf numFmtId="43" fontId="39" fillId="0" borderId="66" xfId="3" applyNumberFormat="1" applyFont="1" applyBorder="1" applyAlignment="1">
      <alignment horizontal="center"/>
    </xf>
    <xf numFmtId="41" fontId="39" fillId="0" borderId="56" xfId="3" applyNumberFormat="1" applyFont="1" applyBorder="1" applyAlignment="1">
      <alignment horizontal="center"/>
    </xf>
    <xf numFmtId="43" fontId="47" fillId="0" borderId="66" xfId="3" applyNumberFormat="1" applyFont="1" applyBorder="1" applyAlignment="1">
      <alignment horizontal="center"/>
    </xf>
    <xf numFmtId="41" fontId="47" fillId="0" borderId="56" xfId="3" applyNumberFormat="1" applyFont="1" applyBorder="1" applyAlignment="1">
      <alignment horizontal="center"/>
    </xf>
    <xf numFmtId="43" fontId="44" fillId="0" borderId="66" xfId="3" applyNumberFormat="1" applyFont="1" applyBorder="1" applyAlignment="1">
      <alignment horizontal="center"/>
    </xf>
    <xf numFmtId="41" fontId="44" fillId="0" borderId="56" xfId="3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7" fillId="0" borderId="0" xfId="0" applyNumberFormat="1" applyFont="1" applyAlignment="1">
      <alignment horizontal="left"/>
    </xf>
    <xf numFmtId="177" fontId="37" fillId="0" borderId="121" xfId="0" applyNumberFormat="1" applyFont="1" applyBorder="1" applyAlignment="1">
      <alignment horizontal="right"/>
    </xf>
    <xf numFmtId="0" fontId="4" fillId="0" borderId="121" xfId="12" applyFont="1" applyBorder="1"/>
    <xf numFmtId="3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81" xfId="0" applyFont="1" applyBorder="1" applyAlignment="1"/>
    <xf numFmtId="0" fontId="6" fillId="0" borderId="49" xfId="0" applyFont="1" applyBorder="1" applyAlignment="1">
      <alignment horizontal="center"/>
    </xf>
    <xf numFmtId="0" fontId="6" fillId="0" borderId="49" xfId="33" applyFont="1" applyBorder="1" applyAlignment="1">
      <alignment horizontal="center"/>
    </xf>
    <xf numFmtId="0" fontId="6" fillId="11" borderId="100" xfId="33" applyFont="1" applyFill="1" applyBorder="1" applyAlignment="1">
      <alignment horizontal="center"/>
    </xf>
    <xf numFmtId="173" fontId="5" fillId="2" borderId="80" xfId="0" applyNumberFormat="1" applyFont="1" applyFill="1" applyBorder="1" applyAlignment="1">
      <alignment horizontal="centerContinuous"/>
    </xf>
    <xf numFmtId="173" fontId="5" fillId="2" borderId="83" xfId="0" applyNumberFormat="1" applyFont="1" applyFill="1" applyBorder="1" applyAlignment="1">
      <alignment horizontal="centerContinuous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Continuous"/>
    </xf>
    <xf numFmtId="42" fontId="6" fillId="2" borderId="32" xfId="0" applyNumberFormat="1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42" fontId="6" fillId="2" borderId="10" xfId="0" applyNumberFormat="1" applyFont="1" applyFill="1" applyBorder="1" applyAlignment="1">
      <alignment horizontal="centerContinuous"/>
    </xf>
    <xf numFmtId="173" fontId="6" fillId="2" borderId="10" xfId="0" applyNumberFormat="1" applyFont="1" applyFill="1" applyBorder="1" applyAlignment="1">
      <alignment horizontal="centerContinuous"/>
    </xf>
    <xf numFmtId="173" fontId="6" fillId="2" borderId="20" xfId="0" applyNumberFormat="1" applyFont="1" applyFill="1" applyBorder="1" applyAlignment="1">
      <alignment horizontal="centerContinuous"/>
    </xf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42" fontId="6" fillId="2" borderId="3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2" fontId="6" fillId="2" borderId="31" xfId="0" applyNumberFormat="1" applyFont="1" applyFill="1" applyBorder="1" applyAlignment="1">
      <alignment horizontal="center"/>
    </xf>
    <xf numFmtId="173" fontId="6" fillId="2" borderId="31" xfId="0" applyNumberFormat="1" applyFont="1" applyFill="1" applyBorder="1" applyAlignment="1">
      <alignment horizontal="center"/>
    </xf>
    <xf numFmtId="173" fontId="6" fillId="2" borderId="36" xfId="0" applyNumberFormat="1" applyFont="1" applyFill="1" applyBorder="1" applyAlignment="1">
      <alignment horizontal="center"/>
    </xf>
    <xf numFmtId="171" fontId="6" fillId="2" borderId="10" xfId="0" applyNumberFormat="1" applyFont="1" applyFill="1" applyBorder="1" applyAlignment="1">
      <alignment horizontal="centerContinuous"/>
    </xf>
    <xf numFmtId="171" fontId="6" fillId="2" borderId="11" xfId="0" applyNumberFormat="1" applyFont="1" applyFill="1" applyBorder="1" applyAlignment="1">
      <alignment horizontal="center"/>
    </xf>
    <xf numFmtId="171" fontId="6" fillId="2" borderId="1" xfId="0" applyNumberFormat="1" applyFont="1" applyFill="1" applyBorder="1" applyAlignment="1">
      <alignment horizontal="center"/>
    </xf>
    <xf numFmtId="173" fontId="6" fillId="2" borderId="31" xfId="0" applyNumberFormat="1" applyFont="1" applyFill="1" applyBorder="1" applyAlignment="1">
      <alignment horizontal="right"/>
    </xf>
    <xf numFmtId="0" fontId="6" fillId="0" borderId="77" xfId="0" applyFont="1" applyBorder="1" applyAlignment="1">
      <alignment horizontal="center"/>
    </xf>
    <xf numFmtId="0" fontId="6" fillId="2" borderId="0" xfId="0" quotePrefix="1" applyFont="1" applyFill="1" applyBorder="1" applyAlignment="1">
      <alignment horizontal="centerContinuous"/>
    </xf>
    <xf numFmtId="0" fontId="6" fillId="2" borderId="77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0" fontId="6" fillId="2" borderId="120" xfId="0" applyFont="1" applyFill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2" borderId="38" xfId="0" applyFont="1" applyFill="1" applyBorder="1" applyAlignment="1">
      <alignment horizontal="centerContinuous"/>
    </xf>
    <xf numFmtId="0" fontId="6" fillId="2" borderId="56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6" fillId="2" borderId="66" xfId="0" quotePrefix="1" applyFont="1" applyFill="1" applyBorder="1" applyAlignment="1">
      <alignment horizontal="centerContinuous"/>
    </xf>
    <xf numFmtId="0" fontId="6" fillId="2" borderId="102" xfId="0" applyFont="1" applyFill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05" xfId="0" applyFont="1" applyFill="1" applyBorder="1" applyAlignment="1">
      <alignment horizontal="center"/>
    </xf>
    <xf numFmtId="0" fontId="6" fillId="2" borderId="101" xfId="0" applyFont="1" applyFill="1" applyBorder="1" applyAlignment="1">
      <alignment horizontal="center"/>
    </xf>
    <xf numFmtId="0" fontId="6" fillId="2" borderId="11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0" borderId="112" xfId="0" applyFont="1" applyFill="1" applyBorder="1" applyAlignment="1">
      <alignment horizontal="center"/>
    </xf>
    <xf numFmtId="0" fontId="6" fillId="0" borderId="113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2" xfId="0" applyFont="1" applyFill="1" applyBorder="1"/>
    <xf numFmtId="0" fontId="6" fillId="4" borderId="9" xfId="0" applyFont="1" applyFill="1" applyBorder="1" applyAlignment="1">
      <alignment horizontal="centerContinuous"/>
    </xf>
    <xf numFmtId="0" fontId="6" fillId="4" borderId="10" xfId="0" applyFont="1" applyFill="1" applyBorder="1" applyAlignment="1">
      <alignment horizontal="centerContinuous"/>
    </xf>
    <xf numFmtId="0" fontId="6" fillId="4" borderId="20" xfId="0" applyFont="1" applyFill="1" applyBorder="1" applyAlignment="1">
      <alignment horizontal="centerContinuous"/>
    </xf>
    <xf numFmtId="0" fontId="6" fillId="4" borderId="112" xfId="0" applyFont="1" applyFill="1" applyBorder="1" applyAlignment="1">
      <alignment horizontal="center"/>
    </xf>
    <xf numFmtId="172" fontId="6" fillId="4" borderId="48" xfId="0" applyNumberFormat="1" applyFont="1" applyFill="1" applyBorder="1" applyAlignment="1">
      <alignment horizontal="centerContinuous"/>
    </xf>
    <xf numFmtId="0" fontId="6" fillId="4" borderId="49" xfId="0" applyFont="1" applyFill="1" applyBorder="1" applyAlignment="1">
      <alignment horizontal="centerContinuous"/>
    </xf>
    <xf numFmtId="0" fontId="6" fillId="4" borderId="10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6" fillId="4" borderId="36" xfId="0" applyFont="1" applyFill="1" applyBorder="1" applyAlignment="1">
      <alignment horizontal="centerContinuous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Continuous"/>
    </xf>
    <xf numFmtId="0" fontId="6" fillId="4" borderId="74" xfId="0" applyFont="1" applyFill="1" applyBorder="1" applyAlignment="1">
      <alignment horizontal="centerContinuous"/>
    </xf>
    <xf numFmtId="0" fontId="6" fillId="4" borderId="8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Continuous"/>
    </xf>
    <xf numFmtId="0" fontId="6" fillId="4" borderId="32" xfId="0" applyFont="1" applyFill="1" applyBorder="1" applyAlignment="1">
      <alignment horizontal="centerContinuous"/>
    </xf>
    <xf numFmtId="0" fontId="6" fillId="4" borderId="103" xfId="0" applyFont="1" applyFill="1" applyBorder="1" applyAlignment="1">
      <alignment horizontal="centerContinuous"/>
    </xf>
    <xf numFmtId="0" fontId="6" fillId="4" borderId="38" xfId="0" applyFont="1" applyFill="1" applyBorder="1" applyAlignment="1">
      <alignment horizontal="centerContinuous"/>
    </xf>
    <xf numFmtId="0" fontId="6" fillId="4" borderId="66" xfId="0" applyFont="1" applyFill="1" applyBorder="1" applyAlignment="1">
      <alignment horizontal="centerContinuous"/>
    </xf>
    <xf numFmtId="0" fontId="6" fillId="4" borderId="120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Continuous"/>
    </xf>
    <xf numFmtId="0" fontId="6" fillId="4" borderId="31" xfId="0" applyFont="1" applyFill="1" applyBorder="1" applyAlignment="1">
      <alignment horizontal="centerContinuous"/>
    </xf>
    <xf numFmtId="0" fontId="6" fillId="4" borderId="33" xfId="0" applyFont="1" applyFill="1" applyBorder="1" applyAlignment="1">
      <alignment horizontal="centerContinuous"/>
    </xf>
    <xf numFmtId="0" fontId="6" fillId="4" borderId="115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Continuous"/>
    </xf>
    <xf numFmtId="0" fontId="6" fillId="4" borderId="55" xfId="0" applyFont="1" applyFill="1" applyBorder="1" applyAlignment="1">
      <alignment horizontal="centerContinuous"/>
    </xf>
    <xf numFmtId="0" fontId="6" fillId="4" borderId="54" xfId="0" applyFont="1" applyFill="1" applyBorder="1" applyAlignment="1">
      <alignment horizontal="centerContinuous"/>
    </xf>
    <xf numFmtId="0" fontId="6" fillId="4" borderId="122" xfId="0" applyFont="1" applyFill="1" applyBorder="1" applyAlignment="1">
      <alignment horizontal="centerContinuous"/>
    </xf>
    <xf numFmtId="0" fontId="50" fillId="12" borderId="13" xfId="0" applyFont="1" applyFill="1" applyBorder="1" applyAlignment="1">
      <alignment horizontal="center" vertical="center" wrapText="1"/>
    </xf>
    <xf numFmtId="0" fontId="50" fillId="12" borderId="0" xfId="0" applyFont="1" applyFill="1" applyBorder="1" applyAlignment="1">
      <alignment horizontal="center" vertical="center" wrapText="1"/>
    </xf>
    <xf numFmtId="0" fontId="50" fillId="12" borderId="102" xfId="0" applyFont="1" applyFill="1" applyBorder="1" applyAlignment="1">
      <alignment horizontal="center" vertical="center" wrapText="1"/>
    </xf>
    <xf numFmtId="0" fontId="50" fillId="12" borderId="11" xfId="0" applyFont="1" applyFill="1" applyBorder="1" applyAlignment="1">
      <alignment horizontal="center" vertical="center" wrapText="1"/>
    </xf>
    <xf numFmtId="0" fontId="50" fillId="12" borderId="1" xfId="0" applyFont="1" applyFill="1" applyBorder="1" applyAlignment="1">
      <alignment horizontal="center" vertical="center" wrapText="1"/>
    </xf>
    <xf numFmtId="0" fontId="50" fillId="12" borderId="10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0" fillId="12" borderId="77" xfId="0" applyFont="1" applyFill="1" applyBorder="1" applyAlignment="1">
      <alignment horizontal="center" vertical="center" wrapText="1"/>
    </xf>
    <xf numFmtId="0" fontId="50" fillId="12" borderId="3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6" fillId="2" borderId="66" xfId="0" quotePrefix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49" fillId="12" borderId="13" xfId="0" applyFont="1" applyFill="1" applyBorder="1" applyAlignment="1">
      <alignment horizontal="center" vertical="center" wrapText="1"/>
    </xf>
    <xf numFmtId="0" fontId="49" fillId="12" borderId="0" xfId="0" applyFont="1" applyFill="1" applyBorder="1" applyAlignment="1">
      <alignment horizontal="center" vertical="center" wrapText="1"/>
    </xf>
    <xf numFmtId="0" fontId="49" fillId="12" borderId="102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1" xfId="0" applyFont="1" applyFill="1" applyBorder="1" applyAlignment="1">
      <alignment horizontal="center" vertical="center" wrapText="1"/>
    </xf>
    <xf numFmtId="0" fontId="49" fillId="12" borderId="101" xfId="0" applyFont="1" applyFill="1" applyBorder="1" applyAlignment="1">
      <alignment horizontal="center" vertical="center" wrapText="1"/>
    </xf>
    <xf numFmtId="0" fontId="49" fillId="12" borderId="9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center" vertical="center" wrapText="1"/>
    </xf>
    <xf numFmtId="0" fontId="49" fillId="12" borderId="36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center"/>
    </xf>
  </cellXfs>
  <cellStyles count="84">
    <cellStyle name="Comma" xfId="1" builtinId="3"/>
    <cellStyle name="Currency" xfId="2" builtinId="4"/>
    <cellStyle name="Normal" xfId="0" builtinId="0"/>
    <cellStyle name="Normal 10 10" xfId="3" xr:uid="{00000000-0005-0000-0000-000003000000}"/>
    <cellStyle name="Normal 10 2" xfId="4" xr:uid="{00000000-0005-0000-0000-000004000000}"/>
    <cellStyle name="Normal 10 3" xfId="5" xr:uid="{00000000-0005-0000-0000-000005000000}"/>
    <cellStyle name="Normal 10 4" xfId="6" xr:uid="{00000000-0005-0000-0000-000006000000}"/>
    <cellStyle name="Normal 10 5" xfId="7" xr:uid="{00000000-0005-0000-0000-000007000000}"/>
    <cellStyle name="Normal 10 6" xfId="8" xr:uid="{00000000-0005-0000-0000-000008000000}"/>
    <cellStyle name="Normal 10 7" xfId="9" xr:uid="{00000000-0005-0000-0000-000009000000}"/>
    <cellStyle name="Normal 10 8" xfId="10" xr:uid="{00000000-0005-0000-0000-00000A000000}"/>
    <cellStyle name="Normal 10 9" xfId="11" xr:uid="{00000000-0005-0000-0000-00000B000000}"/>
    <cellStyle name="Normal 11 10" xfId="12" xr:uid="{00000000-0005-0000-0000-00000C000000}"/>
    <cellStyle name="Normal 11 2" xfId="13" xr:uid="{00000000-0005-0000-0000-00000D000000}"/>
    <cellStyle name="Normal 11 3" xfId="14" xr:uid="{00000000-0005-0000-0000-00000E000000}"/>
    <cellStyle name="Normal 11 4" xfId="15" xr:uid="{00000000-0005-0000-0000-00000F000000}"/>
    <cellStyle name="Normal 11 5" xfId="16" xr:uid="{00000000-0005-0000-0000-000010000000}"/>
    <cellStyle name="Normal 11 6" xfId="17" xr:uid="{00000000-0005-0000-0000-000011000000}"/>
    <cellStyle name="Normal 11 7" xfId="18" xr:uid="{00000000-0005-0000-0000-000012000000}"/>
    <cellStyle name="Normal 11 8" xfId="19" xr:uid="{00000000-0005-0000-0000-000013000000}"/>
    <cellStyle name="Normal 11 9" xfId="20" xr:uid="{00000000-0005-0000-0000-000014000000}"/>
    <cellStyle name="Normal 12 10" xfId="21" xr:uid="{00000000-0005-0000-0000-000015000000}"/>
    <cellStyle name="Normal 12 2" xfId="22" xr:uid="{00000000-0005-0000-0000-000016000000}"/>
    <cellStyle name="Normal 12 3" xfId="23" xr:uid="{00000000-0005-0000-0000-000017000000}"/>
    <cellStyle name="Normal 12 4" xfId="24" xr:uid="{00000000-0005-0000-0000-000018000000}"/>
    <cellStyle name="Normal 12 5" xfId="25" xr:uid="{00000000-0005-0000-0000-000019000000}"/>
    <cellStyle name="Normal 12 6" xfId="26" xr:uid="{00000000-0005-0000-0000-00001A000000}"/>
    <cellStyle name="Normal 12 7" xfId="27" xr:uid="{00000000-0005-0000-0000-00001B000000}"/>
    <cellStyle name="Normal 12 8" xfId="28" xr:uid="{00000000-0005-0000-0000-00001C000000}"/>
    <cellStyle name="Normal 12 9" xfId="29" xr:uid="{00000000-0005-0000-0000-00001D000000}"/>
    <cellStyle name="Normal 13 2" xfId="30" xr:uid="{00000000-0005-0000-0000-00001E000000}"/>
    <cellStyle name="Normal 14 2" xfId="31" xr:uid="{00000000-0005-0000-0000-00001F000000}"/>
    <cellStyle name="Normal 15 2" xfId="32" xr:uid="{00000000-0005-0000-0000-000020000000}"/>
    <cellStyle name="Normal 2" xfId="33" xr:uid="{00000000-0005-0000-0000-000021000000}"/>
    <cellStyle name="Normal 2 10" xfId="34" xr:uid="{00000000-0005-0000-0000-000022000000}"/>
    <cellStyle name="Normal 2 11" xfId="35" xr:uid="{00000000-0005-0000-0000-000023000000}"/>
    <cellStyle name="Normal 2 12" xfId="36" xr:uid="{00000000-0005-0000-0000-000024000000}"/>
    <cellStyle name="Normal 2 13" xfId="37" xr:uid="{00000000-0005-0000-0000-000025000000}"/>
    <cellStyle name="Normal 2 14" xfId="38" xr:uid="{00000000-0005-0000-0000-000026000000}"/>
    <cellStyle name="Normal 2 15" xfId="39" xr:uid="{00000000-0005-0000-0000-000027000000}"/>
    <cellStyle name="Normal 2 16" xfId="40" xr:uid="{00000000-0005-0000-0000-000028000000}"/>
    <cellStyle name="Normal 2 17" xfId="41" xr:uid="{00000000-0005-0000-0000-000029000000}"/>
    <cellStyle name="Normal 2 2" xfId="42" xr:uid="{00000000-0005-0000-0000-00002A000000}"/>
    <cellStyle name="Normal 2 3" xfId="43" xr:uid="{00000000-0005-0000-0000-00002B000000}"/>
    <cellStyle name="Normal 2 4" xfId="44" xr:uid="{00000000-0005-0000-0000-00002C000000}"/>
    <cellStyle name="Normal 2 5" xfId="45" xr:uid="{00000000-0005-0000-0000-00002D000000}"/>
    <cellStyle name="Normal 2 6" xfId="46" xr:uid="{00000000-0005-0000-0000-00002E000000}"/>
    <cellStyle name="Normal 2 7" xfId="47" xr:uid="{00000000-0005-0000-0000-00002F000000}"/>
    <cellStyle name="Normal 2 8" xfId="48" xr:uid="{00000000-0005-0000-0000-000030000000}"/>
    <cellStyle name="Normal 2 9" xfId="49" xr:uid="{00000000-0005-0000-0000-000031000000}"/>
    <cellStyle name="Normal 4" xfId="50" xr:uid="{00000000-0005-0000-0000-000032000000}"/>
    <cellStyle name="Normal 4 10" xfId="51" xr:uid="{00000000-0005-0000-0000-000033000000}"/>
    <cellStyle name="Normal 4 11" xfId="52" xr:uid="{00000000-0005-0000-0000-000034000000}"/>
    <cellStyle name="Normal 4 12" xfId="53" xr:uid="{00000000-0005-0000-0000-000035000000}"/>
    <cellStyle name="Normal 4 13" xfId="54" xr:uid="{00000000-0005-0000-0000-000036000000}"/>
    <cellStyle name="Normal 4 14" xfId="55" xr:uid="{00000000-0005-0000-0000-000037000000}"/>
    <cellStyle name="Normal 4 15" xfId="56" xr:uid="{00000000-0005-0000-0000-000038000000}"/>
    <cellStyle name="Normal 4 16" xfId="57" xr:uid="{00000000-0005-0000-0000-000039000000}"/>
    <cellStyle name="Normal 4 17" xfId="58" xr:uid="{00000000-0005-0000-0000-00003A000000}"/>
    <cellStyle name="Normal 4 2" xfId="59" xr:uid="{00000000-0005-0000-0000-00003B000000}"/>
    <cellStyle name="Normal 4 3" xfId="60" xr:uid="{00000000-0005-0000-0000-00003C000000}"/>
    <cellStyle name="Normal 4 4" xfId="61" xr:uid="{00000000-0005-0000-0000-00003D000000}"/>
    <cellStyle name="Normal 4 5" xfId="62" xr:uid="{00000000-0005-0000-0000-00003E000000}"/>
    <cellStyle name="Normal 4 6" xfId="63" xr:uid="{00000000-0005-0000-0000-00003F000000}"/>
    <cellStyle name="Normal 4 7" xfId="64" xr:uid="{00000000-0005-0000-0000-000040000000}"/>
    <cellStyle name="Normal 4 8" xfId="65" xr:uid="{00000000-0005-0000-0000-000041000000}"/>
    <cellStyle name="Normal 4 9" xfId="66" xr:uid="{00000000-0005-0000-0000-000042000000}"/>
    <cellStyle name="Normal 5" xfId="67" xr:uid="{00000000-0005-0000-0000-000043000000}"/>
    <cellStyle name="Normal 5 10" xfId="68" xr:uid="{00000000-0005-0000-0000-000044000000}"/>
    <cellStyle name="Normal 5 11" xfId="69" xr:uid="{00000000-0005-0000-0000-000045000000}"/>
    <cellStyle name="Normal 5 12" xfId="70" xr:uid="{00000000-0005-0000-0000-000046000000}"/>
    <cellStyle name="Normal 5 13" xfId="71" xr:uid="{00000000-0005-0000-0000-000047000000}"/>
    <cellStyle name="Normal 5 14" xfId="72" xr:uid="{00000000-0005-0000-0000-000048000000}"/>
    <cellStyle name="Normal 5 15" xfId="73" xr:uid="{00000000-0005-0000-0000-000049000000}"/>
    <cellStyle name="Normal 5 16" xfId="74" xr:uid="{00000000-0005-0000-0000-00004A000000}"/>
    <cellStyle name="Normal 5 17" xfId="75" xr:uid="{00000000-0005-0000-0000-00004B000000}"/>
    <cellStyle name="Normal 5 2" xfId="76" xr:uid="{00000000-0005-0000-0000-00004C000000}"/>
    <cellStyle name="Normal 5 3" xfId="77" xr:uid="{00000000-0005-0000-0000-00004D000000}"/>
    <cellStyle name="Normal 5 4" xfId="78" xr:uid="{00000000-0005-0000-0000-00004E000000}"/>
    <cellStyle name="Normal 5 5" xfId="79" xr:uid="{00000000-0005-0000-0000-00004F000000}"/>
    <cellStyle name="Normal 5 6" xfId="80" xr:uid="{00000000-0005-0000-0000-000050000000}"/>
    <cellStyle name="Normal 5 7" xfId="81" xr:uid="{00000000-0005-0000-0000-000051000000}"/>
    <cellStyle name="Normal 5 8" xfId="82" xr:uid="{00000000-0005-0000-0000-000052000000}"/>
    <cellStyle name="Normal 5 9" xfId="83" xr:uid="{00000000-0005-0000-0000-00005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25</xdr:row>
      <xdr:rowOff>47625</xdr:rowOff>
    </xdr:from>
    <xdr:to>
      <xdr:col>18</xdr:col>
      <xdr:colOff>714375</xdr:colOff>
      <xdr:row>26</xdr:row>
      <xdr:rowOff>123825</xdr:rowOff>
    </xdr:to>
    <xdr:sp macro="" textlink="">
      <xdr:nvSpPr>
        <xdr:cNvPr id="652674" name="Line 1">
          <a:extLst>
            <a:ext uri="{FF2B5EF4-FFF2-40B4-BE49-F238E27FC236}">
              <a16:creationId xmlns:a16="http://schemas.microsoft.com/office/drawing/2014/main" id="{00000000-0008-0000-0400-000082F50900}"/>
            </a:ext>
          </a:extLst>
        </xdr:cNvPr>
        <xdr:cNvSpPr>
          <a:spLocks noChangeShapeType="1"/>
        </xdr:cNvSpPr>
      </xdr:nvSpPr>
      <xdr:spPr bwMode="auto">
        <a:xfrm flipH="1" flipV="1">
          <a:off x="12439650" y="3667125"/>
          <a:ext cx="5524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762000</xdr:colOff>
      <xdr:row>85</xdr:row>
      <xdr:rowOff>0</xdr:rowOff>
    </xdr:to>
    <xdr:sp macro="" textlink="">
      <xdr:nvSpPr>
        <xdr:cNvPr id="652675" name="Line 2">
          <a:extLst>
            <a:ext uri="{FF2B5EF4-FFF2-40B4-BE49-F238E27FC236}">
              <a16:creationId xmlns:a16="http://schemas.microsoft.com/office/drawing/2014/main" id="{00000000-0008-0000-0400-000083F50900}"/>
            </a:ext>
          </a:extLst>
        </xdr:cNvPr>
        <xdr:cNvSpPr>
          <a:spLocks noChangeShapeType="1"/>
        </xdr:cNvSpPr>
      </xdr:nvSpPr>
      <xdr:spPr bwMode="auto">
        <a:xfrm flipH="1" flipV="1">
          <a:off x="12439650" y="12125325"/>
          <a:ext cx="5524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16</xdr:row>
      <xdr:rowOff>66675</xdr:rowOff>
    </xdr:from>
    <xdr:to>
      <xdr:col>11</xdr:col>
      <xdr:colOff>114300</xdr:colOff>
      <xdr:row>19</xdr:row>
      <xdr:rowOff>85725</xdr:rowOff>
    </xdr:to>
    <xdr:sp macro="" textlink="">
      <xdr:nvSpPr>
        <xdr:cNvPr id="837270" name="Line 15">
          <a:extLst>
            <a:ext uri="{FF2B5EF4-FFF2-40B4-BE49-F238E27FC236}">
              <a16:creationId xmlns:a16="http://schemas.microsoft.com/office/drawing/2014/main" id="{00000000-0008-0000-0600-000096C60C00}"/>
            </a:ext>
          </a:extLst>
        </xdr:cNvPr>
        <xdr:cNvSpPr>
          <a:spLocks noChangeShapeType="1"/>
        </xdr:cNvSpPr>
      </xdr:nvSpPr>
      <xdr:spPr bwMode="auto">
        <a:xfrm>
          <a:off x="54006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57150</xdr:rowOff>
    </xdr:from>
    <xdr:to>
      <xdr:col>11</xdr:col>
      <xdr:colOff>123825</xdr:colOff>
      <xdr:row>16</xdr:row>
      <xdr:rowOff>57150</xdr:rowOff>
    </xdr:to>
    <xdr:sp macro="" textlink="">
      <xdr:nvSpPr>
        <xdr:cNvPr id="837271" name="Line 16">
          <a:extLst>
            <a:ext uri="{FF2B5EF4-FFF2-40B4-BE49-F238E27FC236}">
              <a16:creationId xmlns:a16="http://schemas.microsoft.com/office/drawing/2014/main" id="{00000000-0008-0000-0600-000097C60C00}"/>
            </a:ext>
          </a:extLst>
        </xdr:cNvPr>
        <xdr:cNvSpPr>
          <a:spLocks noChangeShapeType="1"/>
        </xdr:cNvSpPr>
      </xdr:nvSpPr>
      <xdr:spPr bwMode="auto">
        <a:xfrm flipH="1">
          <a:off x="52863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114300</xdr:colOff>
      <xdr:row>19</xdr:row>
      <xdr:rowOff>95250</xdr:rowOff>
    </xdr:to>
    <xdr:sp macro="" textlink="">
      <xdr:nvSpPr>
        <xdr:cNvPr id="837272" name="Line 17">
          <a:extLst>
            <a:ext uri="{FF2B5EF4-FFF2-40B4-BE49-F238E27FC236}">
              <a16:creationId xmlns:a16="http://schemas.microsoft.com/office/drawing/2014/main" id="{00000000-0008-0000-0600-000098C60C00}"/>
            </a:ext>
          </a:extLst>
        </xdr:cNvPr>
        <xdr:cNvSpPr>
          <a:spLocks noChangeShapeType="1"/>
        </xdr:cNvSpPr>
      </xdr:nvSpPr>
      <xdr:spPr bwMode="auto">
        <a:xfrm flipH="1">
          <a:off x="52959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6</xdr:row>
      <xdr:rowOff>76200</xdr:rowOff>
    </xdr:from>
    <xdr:to>
      <xdr:col>11</xdr:col>
      <xdr:colOff>123825</xdr:colOff>
      <xdr:row>7</xdr:row>
      <xdr:rowOff>142875</xdr:rowOff>
    </xdr:to>
    <xdr:sp macro="" textlink="">
      <xdr:nvSpPr>
        <xdr:cNvPr id="837273" name="Line 18">
          <a:extLst>
            <a:ext uri="{FF2B5EF4-FFF2-40B4-BE49-F238E27FC236}">
              <a16:creationId xmlns:a16="http://schemas.microsoft.com/office/drawing/2014/main" id="{00000000-0008-0000-0600-000099C60C00}"/>
            </a:ext>
          </a:extLst>
        </xdr:cNvPr>
        <xdr:cNvSpPr>
          <a:spLocks noChangeShapeType="1"/>
        </xdr:cNvSpPr>
      </xdr:nvSpPr>
      <xdr:spPr bwMode="auto">
        <a:xfrm>
          <a:off x="54102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123825</xdr:colOff>
      <xdr:row>6</xdr:row>
      <xdr:rowOff>76200</xdr:rowOff>
    </xdr:to>
    <xdr:sp macro="" textlink="">
      <xdr:nvSpPr>
        <xdr:cNvPr id="837274" name="Line 19">
          <a:extLst>
            <a:ext uri="{FF2B5EF4-FFF2-40B4-BE49-F238E27FC236}">
              <a16:creationId xmlns:a16="http://schemas.microsoft.com/office/drawing/2014/main" id="{00000000-0008-0000-0600-00009AC6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123825</xdr:colOff>
      <xdr:row>7</xdr:row>
      <xdr:rowOff>133350</xdr:rowOff>
    </xdr:to>
    <xdr:sp macro="" textlink="">
      <xdr:nvSpPr>
        <xdr:cNvPr id="837275" name="Line 20">
          <a:extLst>
            <a:ext uri="{FF2B5EF4-FFF2-40B4-BE49-F238E27FC236}">
              <a16:creationId xmlns:a16="http://schemas.microsoft.com/office/drawing/2014/main" id="{00000000-0008-0000-0600-00009BC60C00}"/>
            </a:ext>
          </a:extLst>
        </xdr:cNvPr>
        <xdr:cNvSpPr>
          <a:spLocks noChangeShapeType="1"/>
        </xdr:cNvSpPr>
      </xdr:nvSpPr>
      <xdr:spPr bwMode="auto">
        <a:xfrm flipH="1">
          <a:off x="52863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276" name="Line 21">
          <a:extLst>
            <a:ext uri="{FF2B5EF4-FFF2-40B4-BE49-F238E27FC236}">
              <a16:creationId xmlns:a16="http://schemas.microsoft.com/office/drawing/2014/main" id="{00000000-0008-0000-0600-00009CC60C00}"/>
            </a:ext>
          </a:extLst>
        </xdr:cNvPr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277" name="Line 22">
          <a:extLst>
            <a:ext uri="{FF2B5EF4-FFF2-40B4-BE49-F238E27FC236}">
              <a16:creationId xmlns:a16="http://schemas.microsoft.com/office/drawing/2014/main" id="{00000000-0008-0000-0600-00009DC6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278" name="Line 23">
          <a:extLst>
            <a:ext uri="{FF2B5EF4-FFF2-40B4-BE49-F238E27FC236}">
              <a16:creationId xmlns:a16="http://schemas.microsoft.com/office/drawing/2014/main" id="{00000000-0008-0000-0600-00009EC60C00}"/>
            </a:ext>
          </a:extLst>
        </xdr:cNvPr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279" name="Line 24">
          <a:extLst>
            <a:ext uri="{FF2B5EF4-FFF2-40B4-BE49-F238E27FC236}">
              <a16:creationId xmlns:a16="http://schemas.microsoft.com/office/drawing/2014/main" id="{00000000-0008-0000-0600-00009FC60C00}"/>
            </a:ext>
          </a:extLst>
        </xdr:cNvPr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280" name="Line 25">
          <a:extLst>
            <a:ext uri="{FF2B5EF4-FFF2-40B4-BE49-F238E27FC236}">
              <a16:creationId xmlns:a16="http://schemas.microsoft.com/office/drawing/2014/main" id="{00000000-0008-0000-0600-0000A0C60C00}"/>
            </a:ext>
          </a:extLst>
        </xdr:cNvPr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281" name="Line 26">
          <a:extLst>
            <a:ext uri="{FF2B5EF4-FFF2-40B4-BE49-F238E27FC236}">
              <a16:creationId xmlns:a16="http://schemas.microsoft.com/office/drawing/2014/main" id="{00000000-0008-0000-0600-0000A1C60C00}"/>
            </a:ext>
          </a:extLst>
        </xdr:cNvPr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16</xdr:row>
      <xdr:rowOff>66675</xdr:rowOff>
    </xdr:from>
    <xdr:to>
      <xdr:col>4</xdr:col>
      <xdr:colOff>114300</xdr:colOff>
      <xdr:row>19</xdr:row>
      <xdr:rowOff>85725</xdr:rowOff>
    </xdr:to>
    <xdr:sp macro="" textlink="">
      <xdr:nvSpPr>
        <xdr:cNvPr id="837282" name="Line 27">
          <a:extLst>
            <a:ext uri="{FF2B5EF4-FFF2-40B4-BE49-F238E27FC236}">
              <a16:creationId xmlns:a16="http://schemas.microsoft.com/office/drawing/2014/main" id="{00000000-0008-0000-0600-0000A2C60C00}"/>
            </a:ext>
          </a:extLst>
        </xdr:cNvPr>
        <xdr:cNvSpPr>
          <a:spLocks noChangeShapeType="1"/>
        </xdr:cNvSpPr>
      </xdr:nvSpPr>
      <xdr:spPr bwMode="auto">
        <a:xfrm>
          <a:off x="26003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123825</xdr:colOff>
      <xdr:row>16</xdr:row>
      <xdr:rowOff>57150</xdr:rowOff>
    </xdr:to>
    <xdr:sp macro="" textlink="">
      <xdr:nvSpPr>
        <xdr:cNvPr id="837283" name="Line 28">
          <a:extLst>
            <a:ext uri="{FF2B5EF4-FFF2-40B4-BE49-F238E27FC236}">
              <a16:creationId xmlns:a16="http://schemas.microsoft.com/office/drawing/2014/main" id="{00000000-0008-0000-0600-0000A3C60C00}"/>
            </a:ext>
          </a:extLst>
        </xdr:cNvPr>
        <xdr:cNvSpPr>
          <a:spLocks noChangeShapeType="1"/>
        </xdr:cNvSpPr>
      </xdr:nvSpPr>
      <xdr:spPr bwMode="auto">
        <a:xfrm flipH="1">
          <a:off x="24860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95250</xdr:rowOff>
    </xdr:from>
    <xdr:to>
      <xdr:col>4</xdr:col>
      <xdr:colOff>114300</xdr:colOff>
      <xdr:row>19</xdr:row>
      <xdr:rowOff>95250</xdr:rowOff>
    </xdr:to>
    <xdr:sp macro="" textlink="">
      <xdr:nvSpPr>
        <xdr:cNvPr id="837284" name="Line 29">
          <a:extLst>
            <a:ext uri="{FF2B5EF4-FFF2-40B4-BE49-F238E27FC236}">
              <a16:creationId xmlns:a16="http://schemas.microsoft.com/office/drawing/2014/main" id="{00000000-0008-0000-0600-0000A4C60C00}"/>
            </a:ext>
          </a:extLst>
        </xdr:cNvPr>
        <xdr:cNvSpPr>
          <a:spLocks noChangeShapeType="1"/>
        </xdr:cNvSpPr>
      </xdr:nvSpPr>
      <xdr:spPr bwMode="auto">
        <a:xfrm flipH="1">
          <a:off x="24955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6</xdr:row>
      <xdr:rowOff>76200</xdr:rowOff>
    </xdr:from>
    <xdr:to>
      <xdr:col>4</xdr:col>
      <xdr:colOff>123825</xdr:colOff>
      <xdr:row>7</xdr:row>
      <xdr:rowOff>142875</xdr:rowOff>
    </xdr:to>
    <xdr:sp macro="" textlink="">
      <xdr:nvSpPr>
        <xdr:cNvPr id="837285" name="Line 30">
          <a:extLst>
            <a:ext uri="{FF2B5EF4-FFF2-40B4-BE49-F238E27FC236}">
              <a16:creationId xmlns:a16="http://schemas.microsoft.com/office/drawing/2014/main" id="{00000000-0008-0000-0600-0000A5C60C00}"/>
            </a:ext>
          </a:extLst>
        </xdr:cNvPr>
        <xdr:cNvSpPr>
          <a:spLocks noChangeShapeType="1"/>
        </xdr:cNvSpPr>
      </xdr:nvSpPr>
      <xdr:spPr bwMode="auto">
        <a:xfrm>
          <a:off x="26098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76200</xdr:rowOff>
    </xdr:from>
    <xdr:to>
      <xdr:col>4</xdr:col>
      <xdr:colOff>123825</xdr:colOff>
      <xdr:row>6</xdr:row>
      <xdr:rowOff>76200</xdr:rowOff>
    </xdr:to>
    <xdr:sp macro="" textlink="">
      <xdr:nvSpPr>
        <xdr:cNvPr id="837286" name="Line 31">
          <a:extLst>
            <a:ext uri="{FF2B5EF4-FFF2-40B4-BE49-F238E27FC236}">
              <a16:creationId xmlns:a16="http://schemas.microsoft.com/office/drawing/2014/main" id="{00000000-0008-0000-0600-0000A6C60C00}"/>
            </a:ext>
          </a:extLst>
        </xdr:cNvPr>
        <xdr:cNvSpPr>
          <a:spLocks noChangeShapeType="1"/>
        </xdr:cNvSpPr>
      </xdr:nvSpPr>
      <xdr:spPr bwMode="auto">
        <a:xfrm flipH="1" flipV="1">
          <a:off x="24860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123825</xdr:colOff>
      <xdr:row>7</xdr:row>
      <xdr:rowOff>133350</xdr:rowOff>
    </xdr:to>
    <xdr:sp macro="" textlink="">
      <xdr:nvSpPr>
        <xdr:cNvPr id="837287" name="Line 32">
          <a:extLst>
            <a:ext uri="{FF2B5EF4-FFF2-40B4-BE49-F238E27FC236}">
              <a16:creationId xmlns:a16="http://schemas.microsoft.com/office/drawing/2014/main" id="{00000000-0008-0000-0600-0000A7C60C00}"/>
            </a:ext>
          </a:extLst>
        </xdr:cNvPr>
        <xdr:cNvSpPr>
          <a:spLocks noChangeShapeType="1"/>
        </xdr:cNvSpPr>
      </xdr:nvSpPr>
      <xdr:spPr bwMode="auto">
        <a:xfrm flipH="1">
          <a:off x="24860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8</xdr:row>
      <xdr:rowOff>76200</xdr:rowOff>
    </xdr:from>
    <xdr:to>
      <xdr:col>11</xdr:col>
      <xdr:colOff>123825</xdr:colOff>
      <xdr:row>9</xdr:row>
      <xdr:rowOff>142875</xdr:rowOff>
    </xdr:to>
    <xdr:sp macro="" textlink="">
      <xdr:nvSpPr>
        <xdr:cNvPr id="837288" name="Line 37">
          <a:extLst>
            <a:ext uri="{FF2B5EF4-FFF2-40B4-BE49-F238E27FC236}">
              <a16:creationId xmlns:a16="http://schemas.microsoft.com/office/drawing/2014/main" id="{00000000-0008-0000-0600-0000A8C60C00}"/>
            </a:ext>
          </a:extLst>
        </xdr:cNvPr>
        <xdr:cNvSpPr>
          <a:spLocks noChangeShapeType="1"/>
        </xdr:cNvSpPr>
      </xdr:nvSpPr>
      <xdr:spPr bwMode="auto">
        <a:xfrm>
          <a:off x="54102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76200</xdr:rowOff>
    </xdr:from>
    <xdr:to>
      <xdr:col>11</xdr:col>
      <xdr:colOff>123825</xdr:colOff>
      <xdr:row>8</xdr:row>
      <xdr:rowOff>76200</xdr:rowOff>
    </xdr:to>
    <xdr:sp macro="" textlink="">
      <xdr:nvSpPr>
        <xdr:cNvPr id="837289" name="Line 38">
          <a:extLst>
            <a:ext uri="{FF2B5EF4-FFF2-40B4-BE49-F238E27FC236}">
              <a16:creationId xmlns:a16="http://schemas.microsoft.com/office/drawing/2014/main" id="{00000000-0008-0000-0600-0000A9C6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133350</xdr:rowOff>
    </xdr:from>
    <xdr:to>
      <xdr:col>11</xdr:col>
      <xdr:colOff>123825</xdr:colOff>
      <xdr:row>9</xdr:row>
      <xdr:rowOff>133350</xdr:rowOff>
    </xdr:to>
    <xdr:sp macro="" textlink="">
      <xdr:nvSpPr>
        <xdr:cNvPr id="837290" name="Line 39">
          <a:extLst>
            <a:ext uri="{FF2B5EF4-FFF2-40B4-BE49-F238E27FC236}">
              <a16:creationId xmlns:a16="http://schemas.microsoft.com/office/drawing/2014/main" id="{00000000-0008-0000-0600-0000AAC60C00}"/>
            </a:ext>
          </a:extLst>
        </xdr:cNvPr>
        <xdr:cNvSpPr>
          <a:spLocks noChangeShapeType="1"/>
        </xdr:cNvSpPr>
      </xdr:nvSpPr>
      <xdr:spPr bwMode="auto">
        <a:xfrm flipH="1">
          <a:off x="52863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12</xdr:row>
      <xdr:rowOff>76200</xdr:rowOff>
    </xdr:from>
    <xdr:to>
      <xdr:col>11</xdr:col>
      <xdr:colOff>123825</xdr:colOff>
      <xdr:row>13</xdr:row>
      <xdr:rowOff>142875</xdr:rowOff>
    </xdr:to>
    <xdr:sp macro="" textlink="">
      <xdr:nvSpPr>
        <xdr:cNvPr id="837291" name="Line 40">
          <a:extLst>
            <a:ext uri="{FF2B5EF4-FFF2-40B4-BE49-F238E27FC236}">
              <a16:creationId xmlns:a16="http://schemas.microsoft.com/office/drawing/2014/main" id="{00000000-0008-0000-0600-0000ABC60C00}"/>
            </a:ext>
          </a:extLst>
        </xdr:cNvPr>
        <xdr:cNvSpPr>
          <a:spLocks noChangeShapeType="1"/>
        </xdr:cNvSpPr>
      </xdr:nvSpPr>
      <xdr:spPr bwMode="auto">
        <a:xfrm>
          <a:off x="54102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11</xdr:col>
      <xdr:colOff>123825</xdr:colOff>
      <xdr:row>12</xdr:row>
      <xdr:rowOff>76200</xdr:rowOff>
    </xdr:to>
    <xdr:sp macro="" textlink="">
      <xdr:nvSpPr>
        <xdr:cNvPr id="837292" name="Line 41">
          <a:extLst>
            <a:ext uri="{FF2B5EF4-FFF2-40B4-BE49-F238E27FC236}">
              <a16:creationId xmlns:a16="http://schemas.microsoft.com/office/drawing/2014/main" id="{00000000-0008-0000-0600-0000ACC6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133350</xdr:rowOff>
    </xdr:from>
    <xdr:to>
      <xdr:col>11</xdr:col>
      <xdr:colOff>123825</xdr:colOff>
      <xdr:row>13</xdr:row>
      <xdr:rowOff>133350</xdr:rowOff>
    </xdr:to>
    <xdr:sp macro="" textlink="">
      <xdr:nvSpPr>
        <xdr:cNvPr id="837293" name="Line 42">
          <a:extLst>
            <a:ext uri="{FF2B5EF4-FFF2-40B4-BE49-F238E27FC236}">
              <a16:creationId xmlns:a16="http://schemas.microsoft.com/office/drawing/2014/main" id="{00000000-0008-0000-0600-0000ADC60C00}"/>
            </a:ext>
          </a:extLst>
        </xdr:cNvPr>
        <xdr:cNvSpPr>
          <a:spLocks noChangeShapeType="1"/>
        </xdr:cNvSpPr>
      </xdr:nvSpPr>
      <xdr:spPr bwMode="auto">
        <a:xfrm flipH="1">
          <a:off x="52863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14</xdr:row>
      <xdr:rowOff>76200</xdr:rowOff>
    </xdr:from>
    <xdr:to>
      <xdr:col>11</xdr:col>
      <xdr:colOff>123825</xdr:colOff>
      <xdr:row>15</xdr:row>
      <xdr:rowOff>142875</xdr:rowOff>
    </xdr:to>
    <xdr:sp macro="" textlink="">
      <xdr:nvSpPr>
        <xdr:cNvPr id="837294" name="Line 43">
          <a:extLst>
            <a:ext uri="{FF2B5EF4-FFF2-40B4-BE49-F238E27FC236}">
              <a16:creationId xmlns:a16="http://schemas.microsoft.com/office/drawing/2014/main" id="{00000000-0008-0000-0600-0000AEC60C00}"/>
            </a:ext>
          </a:extLst>
        </xdr:cNvPr>
        <xdr:cNvSpPr>
          <a:spLocks noChangeShapeType="1"/>
        </xdr:cNvSpPr>
      </xdr:nvSpPr>
      <xdr:spPr bwMode="auto">
        <a:xfrm>
          <a:off x="54102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76200</xdr:rowOff>
    </xdr:from>
    <xdr:to>
      <xdr:col>11</xdr:col>
      <xdr:colOff>123825</xdr:colOff>
      <xdr:row>14</xdr:row>
      <xdr:rowOff>76200</xdr:rowOff>
    </xdr:to>
    <xdr:sp macro="" textlink="">
      <xdr:nvSpPr>
        <xdr:cNvPr id="837295" name="Line 44">
          <a:extLst>
            <a:ext uri="{FF2B5EF4-FFF2-40B4-BE49-F238E27FC236}">
              <a16:creationId xmlns:a16="http://schemas.microsoft.com/office/drawing/2014/main" id="{00000000-0008-0000-0600-0000AFC6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133350</xdr:rowOff>
    </xdr:from>
    <xdr:to>
      <xdr:col>11</xdr:col>
      <xdr:colOff>123825</xdr:colOff>
      <xdr:row>15</xdr:row>
      <xdr:rowOff>133350</xdr:rowOff>
    </xdr:to>
    <xdr:sp macro="" textlink="">
      <xdr:nvSpPr>
        <xdr:cNvPr id="837296" name="Line 45">
          <a:extLst>
            <a:ext uri="{FF2B5EF4-FFF2-40B4-BE49-F238E27FC236}">
              <a16:creationId xmlns:a16="http://schemas.microsoft.com/office/drawing/2014/main" id="{00000000-0008-0000-0600-0000B0C60C00}"/>
            </a:ext>
          </a:extLst>
        </xdr:cNvPr>
        <xdr:cNvSpPr>
          <a:spLocks noChangeShapeType="1"/>
        </xdr:cNvSpPr>
      </xdr:nvSpPr>
      <xdr:spPr bwMode="auto">
        <a:xfrm flipH="1">
          <a:off x="52863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297" name="Line 46">
          <a:extLst>
            <a:ext uri="{FF2B5EF4-FFF2-40B4-BE49-F238E27FC236}">
              <a16:creationId xmlns:a16="http://schemas.microsoft.com/office/drawing/2014/main" id="{00000000-0008-0000-0600-0000B1C60C00}"/>
            </a:ext>
          </a:extLst>
        </xdr:cNvPr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298" name="Line 47">
          <a:extLst>
            <a:ext uri="{FF2B5EF4-FFF2-40B4-BE49-F238E27FC236}">
              <a16:creationId xmlns:a16="http://schemas.microsoft.com/office/drawing/2014/main" id="{00000000-0008-0000-0600-0000B2C60C00}"/>
            </a:ext>
          </a:extLst>
        </xdr:cNvPr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299" name="Line 48">
          <a:extLst>
            <a:ext uri="{FF2B5EF4-FFF2-40B4-BE49-F238E27FC236}">
              <a16:creationId xmlns:a16="http://schemas.microsoft.com/office/drawing/2014/main" id="{00000000-0008-0000-0600-0000B3C60C00}"/>
            </a:ext>
          </a:extLst>
        </xdr:cNvPr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300" name="Line 49">
          <a:extLst>
            <a:ext uri="{FF2B5EF4-FFF2-40B4-BE49-F238E27FC236}">
              <a16:creationId xmlns:a16="http://schemas.microsoft.com/office/drawing/2014/main" id="{00000000-0008-0000-0600-0000B4C60C00}"/>
            </a:ext>
          </a:extLst>
        </xdr:cNvPr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301" name="Line 50">
          <a:extLst>
            <a:ext uri="{FF2B5EF4-FFF2-40B4-BE49-F238E27FC236}">
              <a16:creationId xmlns:a16="http://schemas.microsoft.com/office/drawing/2014/main" id="{00000000-0008-0000-0600-0000B5C6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302" name="Line 51">
          <a:extLst>
            <a:ext uri="{FF2B5EF4-FFF2-40B4-BE49-F238E27FC236}">
              <a16:creationId xmlns:a16="http://schemas.microsoft.com/office/drawing/2014/main" id="{00000000-0008-0000-0600-0000B6C60C00}"/>
            </a:ext>
          </a:extLst>
        </xdr:cNvPr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76200</xdr:rowOff>
    </xdr:from>
    <xdr:to>
      <xdr:col>18</xdr:col>
      <xdr:colOff>123825</xdr:colOff>
      <xdr:row>9</xdr:row>
      <xdr:rowOff>142875</xdr:rowOff>
    </xdr:to>
    <xdr:sp macro="" textlink="">
      <xdr:nvSpPr>
        <xdr:cNvPr id="837303" name="Line 52">
          <a:extLst>
            <a:ext uri="{FF2B5EF4-FFF2-40B4-BE49-F238E27FC236}">
              <a16:creationId xmlns:a16="http://schemas.microsoft.com/office/drawing/2014/main" id="{00000000-0008-0000-0600-0000B7C60C00}"/>
            </a:ext>
          </a:extLst>
        </xdr:cNvPr>
        <xdr:cNvSpPr>
          <a:spLocks noChangeShapeType="1"/>
        </xdr:cNvSpPr>
      </xdr:nvSpPr>
      <xdr:spPr bwMode="auto">
        <a:xfrm>
          <a:off x="82105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76200</xdr:rowOff>
    </xdr:from>
    <xdr:to>
      <xdr:col>18</xdr:col>
      <xdr:colOff>123825</xdr:colOff>
      <xdr:row>8</xdr:row>
      <xdr:rowOff>76200</xdr:rowOff>
    </xdr:to>
    <xdr:sp macro="" textlink="">
      <xdr:nvSpPr>
        <xdr:cNvPr id="837304" name="Line 53">
          <a:extLst>
            <a:ext uri="{FF2B5EF4-FFF2-40B4-BE49-F238E27FC236}">
              <a16:creationId xmlns:a16="http://schemas.microsoft.com/office/drawing/2014/main" id="{00000000-0008-0000-0600-0000B8C6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123825</xdr:colOff>
      <xdr:row>9</xdr:row>
      <xdr:rowOff>133350</xdr:rowOff>
    </xdr:to>
    <xdr:sp macro="" textlink="">
      <xdr:nvSpPr>
        <xdr:cNvPr id="837305" name="Line 54">
          <a:extLst>
            <a:ext uri="{FF2B5EF4-FFF2-40B4-BE49-F238E27FC236}">
              <a16:creationId xmlns:a16="http://schemas.microsoft.com/office/drawing/2014/main" id="{00000000-0008-0000-0600-0000B9C60C00}"/>
            </a:ext>
          </a:extLst>
        </xdr:cNvPr>
        <xdr:cNvSpPr>
          <a:spLocks noChangeShapeType="1"/>
        </xdr:cNvSpPr>
      </xdr:nvSpPr>
      <xdr:spPr bwMode="auto">
        <a:xfrm flipH="1">
          <a:off x="80867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12</xdr:row>
      <xdr:rowOff>76200</xdr:rowOff>
    </xdr:from>
    <xdr:to>
      <xdr:col>18</xdr:col>
      <xdr:colOff>123825</xdr:colOff>
      <xdr:row>13</xdr:row>
      <xdr:rowOff>142875</xdr:rowOff>
    </xdr:to>
    <xdr:sp macro="" textlink="">
      <xdr:nvSpPr>
        <xdr:cNvPr id="837306" name="Line 55">
          <a:extLst>
            <a:ext uri="{FF2B5EF4-FFF2-40B4-BE49-F238E27FC236}">
              <a16:creationId xmlns:a16="http://schemas.microsoft.com/office/drawing/2014/main" id="{00000000-0008-0000-0600-0000BAC60C00}"/>
            </a:ext>
          </a:extLst>
        </xdr:cNvPr>
        <xdr:cNvSpPr>
          <a:spLocks noChangeShapeType="1"/>
        </xdr:cNvSpPr>
      </xdr:nvSpPr>
      <xdr:spPr bwMode="auto">
        <a:xfrm>
          <a:off x="82105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123825</xdr:colOff>
      <xdr:row>12</xdr:row>
      <xdr:rowOff>76200</xdr:rowOff>
    </xdr:to>
    <xdr:sp macro="" textlink="">
      <xdr:nvSpPr>
        <xdr:cNvPr id="837307" name="Line 56">
          <a:extLst>
            <a:ext uri="{FF2B5EF4-FFF2-40B4-BE49-F238E27FC236}">
              <a16:creationId xmlns:a16="http://schemas.microsoft.com/office/drawing/2014/main" id="{00000000-0008-0000-0600-0000BBC6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133350</xdr:rowOff>
    </xdr:from>
    <xdr:to>
      <xdr:col>18</xdr:col>
      <xdr:colOff>123825</xdr:colOff>
      <xdr:row>13</xdr:row>
      <xdr:rowOff>133350</xdr:rowOff>
    </xdr:to>
    <xdr:sp macro="" textlink="">
      <xdr:nvSpPr>
        <xdr:cNvPr id="837308" name="Line 57">
          <a:extLst>
            <a:ext uri="{FF2B5EF4-FFF2-40B4-BE49-F238E27FC236}">
              <a16:creationId xmlns:a16="http://schemas.microsoft.com/office/drawing/2014/main" id="{00000000-0008-0000-0600-0000BCC60C00}"/>
            </a:ext>
          </a:extLst>
        </xdr:cNvPr>
        <xdr:cNvSpPr>
          <a:spLocks noChangeShapeType="1"/>
        </xdr:cNvSpPr>
      </xdr:nvSpPr>
      <xdr:spPr bwMode="auto">
        <a:xfrm flipH="1">
          <a:off x="80867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76200</xdr:rowOff>
    </xdr:from>
    <xdr:to>
      <xdr:col>18</xdr:col>
      <xdr:colOff>123825</xdr:colOff>
      <xdr:row>15</xdr:row>
      <xdr:rowOff>142875</xdr:rowOff>
    </xdr:to>
    <xdr:sp macro="" textlink="">
      <xdr:nvSpPr>
        <xdr:cNvPr id="837309" name="Line 58">
          <a:extLst>
            <a:ext uri="{FF2B5EF4-FFF2-40B4-BE49-F238E27FC236}">
              <a16:creationId xmlns:a16="http://schemas.microsoft.com/office/drawing/2014/main" id="{00000000-0008-0000-0600-0000BDC60C00}"/>
            </a:ext>
          </a:extLst>
        </xdr:cNvPr>
        <xdr:cNvSpPr>
          <a:spLocks noChangeShapeType="1"/>
        </xdr:cNvSpPr>
      </xdr:nvSpPr>
      <xdr:spPr bwMode="auto">
        <a:xfrm>
          <a:off x="82105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76200</xdr:rowOff>
    </xdr:from>
    <xdr:to>
      <xdr:col>18</xdr:col>
      <xdr:colOff>123825</xdr:colOff>
      <xdr:row>14</xdr:row>
      <xdr:rowOff>76200</xdr:rowOff>
    </xdr:to>
    <xdr:sp macro="" textlink="">
      <xdr:nvSpPr>
        <xdr:cNvPr id="837310" name="Line 59">
          <a:extLst>
            <a:ext uri="{FF2B5EF4-FFF2-40B4-BE49-F238E27FC236}">
              <a16:creationId xmlns:a16="http://schemas.microsoft.com/office/drawing/2014/main" id="{00000000-0008-0000-0600-0000BEC6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18</xdr:col>
      <xdr:colOff>123825</xdr:colOff>
      <xdr:row>15</xdr:row>
      <xdr:rowOff>133350</xdr:rowOff>
    </xdr:to>
    <xdr:sp macro="" textlink="">
      <xdr:nvSpPr>
        <xdr:cNvPr id="837311" name="Line 60">
          <a:extLst>
            <a:ext uri="{FF2B5EF4-FFF2-40B4-BE49-F238E27FC236}">
              <a16:creationId xmlns:a16="http://schemas.microsoft.com/office/drawing/2014/main" id="{00000000-0008-0000-0600-0000BFC60C00}"/>
            </a:ext>
          </a:extLst>
        </xdr:cNvPr>
        <xdr:cNvSpPr>
          <a:spLocks noChangeShapeType="1"/>
        </xdr:cNvSpPr>
      </xdr:nvSpPr>
      <xdr:spPr bwMode="auto">
        <a:xfrm flipH="1">
          <a:off x="80867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312" name="Line 62">
          <a:extLst>
            <a:ext uri="{FF2B5EF4-FFF2-40B4-BE49-F238E27FC236}">
              <a16:creationId xmlns:a16="http://schemas.microsoft.com/office/drawing/2014/main" id="{00000000-0008-0000-0600-0000C0C60C00}"/>
            </a:ext>
          </a:extLst>
        </xdr:cNvPr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313" name="Line 63">
          <a:extLst>
            <a:ext uri="{FF2B5EF4-FFF2-40B4-BE49-F238E27FC236}">
              <a16:creationId xmlns:a16="http://schemas.microsoft.com/office/drawing/2014/main" id="{00000000-0008-0000-0600-0000C1C6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314" name="Line 64">
          <a:extLst>
            <a:ext uri="{FF2B5EF4-FFF2-40B4-BE49-F238E27FC236}">
              <a16:creationId xmlns:a16="http://schemas.microsoft.com/office/drawing/2014/main" id="{00000000-0008-0000-0600-0000C2C60C00}"/>
            </a:ext>
          </a:extLst>
        </xdr:cNvPr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315" name="Line 65">
          <a:extLst>
            <a:ext uri="{FF2B5EF4-FFF2-40B4-BE49-F238E27FC236}">
              <a16:creationId xmlns:a16="http://schemas.microsoft.com/office/drawing/2014/main" id="{00000000-0008-0000-0600-0000C3C60C00}"/>
            </a:ext>
          </a:extLst>
        </xdr:cNvPr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316" name="Line 66">
          <a:extLst>
            <a:ext uri="{FF2B5EF4-FFF2-40B4-BE49-F238E27FC236}">
              <a16:creationId xmlns:a16="http://schemas.microsoft.com/office/drawing/2014/main" id="{00000000-0008-0000-0600-0000C4C60C00}"/>
            </a:ext>
          </a:extLst>
        </xdr:cNvPr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317" name="Line 67">
          <a:extLst>
            <a:ext uri="{FF2B5EF4-FFF2-40B4-BE49-F238E27FC236}">
              <a16:creationId xmlns:a16="http://schemas.microsoft.com/office/drawing/2014/main" id="{00000000-0008-0000-0600-0000C5C60C00}"/>
            </a:ext>
          </a:extLst>
        </xdr:cNvPr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318" name="Line 70">
          <a:extLst>
            <a:ext uri="{FF2B5EF4-FFF2-40B4-BE49-F238E27FC236}">
              <a16:creationId xmlns:a16="http://schemas.microsoft.com/office/drawing/2014/main" id="{00000000-0008-0000-0600-0000C6C60C00}"/>
            </a:ext>
          </a:extLst>
        </xdr:cNvPr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319" name="Line 71">
          <a:extLst>
            <a:ext uri="{FF2B5EF4-FFF2-40B4-BE49-F238E27FC236}">
              <a16:creationId xmlns:a16="http://schemas.microsoft.com/office/drawing/2014/main" id="{00000000-0008-0000-0600-0000C7C60C00}"/>
            </a:ext>
          </a:extLst>
        </xdr:cNvPr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320" name="Line 72">
          <a:extLst>
            <a:ext uri="{FF2B5EF4-FFF2-40B4-BE49-F238E27FC236}">
              <a16:creationId xmlns:a16="http://schemas.microsoft.com/office/drawing/2014/main" id="{00000000-0008-0000-0600-0000C8C60C00}"/>
            </a:ext>
          </a:extLst>
        </xdr:cNvPr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321" name="Line 73">
          <a:extLst>
            <a:ext uri="{FF2B5EF4-FFF2-40B4-BE49-F238E27FC236}">
              <a16:creationId xmlns:a16="http://schemas.microsoft.com/office/drawing/2014/main" id="{00000000-0008-0000-0600-0000C9C60C00}"/>
            </a:ext>
          </a:extLst>
        </xdr:cNvPr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322" name="Line 74">
          <a:extLst>
            <a:ext uri="{FF2B5EF4-FFF2-40B4-BE49-F238E27FC236}">
              <a16:creationId xmlns:a16="http://schemas.microsoft.com/office/drawing/2014/main" id="{00000000-0008-0000-0600-0000CAC6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323" name="Line 75">
          <a:extLst>
            <a:ext uri="{FF2B5EF4-FFF2-40B4-BE49-F238E27FC236}">
              <a16:creationId xmlns:a16="http://schemas.microsoft.com/office/drawing/2014/main" id="{00000000-0008-0000-0600-0000CBC60C00}"/>
            </a:ext>
          </a:extLst>
        </xdr:cNvPr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</xdr:row>
      <xdr:rowOff>76200</xdr:rowOff>
    </xdr:from>
    <xdr:to>
      <xdr:col>25</xdr:col>
      <xdr:colOff>123825</xdr:colOff>
      <xdr:row>9</xdr:row>
      <xdr:rowOff>142875</xdr:rowOff>
    </xdr:to>
    <xdr:sp macro="" textlink="">
      <xdr:nvSpPr>
        <xdr:cNvPr id="837324" name="Line 76">
          <a:extLst>
            <a:ext uri="{FF2B5EF4-FFF2-40B4-BE49-F238E27FC236}">
              <a16:creationId xmlns:a16="http://schemas.microsoft.com/office/drawing/2014/main" id="{00000000-0008-0000-0600-0000CCC60C00}"/>
            </a:ext>
          </a:extLst>
        </xdr:cNvPr>
        <xdr:cNvSpPr>
          <a:spLocks noChangeShapeType="1"/>
        </xdr:cNvSpPr>
      </xdr:nvSpPr>
      <xdr:spPr bwMode="auto">
        <a:xfrm>
          <a:off x="109823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76200</xdr:rowOff>
    </xdr:from>
    <xdr:to>
      <xdr:col>25</xdr:col>
      <xdr:colOff>123825</xdr:colOff>
      <xdr:row>8</xdr:row>
      <xdr:rowOff>76200</xdr:rowOff>
    </xdr:to>
    <xdr:sp macro="" textlink="">
      <xdr:nvSpPr>
        <xdr:cNvPr id="837325" name="Line 77">
          <a:extLst>
            <a:ext uri="{FF2B5EF4-FFF2-40B4-BE49-F238E27FC236}">
              <a16:creationId xmlns:a16="http://schemas.microsoft.com/office/drawing/2014/main" id="{00000000-0008-0000-0600-0000CDC6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9</xdr:row>
      <xdr:rowOff>133350</xdr:rowOff>
    </xdr:from>
    <xdr:to>
      <xdr:col>25</xdr:col>
      <xdr:colOff>123825</xdr:colOff>
      <xdr:row>9</xdr:row>
      <xdr:rowOff>133350</xdr:rowOff>
    </xdr:to>
    <xdr:sp macro="" textlink="">
      <xdr:nvSpPr>
        <xdr:cNvPr id="837326" name="Line 78">
          <a:extLst>
            <a:ext uri="{FF2B5EF4-FFF2-40B4-BE49-F238E27FC236}">
              <a16:creationId xmlns:a16="http://schemas.microsoft.com/office/drawing/2014/main" id="{00000000-0008-0000-0600-0000CEC60C00}"/>
            </a:ext>
          </a:extLst>
        </xdr:cNvPr>
        <xdr:cNvSpPr>
          <a:spLocks noChangeShapeType="1"/>
        </xdr:cNvSpPr>
      </xdr:nvSpPr>
      <xdr:spPr bwMode="auto">
        <a:xfrm flipH="1">
          <a:off x="108585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12</xdr:row>
      <xdr:rowOff>76200</xdr:rowOff>
    </xdr:from>
    <xdr:to>
      <xdr:col>25</xdr:col>
      <xdr:colOff>123825</xdr:colOff>
      <xdr:row>13</xdr:row>
      <xdr:rowOff>142875</xdr:rowOff>
    </xdr:to>
    <xdr:sp macro="" textlink="">
      <xdr:nvSpPr>
        <xdr:cNvPr id="837327" name="Line 79">
          <a:extLst>
            <a:ext uri="{FF2B5EF4-FFF2-40B4-BE49-F238E27FC236}">
              <a16:creationId xmlns:a16="http://schemas.microsoft.com/office/drawing/2014/main" id="{00000000-0008-0000-0600-0000CFC60C00}"/>
            </a:ext>
          </a:extLst>
        </xdr:cNvPr>
        <xdr:cNvSpPr>
          <a:spLocks noChangeShapeType="1"/>
        </xdr:cNvSpPr>
      </xdr:nvSpPr>
      <xdr:spPr bwMode="auto">
        <a:xfrm>
          <a:off x="109823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76200</xdr:rowOff>
    </xdr:from>
    <xdr:to>
      <xdr:col>25</xdr:col>
      <xdr:colOff>123825</xdr:colOff>
      <xdr:row>12</xdr:row>
      <xdr:rowOff>76200</xdr:rowOff>
    </xdr:to>
    <xdr:sp macro="" textlink="">
      <xdr:nvSpPr>
        <xdr:cNvPr id="837328" name="Line 80">
          <a:extLst>
            <a:ext uri="{FF2B5EF4-FFF2-40B4-BE49-F238E27FC236}">
              <a16:creationId xmlns:a16="http://schemas.microsoft.com/office/drawing/2014/main" id="{00000000-0008-0000-0600-0000D0C6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133350</xdr:rowOff>
    </xdr:from>
    <xdr:to>
      <xdr:col>25</xdr:col>
      <xdr:colOff>123825</xdr:colOff>
      <xdr:row>13</xdr:row>
      <xdr:rowOff>133350</xdr:rowOff>
    </xdr:to>
    <xdr:sp macro="" textlink="">
      <xdr:nvSpPr>
        <xdr:cNvPr id="837329" name="Line 81">
          <a:extLst>
            <a:ext uri="{FF2B5EF4-FFF2-40B4-BE49-F238E27FC236}">
              <a16:creationId xmlns:a16="http://schemas.microsoft.com/office/drawing/2014/main" id="{00000000-0008-0000-0600-0000D1C60C00}"/>
            </a:ext>
          </a:extLst>
        </xdr:cNvPr>
        <xdr:cNvSpPr>
          <a:spLocks noChangeShapeType="1"/>
        </xdr:cNvSpPr>
      </xdr:nvSpPr>
      <xdr:spPr bwMode="auto">
        <a:xfrm flipH="1">
          <a:off x="108585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14</xdr:row>
      <xdr:rowOff>76200</xdr:rowOff>
    </xdr:from>
    <xdr:to>
      <xdr:col>25</xdr:col>
      <xdr:colOff>123825</xdr:colOff>
      <xdr:row>15</xdr:row>
      <xdr:rowOff>142875</xdr:rowOff>
    </xdr:to>
    <xdr:sp macro="" textlink="">
      <xdr:nvSpPr>
        <xdr:cNvPr id="837330" name="Line 82">
          <a:extLst>
            <a:ext uri="{FF2B5EF4-FFF2-40B4-BE49-F238E27FC236}">
              <a16:creationId xmlns:a16="http://schemas.microsoft.com/office/drawing/2014/main" id="{00000000-0008-0000-0600-0000D2C60C00}"/>
            </a:ext>
          </a:extLst>
        </xdr:cNvPr>
        <xdr:cNvSpPr>
          <a:spLocks noChangeShapeType="1"/>
        </xdr:cNvSpPr>
      </xdr:nvSpPr>
      <xdr:spPr bwMode="auto">
        <a:xfrm>
          <a:off x="109823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14</xdr:row>
      <xdr:rowOff>76200</xdr:rowOff>
    </xdr:from>
    <xdr:to>
      <xdr:col>25</xdr:col>
      <xdr:colOff>123825</xdr:colOff>
      <xdr:row>14</xdr:row>
      <xdr:rowOff>76200</xdr:rowOff>
    </xdr:to>
    <xdr:sp macro="" textlink="">
      <xdr:nvSpPr>
        <xdr:cNvPr id="837331" name="Line 83">
          <a:extLst>
            <a:ext uri="{FF2B5EF4-FFF2-40B4-BE49-F238E27FC236}">
              <a16:creationId xmlns:a16="http://schemas.microsoft.com/office/drawing/2014/main" id="{00000000-0008-0000-0600-0000D3C6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15</xdr:row>
      <xdr:rowOff>133350</xdr:rowOff>
    </xdr:from>
    <xdr:to>
      <xdr:col>25</xdr:col>
      <xdr:colOff>123825</xdr:colOff>
      <xdr:row>15</xdr:row>
      <xdr:rowOff>133350</xdr:rowOff>
    </xdr:to>
    <xdr:sp macro="" textlink="">
      <xdr:nvSpPr>
        <xdr:cNvPr id="837332" name="Line 84">
          <a:extLst>
            <a:ext uri="{FF2B5EF4-FFF2-40B4-BE49-F238E27FC236}">
              <a16:creationId xmlns:a16="http://schemas.microsoft.com/office/drawing/2014/main" id="{00000000-0008-0000-0600-0000D4C60C00}"/>
            </a:ext>
          </a:extLst>
        </xdr:cNvPr>
        <xdr:cNvSpPr>
          <a:spLocks noChangeShapeType="1"/>
        </xdr:cNvSpPr>
      </xdr:nvSpPr>
      <xdr:spPr bwMode="auto">
        <a:xfrm flipH="1">
          <a:off x="108585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333" name="Line 86">
          <a:extLst>
            <a:ext uri="{FF2B5EF4-FFF2-40B4-BE49-F238E27FC236}">
              <a16:creationId xmlns:a16="http://schemas.microsoft.com/office/drawing/2014/main" id="{00000000-0008-0000-0600-0000D5C60C00}"/>
            </a:ext>
          </a:extLst>
        </xdr:cNvPr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334" name="Line 87">
          <a:extLst>
            <a:ext uri="{FF2B5EF4-FFF2-40B4-BE49-F238E27FC236}">
              <a16:creationId xmlns:a16="http://schemas.microsoft.com/office/drawing/2014/main" id="{00000000-0008-0000-0600-0000D6C6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335" name="Line 88">
          <a:extLst>
            <a:ext uri="{FF2B5EF4-FFF2-40B4-BE49-F238E27FC236}">
              <a16:creationId xmlns:a16="http://schemas.microsoft.com/office/drawing/2014/main" id="{00000000-0008-0000-0600-0000D7C60C00}"/>
            </a:ext>
          </a:extLst>
        </xdr:cNvPr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336" name="Line 89">
          <a:extLst>
            <a:ext uri="{FF2B5EF4-FFF2-40B4-BE49-F238E27FC236}">
              <a16:creationId xmlns:a16="http://schemas.microsoft.com/office/drawing/2014/main" id="{00000000-0008-0000-0600-0000D8C60C00}"/>
            </a:ext>
          </a:extLst>
        </xdr:cNvPr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337" name="Line 90">
          <a:extLst>
            <a:ext uri="{FF2B5EF4-FFF2-40B4-BE49-F238E27FC236}">
              <a16:creationId xmlns:a16="http://schemas.microsoft.com/office/drawing/2014/main" id="{00000000-0008-0000-0600-0000D9C60C00}"/>
            </a:ext>
          </a:extLst>
        </xdr:cNvPr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338" name="Line 91">
          <a:extLst>
            <a:ext uri="{FF2B5EF4-FFF2-40B4-BE49-F238E27FC236}">
              <a16:creationId xmlns:a16="http://schemas.microsoft.com/office/drawing/2014/main" id="{00000000-0008-0000-0600-0000DAC60C00}"/>
            </a:ext>
          </a:extLst>
        </xdr:cNvPr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339" name="Line 94">
          <a:extLst>
            <a:ext uri="{FF2B5EF4-FFF2-40B4-BE49-F238E27FC236}">
              <a16:creationId xmlns:a16="http://schemas.microsoft.com/office/drawing/2014/main" id="{00000000-0008-0000-0600-0000DBC60C00}"/>
            </a:ext>
          </a:extLst>
        </xdr:cNvPr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340" name="Line 95">
          <a:extLst>
            <a:ext uri="{FF2B5EF4-FFF2-40B4-BE49-F238E27FC236}">
              <a16:creationId xmlns:a16="http://schemas.microsoft.com/office/drawing/2014/main" id="{00000000-0008-0000-0600-0000DCC60C00}"/>
            </a:ext>
          </a:extLst>
        </xdr:cNvPr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341" name="Line 96">
          <a:extLst>
            <a:ext uri="{FF2B5EF4-FFF2-40B4-BE49-F238E27FC236}">
              <a16:creationId xmlns:a16="http://schemas.microsoft.com/office/drawing/2014/main" id="{00000000-0008-0000-0600-0000DDC60C00}"/>
            </a:ext>
          </a:extLst>
        </xdr:cNvPr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342" name="Line 97">
          <a:extLst>
            <a:ext uri="{FF2B5EF4-FFF2-40B4-BE49-F238E27FC236}">
              <a16:creationId xmlns:a16="http://schemas.microsoft.com/office/drawing/2014/main" id="{00000000-0008-0000-0600-0000DEC60C00}"/>
            </a:ext>
          </a:extLst>
        </xdr:cNvPr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343" name="Line 98">
          <a:extLst>
            <a:ext uri="{FF2B5EF4-FFF2-40B4-BE49-F238E27FC236}">
              <a16:creationId xmlns:a16="http://schemas.microsoft.com/office/drawing/2014/main" id="{00000000-0008-0000-0600-0000DFC6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344" name="Line 99">
          <a:extLst>
            <a:ext uri="{FF2B5EF4-FFF2-40B4-BE49-F238E27FC236}">
              <a16:creationId xmlns:a16="http://schemas.microsoft.com/office/drawing/2014/main" id="{00000000-0008-0000-0600-0000E0C60C00}"/>
            </a:ext>
          </a:extLst>
        </xdr:cNvPr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8</xdr:row>
      <xdr:rowOff>76200</xdr:rowOff>
    </xdr:from>
    <xdr:to>
      <xdr:col>32</xdr:col>
      <xdr:colOff>123825</xdr:colOff>
      <xdr:row>9</xdr:row>
      <xdr:rowOff>142875</xdr:rowOff>
    </xdr:to>
    <xdr:sp macro="" textlink="">
      <xdr:nvSpPr>
        <xdr:cNvPr id="837345" name="Line 100">
          <a:extLst>
            <a:ext uri="{FF2B5EF4-FFF2-40B4-BE49-F238E27FC236}">
              <a16:creationId xmlns:a16="http://schemas.microsoft.com/office/drawing/2014/main" id="{00000000-0008-0000-0600-0000E1C60C00}"/>
            </a:ext>
          </a:extLst>
        </xdr:cNvPr>
        <xdr:cNvSpPr>
          <a:spLocks noChangeShapeType="1"/>
        </xdr:cNvSpPr>
      </xdr:nvSpPr>
      <xdr:spPr bwMode="auto">
        <a:xfrm>
          <a:off x="13754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</xdr:row>
      <xdr:rowOff>76200</xdr:rowOff>
    </xdr:from>
    <xdr:to>
      <xdr:col>32</xdr:col>
      <xdr:colOff>123825</xdr:colOff>
      <xdr:row>8</xdr:row>
      <xdr:rowOff>76200</xdr:rowOff>
    </xdr:to>
    <xdr:sp macro="" textlink="">
      <xdr:nvSpPr>
        <xdr:cNvPr id="837346" name="Line 101">
          <a:extLst>
            <a:ext uri="{FF2B5EF4-FFF2-40B4-BE49-F238E27FC236}">
              <a16:creationId xmlns:a16="http://schemas.microsoft.com/office/drawing/2014/main" id="{00000000-0008-0000-0600-0000E2C6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133350</xdr:rowOff>
    </xdr:from>
    <xdr:to>
      <xdr:col>32</xdr:col>
      <xdr:colOff>123825</xdr:colOff>
      <xdr:row>9</xdr:row>
      <xdr:rowOff>133350</xdr:rowOff>
    </xdr:to>
    <xdr:sp macro="" textlink="">
      <xdr:nvSpPr>
        <xdr:cNvPr id="837347" name="Line 102">
          <a:extLst>
            <a:ext uri="{FF2B5EF4-FFF2-40B4-BE49-F238E27FC236}">
              <a16:creationId xmlns:a16="http://schemas.microsoft.com/office/drawing/2014/main" id="{00000000-0008-0000-0600-0000E3C60C00}"/>
            </a:ext>
          </a:extLst>
        </xdr:cNvPr>
        <xdr:cNvSpPr>
          <a:spLocks noChangeShapeType="1"/>
        </xdr:cNvSpPr>
      </xdr:nvSpPr>
      <xdr:spPr bwMode="auto">
        <a:xfrm flipH="1">
          <a:off x="13630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12</xdr:row>
      <xdr:rowOff>76200</xdr:rowOff>
    </xdr:from>
    <xdr:to>
      <xdr:col>32</xdr:col>
      <xdr:colOff>123825</xdr:colOff>
      <xdr:row>13</xdr:row>
      <xdr:rowOff>142875</xdr:rowOff>
    </xdr:to>
    <xdr:sp macro="" textlink="">
      <xdr:nvSpPr>
        <xdr:cNvPr id="837348" name="Line 103">
          <a:extLst>
            <a:ext uri="{FF2B5EF4-FFF2-40B4-BE49-F238E27FC236}">
              <a16:creationId xmlns:a16="http://schemas.microsoft.com/office/drawing/2014/main" id="{00000000-0008-0000-0600-0000E4C60C00}"/>
            </a:ext>
          </a:extLst>
        </xdr:cNvPr>
        <xdr:cNvSpPr>
          <a:spLocks noChangeShapeType="1"/>
        </xdr:cNvSpPr>
      </xdr:nvSpPr>
      <xdr:spPr bwMode="auto">
        <a:xfrm>
          <a:off x="13754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12</xdr:row>
      <xdr:rowOff>76200</xdr:rowOff>
    </xdr:from>
    <xdr:to>
      <xdr:col>32</xdr:col>
      <xdr:colOff>123825</xdr:colOff>
      <xdr:row>12</xdr:row>
      <xdr:rowOff>76200</xdr:rowOff>
    </xdr:to>
    <xdr:sp macro="" textlink="">
      <xdr:nvSpPr>
        <xdr:cNvPr id="837349" name="Line 104">
          <a:extLst>
            <a:ext uri="{FF2B5EF4-FFF2-40B4-BE49-F238E27FC236}">
              <a16:creationId xmlns:a16="http://schemas.microsoft.com/office/drawing/2014/main" id="{00000000-0008-0000-0600-0000E5C6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123825</xdr:colOff>
      <xdr:row>13</xdr:row>
      <xdr:rowOff>133350</xdr:rowOff>
    </xdr:to>
    <xdr:sp macro="" textlink="">
      <xdr:nvSpPr>
        <xdr:cNvPr id="837350" name="Line 105">
          <a:extLst>
            <a:ext uri="{FF2B5EF4-FFF2-40B4-BE49-F238E27FC236}">
              <a16:creationId xmlns:a16="http://schemas.microsoft.com/office/drawing/2014/main" id="{00000000-0008-0000-0600-0000E6C60C00}"/>
            </a:ext>
          </a:extLst>
        </xdr:cNvPr>
        <xdr:cNvSpPr>
          <a:spLocks noChangeShapeType="1"/>
        </xdr:cNvSpPr>
      </xdr:nvSpPr>
      <xdr:spPr bwMode="auto">
        <a:xfrm flipH="1">
          <a:off x="13630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14</xdr:row>
      <xdr:rowOff>76200</xdr:rowOff>
    </xdr:from>
    <xdr:to>
      <xdr:col>32</xdr:col>
      <xdr:colOff>123825</xdr:colOff>
      <xdr:row>15</xdr:row>
      <xdr:rowOff>142875</xdr:rowOff>
    </xdr:to>
    <xdr:sp macro="" textlink="">
      <xdr:nvSpPr>
        <xdr:cNvPr id="837351" name="Line 106">
          <a:extLst>
            <a:ext uri="{FF2B5EF4-FFF2-40B4-BE49-F238E27FC236}">
              <a16:creationId xmlns:a16="http://schemas.microsoft.com/office/drawing/2014/main" id="{00000000-0008-0000-0600-0000E7C60C00}"/>
            </a:ext>
          </a:extLst>
        </xdr:cNvPr>
        <xdr:cNvSpPr>
          <a:spLocks noChangeShapeType="1"/>
        </xdr:cNvSpPr>
      </xdr:nvSpPr>
      <xdr:spPr bwMode="auto">
        <a:xfrm>
          <a:off x="13754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76200</xdr:rowOff>
    </xdr:from>
    <xdr:to>
      <xdr:col>32</xdr:col>
      <xdr:colOff>123825</xdr:colOff>
      <xdr:row>14</xdr:row>
      <xdr:rowOff>76200</xdr:rowOff>
    </xdr:to>
    <xdr:sp macro="" textlink="">
      <xdr:nvSpPr>
        <xdr:cNvPr id="837352" name="Line 107">
          <a:extLst>
            <a:ext uri="{FF2B5EF4-FFF2-40B4-BE49-F238E27FC236}">
              <a16:creationId xmlns:a16="http://schemas.microsoft.com/office/drawing/2014/main" id="{00000000-0008-0000-0600-0000E8C6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133350</xdr:rowOff>
    </xdr:from>
    <xdr:to>
      <xdr:col>32</xdr:col>
      <xdr:colOff>123825</xdr:colOff>
      <xdr:row>15</xdr:row>
      <xdr:rowOff>133350</xdr:rowOff>
    </xdr:to>
    <xdr:sp macro="" textlink="">
      <xdr:nvSpPr>
        <xdr:cNvPr id="837353" name="Line 108">
          <a:extLst>
            <a:ext uri="{FF2B5EF4-FFF2-40B4-BE49-F238E27FC236}">
              <a16:creationId xmlns:a16="http://schemas.microsoft.com/office/drawing/2014/main" id="{00000000-0008-0000-0600-0000E9C60C00}"/>
            </a:ext>
          </a:extLst>
        </xdr:cNvPr>
        <xdr:cNvSpPr>
          <a:spLocks noChangeShapeType="1"/>
        </xdr:cNvSpPr>
      </xdr:nvSpPr>
      <xdr:spPr bwMode="auto">
        <a:xfrm flipH="1">
          <a:off x="13630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354" name="Line 110">
          <a:extLst>
            <a:ext uri="{FF2B5EF4-FFF2-40B4-BE49-F238E27FC236}">
              <a16:creationId xmlns:a16="http://schemas.microsoft.com/office/drawing/2014/main" id="{00000000-0008-0000-0600-0000EAC60C00}"/>
            </a:ext>
          </a:extLst>
        </xdr:cNvPr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355" name="Line 111">
          <a:extLst>
            <a:ext uri="{FF2B5EF4-FFF2-40B4-BE49-F238E27FC236}">
              <a16:creationId xmlns:a16="http://schemas.microsoft.com/office/drawing/2014/main" id="{00000000-0008-0000-0600-0000EBC6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356" name="Line 112">
          <a:extLst>
            <a:ext uri="{FF2B5EF4-FFF2-40B4-BE49-F238E27FC236}">
              <a16:creationId xmlns:a16="http://schemas.microsoft.com/office/drawing/2014/main" id="{00000000-0008-0000-0600-0000ECC60C00}"/>
            </a:ext>
          </a:extLst>
        </xdr:cNvPr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357" name="Line 113">
          <a:extLst>
            <a:ext uri="{FF2B5EF4-FFF2-40B4-BE49-F238E27FC236}">
              <a16:creationId xmlns:a16="http://schemas.microsoft.com/office/drawing/2014/main" id="{00000000-0008-0000-0600-0000EDC60C00}"/>
            </a:ext>
          </a:extLst>
        </xdr:cNvPr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358" name="Line 114">
          <a:extLst>
            <a:ext uri="{FF2B5EF4-FFF2-40B4-BE49-F238E27FC236}">
              <a16:creationId xmlns:a16="http://schemas.microsoft.com/office/drawing/2014/main" id="{00000000-0008-0000-0600-0000EEC60C00}"/>
            </a:ext>
          </a:extLst>
        </xdr:cNvPr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359" name="Line 115">
          <a:extLst>
            <a:ext uri="{FF2B5EF4-FFF2-40B4-BE49-F238E27FC236}">
              <a16:creationId xmlns:a16="http://schemas.microsoft.com/office/drawing/2014/main" id="{00000000-0008-0000-0600-0000EFC60C00}"/>
            </a:ext>
          </a:extLst>
        </xdr:cNvPr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360" name="Line 118">
          <a:extLst>
            <a:ext uri="{FF2B5EF4-FFF2-40B4-BE49-F238E27FC236}">
              <a16:creationId xmlns:a16="http://schemas.microsoft.com/office/drawing/2014/main" id="{00000000-0008-0000-0600-0000F0C60C00}"/>
            </a:ext>
          </a:extLst>
        </xdr:cNvPr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361" name="Line 119">
          <a:extLst>
            <a:ext uri="{FF2B5EF4-FFF2-40B4-BE49-F238E27FC236}">
              <a16:creationId xmlns:a16="http://schemas.microsoft.com/office/drawing/2014/main" id="{00000000-0008-0000-0600-0000F1C60C00}"/>
            </a:ext>
          </a:extLst>
        </xdr:cNvPr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362" name="Line 120">
          <a:extLst>
            <a:ext uri="{FF2B5EF4-FFF2-40B4-BE49-F238E27FC236}">
              <a16:creationId xmlns:a16="http://schemas.microsoft.com/office/drawing/2014/main" id="{00000000-0008-0000-0600-0000F2C60C00}"/>
            </a:ext>
          </a:extLst>
        </xdr:cNvPr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363" name="Line 121">
          <a:extLst>
            <a:ext uri="{FF2B5EF4-FFF2-40B4-BE49-F238E27FC236}">
              <a16:creationId xmlns:a16="http://schemas.microsoft.com/office/drawing/2014/main" id="{00000000-0008-0000-0600-0000F3C60C00}"/>
            </a:ext>
          </a:extLst>
        </xdr:cNvPr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364" name="Line 122">
          <a:extLst>
            <a:ext uri="{FF2B5EF4-FFF2-40B4-BE49-F238E27FC236}">
              <a16:creationId xmlns:a16="http://schemas.microsoft.com/office/drawing/2014/main" id="{00000000-0008-0000-0600-0000F4C6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365" name="Line 123">
          <a:extLst>
            <a:ext uri="{FF2B5EF4-FFF2-40B4-BE49-F238E27FC236}">
              <a16:creationId xmlns:a16="http://schemas.microsoft.com/office/drawing/2014/main" id="{00000000-0008-0000-0600-0000F5C60C00}"/>
            </a:ext>
          </a:extLst>
        </xdr:cNvPr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8</xdr:row>
      <xdr:rowOff>76200</xdr:rowOff>
    </xdr:from>
    <xdr:to>
      <xdr:col>44</xdr:col>
      <xdr:colOff>123825</xdr:colOff>
      <xdr:row>9</xdr:row>
      <xdr:rowOff>142875</xdr:rowOff>
    </xdr:to>
    <xdr:sp macro="" textlink="">
      <xdr:nvSpPr>
        <xdr:cNvPr id="837366" name="Line 124">
          <a:extLst>
            <a:ext uri="{FF2B5EF4-FFF2-40B4-BE49-F238E27FC236}">
              <a16:creationId xmlns:a16="http://schemas.microsoft.com/office/drawing/2014/main" id="{00000000-0008-0000-0600-0000F6C60C00}"/>
            </a:ext>
          </a:extLst>
        </xdr:cNvPr>
        <xdr:cNvSpPr>
          <a:spLocks noChangeShapeType="1"/>
        </xdr:cNvSpPr>
      </xdr:nvSpPr>
      <xdr:spPr bwMode="auto">
        <a:xfrm>
          <a:off x="200025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76200</xdr:rowOff>
    </xdr:from>
    <xdr:to>
      <xdr:col>44</xdr:col>
      <xdr:colOff>123825</xdr:colOff>
      <xdr:row>8</xdr:row>
      <xdr:rowOff>76200</xdr:rowOff>
    </xdr:to>
    <xdr:sp macro="" textlink="">
      <xdr:nvSpPr>
        <xdr:cNvPr id="837367" name="Line 125">
          <a:extLst>
            <a:ext uri="{FF2B5EF4-FFF2-40B4-BE49-F238E27FC236}">
              <a16:creationId xmlns:a16="http://schemas.microsoft.com/office/drawing/2014/main" id="{00000000-0008-0000-0600-0000F7C6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133350</xdr:rowOff>
    </xdr:from>
    <xdr:to>
      <xdr:col>44</xdr:col>
      <xdr:colOff>123825</xdr:colOff>
      <xdr:row>9</xdr:row>
      <xdr:rowOff>133350</xdr:rowOff>
    </xdr:to>
    <xdr:sp macro="" textlink="">
      <xdr:nvSpPr>
        <xdr:cNvPr id="837368" name="Line 126">
          <a:extLst>
            <a:ext uri="{FF2B5EF4-FFF2-40B4-BE49-F238E27FC236}">
              <a16:creationId xmlns:a16="http://schemas.microsoft.com/office/drawing/2014/main" id="{00000000-0008-0000-0600-0000F8C60C00}"/>
            </a:ext>
          </a:extLst>
        </xdr:cNvPr>
        <xdr:cNvSpPr>
          <a:spLocks noChangeShapeType="1"/>
        </xdr:cNvSpPr>
      </xdr:nvSpPr>
      <xdr:spPr bwMode="auto">
        <a:xfrm flipH="1">
          <a:off x="198786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12</xdr:row>
      <xdr:rowOff>76200</xdr:rowOff>
    </xdr:from>
    <xdr:to>
      <xdr:col>44</xdr:col>
      <xdr:colOff>123825</xdr:colOff>
      <xdr:row>13</xdr:row>
      <xdr:rowOff>142875</xdr:rowOff>
    </xdr:to>
    <xdr:sp macro="" textlink="">
      <xdr:nvSpPr>
        <xdr:cNvPr id="837369" name="Line 127">
          <a:extLst>
            <a:ext uri="{FF2B5EF4-FFF2-40B4-BE49-F238E27FC236}">
              <a16:creationId xmlns:a16="http://schemas.microsoft.com/office/drawing/2014/main" id="{00000000-0008-0000-0600-0000F9C60C00}"/>
            </a:ext>
          </a:extLst>
        </xdr:cNvPr>
        <xdr:cNvSpPr>
          <a:spLocks noChangeShapeType="1"/>
        </xdr:cNvSpPr>
      </xdr:nvSpPr>
      <xdr:spPr bwMode="auto">
        <a:xfrm>
          <a:off x="200025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76200</xdr:rowOff>
    </xdr:from>
    <xdr:to>
      <xdr:col>44</xdr:col>
      <xdr:colOff>123825</xdr:colOff>
      <xdr:row>12</xdr:row>
      <xdr:rowOff>76200</xdr:rowOff>
    </xdr:to>
    <xdr:sp macro="" textlink="">
      <xdr:nvSpPr>
        <xdr:cNvPr id="837370" name="Line 128">
          <a:extLst>
            <a:ext uri="{FF2B5EF4-FFF2-40B4-BE49-F238E27FC236}">
              <a16:creationId xmlns:a16="http://schemas.microsoft.com/office/drawing/2014/main" id="{00000000-0008-0000-0600-0000FAC6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13</xdr:row>
      <xdr:rowOff>133350</xdr:rowOff>
    </xdr:from>
    <xdr:to>
      <xdr:col>44</xdr:col>
      <xdr:colOff>123825</xdr:colOff>
      <xdr:row>13</xdr:row>
      <xdr:rowOff>133350</xdr:rowOff>
    </xdr:to>
    <xdr:sp macro="" textlink="">
      <xdr:nvSpPr>
        <xdr:cNvPr id="837371" name="Line 129">
          <a:extLst>
            <a:ext uri="{FF2B5EF4-FFF2-40B4-BE49-F238E27FC236}">
              <a16:creationId xmlns:a16="http://schemas.microsoft.com/office/drawing/2014/main" id="{00000000-0008-0000-0600-0000FBC60C00}"/>
            </a:ext>
          </a:extLst>
        </xdr:cNvPr>
        <xdr:cNvSpPr>
          <a:spLocks noChangeShapeType="1"/>
        </xdr:cNvSpPr>
      </xdr:nvSpPr>
      <xdr:spPr bwMode="auto">
        <a:xfrm flipH="1">
          <a:off x="198786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14</xdr:row>
      <xdr:rowOff>76200</xdr:rowOff>
    </xdr:from>
    <xdr:to>
      <xdr:col>44</xdr:col>
      <xdr:colOff>123825</xdr:colOff>
      <xdr:row>15</xdr:row>
      <xdr:rowOff>142875</xdr:rowOff>
    </xdr:to>
    <xdr:sp macro="" textlink="">
      <xdr:nvSpPr>
        <xdr:cNvPr id="837372" name="Line 130">
          <a:extLst>
            <a:ext uri="{FF2B5EF4-FFF2-40B4-BE49-F238E27FC236}">
              <a16:creationId xmlns:a16="http://schemas.microsoft.com/office/drawing/2014/main" id="{00000000-0008-0000-0600-0000FCC60C00}"/>
            </a:ext>
          </a:extLst>
        </xdr:cNvPr>
        <xdr:cNvSpPr>
          <a:spLocks noChangeShapeType="1"/>
        </xdr:cNvSpPr>
      </xdr:nvSpPr>
      <xdr:spPr bwMode="auto">
        <a:xfrm>
          <a:off x="200025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14</xdr:row>
      <xdr:rowOff>76200</xdr:rowOff>
    </xdr:from>
    <xdr:to>
      <xdr:col>44</xdr:col>
      <xdr:colOff>123825</xdr:colOff>
      <xdr:row>14</xdr:row>
      <xdr:rowOff>76200</xdr:rowOff>
    </xdr:to>
    <xdr:sp macro="" textlink="">
      <xdr:nvSpPr>
        <xdr:cNvPr id="837373" name="Line 131">
          <a:extLst>
            <a:ext uri="{FF2B5EF4-FFF2-40B4-BE49-F238E27FC236}">
              <a16:creationId xmlns:a16="http://schemas.microsoft.com/office/drawing/2014/main" id="{00000000-0008-0000-0600-0000FDC6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133350</xdr:rowOff>
    </xdr:from>
    <xdr:to>
      <xdr:col>44</xdr:col>
      <xdr:colOff>123825</xdr:colOff>
      <xdr:row>15</xdr:row>
      <xdr:rowOff>133350</xdr:rowOff>
    </xdr:to>
    <xdr:sp macro="" textlink="">
      <xdr:nvSpPr>
        <xdr:cNvPr id="837374" name="Line 132">
          <a:extLst>
            <a:ext uri="{FF2B5EF4-FFF2-40B4-BE49-F238E27FC236}">
              <a16:creationId xmlns:a16="http://schemas.microsoft.com/office/drawing/2014/main" id="{00000000-0008-0000-0600-0000FEC60C00}"/>
            </a:ext>
          </a:extLst>
        </xdr:cNvPr>
        <xdr:cNvSpPr>
          <a:spLocks noChangeShapeType="1"/>
        </xdr:cNvSpPr>
      </xdr:nvSpPr>
      <xdr:spPr bwMode="auto">
        <a:xfrm flipH="1">
          <a:off x="198786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375" name="Line 134">
          <a:extLst>
            <a:ext uri="{FF2B5EF4-FFF2-40B4-BE49-F238E27FC236}">
              <a16:creationId xmlns:a16="http://schemas.microsoft.com/office/drawing/2014/main" id="{00000000-0008-0000-0600-0000FFC60C00}"/>
            </a:ext>
          </a:extLst>
        </xdr:cNvPr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376" name="Line 135">
          <a:extLst>
            <a:ext uri="{FF2B5EF4-FFF2-40B4-BE49-F238E27FC236}">
              <a16:creationId xmlns:a16="http://schemas.microsoft.com/office/drawing/2014/main" id="{00000000-0008-0000-0600-000000C7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377" name="Line 136">
          <a:extLst>
            <a:ext uri="{FF2B5EF4-FFF2-40B4-BE49-F238E27FC236}">
              <a16:creationId xmlns:a16="http://schemas.microsoft.com/office/drawing/2014/main" id="{00000000-0008-0000-0600-000001C70C00}"/>
            </a:ext>
          </a:extLst>
        </xdr:cNvPr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378" name="Line 137">
          <a:extLst>
            <a:ext uri="{FF2B5EF4-FFF2-40B4-BE49-F238E27FC236}">
              <a16:creationId xmlns:a16="http://schemas.microsoft.com/office/drawing/2014/main" id="{00000000-0008-0000-0600-000002C70C00}"/>
            </a:ext>
          </a:extLst>
        </xdr:cNvPr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379" name="Line 138">
          <a:extLst>
            <a:ext uri="{FF2B5EF4-FFF2-40B4-BE49-F238E27FC236}">
              <a16:creationId xmlns:a16="http://schemas.microsoft.com/office/drawing/2014/main" id="{00000000-0008-0000-0600-000003C70C00}"/>
            </a:ext>
          </a:extLst>
        </xdr:cNvPr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380" name="Line 139">
          <a:extLst>
            <a:ext uri="{FF2B5EF4-FFF2-40B4-BE49-F238E27FC236}">
              <a16:creationId xmlns:a16="http://schemas.microsoft.com/office/drawing/2014/main" id="{00000000-0008-0000-0600-000004C70C00}"/>
            </a:ext>
          </a:extLst>
        </xdr:cNvPr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381" name="Line 142">
          <a:extLst>
            <a:ext uri="{FF2B5EF4-FFF2-40B4-BE49-F238E27FC236}">
              <a16:creationId xmlns:a16="http://schemas.microsoft.com/office/drawing/2014/main" id="{00000000-0008-0000-0600-000005C70C00}"/>
            </a:ext>
          </a:extLst>
        </xdr:cNvPr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382" name="Line 143">
          <a:extLst>
            <a:ext uri="{FF2B5EF4-FFF2-40B4-BE49-F238E27FC236}">
              <a16:creationId xmlns:a16="http://schemas.microsoft.com/office/drawing/2014/main" id="{00000000-0008-0000-0600-000006C70C00}"/>
            </a:ext>
          </a:extLst>
        </xdr:cNvPr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383" name="Line 144">
          <a:extLst>
            <a:ext uri="{FF2B5EF4-FFF2-40B4-BE49-F238E27FC236}">
              <a16:creationId xmlns:a16="http://schemas.microsoft.com/office/drawing/2014/main" id="{00000000-0008-0000-0600-000007C70C00}"/>
            </a:ext>
          </a:extLst>
        </xdr:cNvPr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384" name="Line 145">
          <a:extLst>
            <a:ext uri="{FF2B5EF4-FFF2-40B4-BE49-F238E27FC236}">
              <a16:creationId xmlns:a16="http://schemas.microsoft.com/office/drawing/2014/main" id="{00000000-0008-0000-0600-000008C70C00}"/>
            </a:ext>
          </a:extLst>
        </xdr:cNvPr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385" name="Line 146">
          <a:extLst>
            <a:ext uri="{FF2B5EF4-FFF2-40B4-BE49-F238E27FC236}">
              <a16:creationId xmlns:a16="http://schemas.microsoft.com/office/drawing/2014/main" id="{00000000-0008-0000-0600-000009C7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386" name="Line 147">
          <a:extLst>
            <a:ext uri="{FF2B5EF4-FFF2-40B4-BE49-F238E27FC236}">
              <a16:creationId xmlns:a16="http://schemas.microsoft.com/office/drawing/2014/main" id="{00000000-0008-0000-0600-00000AC70C00}"/>
            </a:ext>
          </a:extLst>
        </xdr:cNvPr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8</xdr:row>
      <xdr:rowOff>76200</xdr:rowOff>
    </xdr:from>
    <xdr:to>
      <xdr:col>38</xdr:col>
      <xdr:colOff>123825</xdr:colOff>
      <xdr:row>9</xdr:row>
      <xdr:rowOff>142875</xdr:rowOff>
    </xdr:to>
    <xdr:sp macro="" textlink="">
      <xdr:nvSpPr>
        <xdr:cNvPr id="837387" name="Line 148">
          <a:extLst>
            <a:ext uri="{FF2B5EF4-FFF2-40B4-BE49-F238E27FC236}">
              <a16:creationId xmlns:a16="http://schemas.microsoft.com/office/drawing/2014/main" id="{00000000-0008-0000-0600-00000BC70C00}"/>
            </a:ext>
          </a:extLst>
        </xdr:cNvPr>
        <xdr:cNvSpPr>
          <a:spLocks noChangeShapeType="1"/>
        </xdr:cNvSpPr>
      </xdr:nvSpPr>
      <xdr:spPr bwMode="auto">
        <a:xfrm>
          <a:off x="16764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123825</xdr:colOff>
      <xdr:row>8</xdr:row>
      <xdr:rowOff>76200</xdr:rowOff>
    </xdr:to>
    <xdr:sp macro="" textlink="">
      <xdr:nvSpPr>
        <xdr:cNvPr id="837388" name="Line 149">
          <a:extLst>
            <a:ext uri="{FF2B5EF4-FFF2-40B4-BE49-F238E27FC236}">
              <a16:creationId xmlns:a16="http://schemas.microsoft.com/office/drawing/2014/main" id="{00000000-0008-0000-0600-00000CC7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</xdr:row>
      <xdr:rowOff>133350</xdr:rowOff>
    </xdr:from>
    <xdr:to>
      <xdr:col>38</xdr:col>
      <xdr:colOff>123825</xdr:colOff>
      <xdr:row>9</xdr:row>
      <xdr:rowOff>133350</xdr:rowOff>
    </xdr:to>
    <xdr:sp macro="" textlink="">
      <xdr:nvSpPr>
        <xdr:cNvPr id="837389" name="Line 150">
          <a:extLst>
            <a:ext uri="{FF2B5EF4-FFF2-40B4-BE49-F238E27FC236}">
              <a16:creationId xmlns:a16="http://schemas.microsoft.com/office/drawing/2014/main" id="{00000000-0008-0000-0600-00000DC70C00}"/>
            </a:ext>
          </a:extLst>
        </xdr:cNvPr>
        <xdr:cNvSpPr>
          <a:spLocks noChangeShapeType="1"/>
        </xdr:cNvSpPr>
      </xdr:nvSpPr>
      <xdr:spPr bwMode="auto">
        <a:xfrm flipH="1">
          <a:off x="16640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12</xdr:row>
      <xdr:rowOff>76200</xdr:rowOff>
    </xdr:from>
    <xdr:to>
      <xdr:col>38</xdr:col>
      <xdr:colOff>123825</xdr:colOff>
      <xdr:row>13</xdr:row>
      <xdr:rowOff>142875</xdr:rowOff>
    </xdr:to>
    <xdr:sp macro="" textlink="">
      <xdr:nvSpPr>
        <xdr:cNvPr id="837390" name="Line 151">
          <a:extLst>
            <a:ext uri="{FF2B5EF4-FFF2-40B4-BE49-F238E27FC236}">
              <a16:creationId xmlns:a16="http://schemas.microsoft.com/office/drawing/2014/main" id="{00000000-0008-0000-0600-00000EC70C00}"/>
            </a:ext>
          </a:extLst>
        </xdr:cNvPr>
        <xdr:cNvSpPr>
          <a:spLocks noChangeShapeType="1"/>
        </xdr:cNvSpPr>
      </xdr:nvSpPr>
      <xdr:spPr bwMode="auto">
        <a:xfrm>
          <a:off x="16764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12</xdr:row>
      <xdr:rowOff>76200</xdr:rowOff>
    </xdr:from>
    <xdr:to>
      <xdr:col>38</xdr:col>
      <xdr:colOff>123825</xdr:colOff>
      <xdr:row>12</xdr:row>
      <xdr:rowOff>76200</xdr:rowOff>
    </xdr:to>
    <xdr:sp macro="" textlink="">
      <xdr:nvSpPr>
        <xdr:cNvPr id="837391" name="Line 152">
          <a:extLst>
            <a:ext uri="{FF2B5EF4-FFF2-40B4-BE49-F238E27FC236}">
              <a16:creationId xmlns:a16="http://schemas.microsoft.com/office/drawing/2014/main" id="{00000000-0008-0000-0600-00000FC7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133350</xdr:rowOff>
    </xdr:from>
    <xdr:to>
      <xdr:col>38</xdr:col>
      <xdr:colOff>123825</xdr:colOff>
      <xdr:row>13</xdr:row>
      <xdr:rowOff>133350</xdr:rowOff>
    </xdr:to>
    <xdr:sp macro="" textlink="">
      <xdr:nvSpPr>
        <xdr:cNvPr id="837392" name="Line 153">
          <a:extLst>
            <a:ext uri="{FF2B5EF4-FFF2-40B4-BE49-F238E27FC236}">
              <a16:creationId xmlns:a16="http://schemas.microsoft.com/office/drawing/2014/main" id="{00000000-0008-0000-0600-000010C70C00}"/>
            </a:ext>
          </a:extLst>
        </xdr:cNvPr>
        <xdr:cNvSpPr>
          <a:spLocks noChangeShapeType="1"/>
        </xdr:cNvSpPr>
      </xdr:nvSpPr>
      <xdr:spPr bwMode="auto">
        <a:xfrm flipH="1">
          <a:off x="16640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14</xdr:row>
      <xdr:rowOff>76200</xdr:rowOff>
    </xdr:from>
    <xdr:to>
      <xdr:col>38</xdr:col>
      <xdr:colOff>123825</xdr:colOff>
      <xdr:row>15</xdr:row>
      <xdr:rowOff>142875</xdr:rowOff>
    </xdr:to>
    <xdr:sp macro="" textlink="">
      <xdr:nvSpPr>
        <xdr:cNvPr id="837393" name="Line 154">
          <a:extLst>
            <a:ext uri="{FF2B5EF4-FFF2-40B4-BE49-F238E27FC236}">
              <a16:creationId xmlns:a16="http://schemas.microsoft.com/office/drawing/2014/main" id="{00000000-0008-0000-0600-000011C70C00}"/>
            </a:ext>
          </a:extLst>
        </xdr:cNvPr>
        <xdr:cNvSpPr>
          <a:spLocks noChangeShapeType="1"/>
        </xdr:cNvSpPr>
      </xdr:nvSpPr>
      <xdr:spPr bwMode="auto">
        <a:xfrm>
          <a:off x="16764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14</xdr:row>
      <xdr:rowOff>76200</xdr:rowOff>
    </xdr:from>
    <xdr:to>
      <xdr:col>38</xdr:col>
      <xdr:colOff>123825</xdr:colOff>
      <xdr:row>14</xdr:row>
      <xdr:rowOff>76200</xdr:rowOff>
    </xdr:to>
    <xdr:sp macro="" textlink="">
      <xdr:nvSpPr>
        <xdr:cNvPr id="837394" name="Line 155">
          <a:extLst>
            <a:ext uri="{FF2B5EF4-FFF2-40B4-BE49-F238E27FC236}">
              <a16:creationId xmlns:a16="http://schemas.microsoft.com/office/drawing/2014/main" id="{00000000-0008-0000-0600-000012C7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133350</xdr:rowOff>
    </xdr:from>
    <xdr:to>
      <xdr:col>38</xdr:col>
      <xdr:colOff>123825</xdr:colOff>
      <xdr:row>15</xdr:row>
      <xdr:rowOff>133350</xdr:rowOff>
    </xdr:to>
    <xdr:sp macro="" textlink="">
      <xdr:nvSpPr>
        <xdr:cNvPr id="837395" name="Line 156">
          <a:extLst>
            <a:ext uri="{FF2B5EF4-FFF2-40B4-BE49-F238E27FC236}">
              <a16:creationId xmlns:a16="http://schemas.microsoft.com/office/drawing/2014/main" id="{00000000-0008-0000-0600-000013C70C00}"/>
            </a:ext>
          </a:extLst>
        </xdr:cNvPr>
        <xdr:cNvSpPr>
          <a:spLocks noChangeShapeType="1"/>
        </xdr:cNvSpPr>
      </xdr:nvSpPr>
      <xdr:spPr bwMode="auto">
        <a:xfrm flipH="1">
          <a:off x="16640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396" name="Line 158">
          <a:extLst>
            <a:ext uri="{FF2B5EF4-FFF2-40B4-BE49-F238E27FC236}">
              <a16:creationId xmlns:a16="http://schemas.microsoft.com/office/drawing/2014/main" id="{00000000-0008-0000-0600-000014C70C00}"/>
            </a:ext>
          </a:extLst>
        </xdr:cNvPr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397" name="Line 159">
          <a:extLst>
            <a:ext uri="{FF2B5EF4-FFF2-40B4-BE49-F238E27FC236}">
              <a16:creationId xmlns:a16="http://schemas.microsoft.com/office/drawing/2014/main" id="{00000000-0008-0000-0600-000015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398" name="Line 160">
          <a:extLst>
            <a:ext uri="{FF2B5EF4-FFF2-40B4-BE49-F238E27FC236}">
              <a16:creationId xmlns:a16="http://schemas.microsoft.com/office/drawing/2014/main" id="{00000000-0008-0000-0600-000016C70C00}"/>
            </a:ext>
          </a:extLst>
        </xdr:cNvPr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399" name="Line 161">
          <a:extLst>
            <a:ext uri="{FF2B5EF4-FFF2-40B4-BE49-F238E27FC236}">
              <a16:creationId xmlns:a16="http://schemas.microsoft.com/office/drawing/2014/main" id="{00000000-0008-0000-0600-000017C70C00}"/>
            </a:ext>
          </a:extLst>
        </xdr:cNvPr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400" name="Line 162">
          <a:extLst>
            <a:ext uri="{FF2B5EF4-FFF2-40B4-BE49-F238E27FC236}">
              <a16:creationId xmlns:a16="http://schemas.microsoft.com/office/drawing/2014/main" id="{00000000-0008-0000-0600-000018C70C00}"/>
            </a:ext>
          </a:extLst>
        </xdr:cNvPr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401" name="Line 163">
          <a:extLst>
            <a:ext uri="{FF2B5EF4-FFF2-40B4-BE49-F238E27FC236}">
              <a16:creationId xmlns:a16="http://schemas.microsoft.com/office/drawing/2014/main" id="{00000000-0008-0000-0600-000019C70C00}"/>
            </a:ext>
          </a:extLst>
        </xdr:cNvPr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402" name="Line 166">
          <a:extLst>
            <a:ext uri="{FF2B5EF4-FFF2-40B4-BE49-F238E27FC236}">
              <a16:creationId xmlns:a16="http://schemas.microsoft.com/office/drawing/2014/main" id="{00000000-0008-0000-0600-00001AC70C00}"/>
            </a:ext>
          </a:extLst>
        </xdr:cNvPr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403" name="Line 167">
          <a:extLst>
            <a:ext uri="{FF2B5EF4-FFF2-40B4-BE49-F238E27FC236}">
              <a16:creationId xmlns:a16="http://schemas.microsoft.com/office/drawing/2014/main" id="{00000000-0008-0000-0600-00001BC70C00}"/>
            </a:ext>
          </a:extLst>
        </xdr:cNvPr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404" name="Line 168">
          <a:extLst>
            <a:ext uri="{FF2B5EF4-FFF2-40B4-BE49-F238E27FC236}">
              <a16:creationId xmlns:a16="http://schemas.microsoft.com/office/drawing/2014/main" id="{00000000-0008-0000-0600-00001CC70C00}"/>
            </a:ext>
          </a:extLst>
        </xdr:cNvPr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405" name="Line 169">
          <a:extLst>
            <a:ext uri="{FF2B5EF4-FFF2-40B4-BE49-F238E27FC236}">
              <a16:creationId xmlns:a16="http://schemas.microsoft.com/office/drawing/2014/main" id="{00000000-0008-0000-0600-00001DC70C00}"/>
            </a:ext>
          </a:extLst>
        </xdr:cNvPr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406" name="Line 170">
          <a:extLst>
            <a:ext uri="{FF2B5EF4-FFF2-40B4-BE49-F238E27FC236}">
              <a16:creationId xmlns:a16="http://schemas.microsoft.com/office/drawing/2014/main" id="{00000000-0008-0000-0600-00001E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407" name="Line 171">
          <a:extLst>
            <a:ext uri="{FF2B5EF4-FFF2-40B4-BE49-F238E27FC236}">
              <a16:creationId xmlns:a16="http://schemas.microsoft.com/office/drawing/2014/main" id="{00000000-0008-0000-0600-00001FC70C00}"/>
            </a:ext>
          </a:extLst>
        </xdr:cNvPr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8</xdr:row>
      <xdr:rowOff>76200</xdr:rowOff>
    </xdr:from>
    <xdr:to>
      <xdr:col>50</xdr:col>
      <xdr:colOff>123825</xdr:colOff>
      <xdr:row>9</xdr:row>
      <xdr:rowOff>142875</xdr:rowOff>
    </xdr:to>
    <xdr:sp macro="" textlink="">
      <xdr:nvSpPr>
        <xdr:cNvPr id="837408" name="Line 172">
          <a:extLst>
            <a:ext uri="{FF2B5EF4-FFF2-40B4-BE49-F238E27FC236}">
              <a16:creationId xmlns:a16="http://schemas.microsoft.com/office/drawing/2014/main" id="{00000000-0008-0000-0600-000020C70C00}"/>
            </a:ext>
          </a:extLst>
        </xdr:cNvPr>
        <xdr:cNvSpPr>
          <a:spLocks noChangeShapeType="1"/>
        </xdr:cNvSpPr>
      </xdr:nvSpPr>
      <xdr:spPr bwMode="auto">
        <a:xfrm>
          <a:off x="23145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76200</xdr:rowOff>
    </xdr:from>
    <xdr:to>
      <xdr:col>50</xdr:col>
      <xdr:colOff>123825</xdr:colOff>
      <xdr:row>8</xdr:row>
      <xdr:rowOff>76200</xdr:rowOff>
    </xdr:to>
    <xdr:sp macro="" textlink="">
      <xdr:nvSpPr>
        <xdr:cNvPr id="837409" name="Line 173">
          <a:extLst>
            <a:ext uri="{FF2B5EF4-FFF2-40B4-BE49-F238E27FC236}">
              <a16:creationId xmlns:a16="http://schemas.microsoft.com/office/drawing/2014/main" id="{00000000-0008-0000-0600-000021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133350</xdr:rowOff>
    </xdr:from>
    <xdr:to>
      <xdr:col>50</xdr:col>
      <xdr:colOff>123825</xdr:colOff>
      <xdr:row>9</xdr:row>
      <xdr:rowOff>133350</xdr:rowOff>
    </xdr:to>
    <xdr:sp macro="" textlink="">
      <xdr:nvSpPr>
        <xdr:cNvPr id="837410" name="Line 174">
          <a:extLst>
            <a:ext uri="{FF2B5EF4-FFF2-40B4-BE49-F238E27FC236}">
              <a16:creationId xmlns:a16="http://schemas.microsoft.com/office/drawing/2014/main" id="{00000000-0008-0000-0600-000022C70C00}"/>
            </a:ext>
          </a:extLst>
        </xdr:cNvPr>
        <xdr:cNvSpPr>
          <a:spLocks noChangeShapeType="1"/>
        </xdr:cNvSpPr>
      </xdr:nvSpPr>
      <xdr:spPr bwMode="auto">
        <a:xfrm flipH="1">
          <a:off x="23021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12</xdr:row>
      <xdr:rowOff>76200</xdr:rowOff>
    </xdr:from>
    <xdr:to>
      <xdr:col>50</xdr:col>
      <xdr:colOff>123825</xdr:colOff>
      <xdr:row>13</xdr:row>
      <xdr:rowOff>142875</xdr:rowOff>
    </xdr:to>
    <xdr:sp macro="" textlink="">
      <xdr:nvSpPr>
        <xdr:cNvPr id="837411" name="Line 175">
          <a:extLst>
            <a:ext uri="{FF2B5EF4-FFF2-40B4-BE49-F238E27FC236}">
              <a16:creationId xmlns:a16="http://schemas.microsoft.com/office/drawing/2014/main" id="{00000000-0008-0000-0600-000023C70C00}"/>
            </a:ext>
          </a:extLst>
        </xdr:cNvPr>
        <xdr:cNvSpPr>
          <a:spLocks noChangeShapeType="1"/>
        </xdr:cNvSpPr>
      </xdr:nvSpPr>
      <xdr:spPr bwMode="auto">
        <a:xfrm>
          <a:off x="23145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12</xdr:row>
      <xdr:rowOff>76200</xdr:rowOff>
    </xdr:from>
    <xdr:to>
      <xdr:col>50</xdr:col>
      <xdr:colOff>123825</xdr:colOff>
      <xdr:row>12</xdr:row>
      <xdr:rowOff>76200</xdr:rowOff>
    </xdr:to>
    <xdr:sp macro="" textlink="">
      <xdr:nvSpPr>
        <xdr:cNvPr id="837412" name="Line 176">
          <a:extLst>
            <a:ext uri="{FF2B5EF4-FFF2-40B4-BE49-F238E27FC236}">
              <a16:creationId xmlns:a16="http://schemas.microsoft.com/office/drawing/2014/main" id="{00000000-0008-0000-0600-000024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133350</xdr:rowOff>
    </xdr:from>
    <xdr:to>
      <xdr:col>50</xdr:col>
      <xdr:colOff>123825</xdr:colOff>
      <xdr:row>13</xdr:row>
      <xdr:rowOff>133350</xdr:rowOff>
    </xdr:to>
    <xdr:sp macro="" textlink="">
      <xdr:nvSpPr>
        <xdr:cNvPr id="837413" name="Line 177">
          <a:extLst>
            <a:ext uri="{FF2B5EF4-FFF2-40B4-BE49-F238E27FC236}">
              <a16:creationId xmlns:a16="http://schemas.microsoft.com/office/drawing/2014/main" id="{00000000-0008-0000-0600-000025C70C00}"/>
            </a:ext>
          </a:extLst>
        </xdr:cNvPr>
        <xdr:cNvSpPr>
          <a:spLocks noChangeShapeType="1"/>
        </xdr:cNvSpPr>
      </xdr:nvSpPr>
      <xdr:spPr bwMode="auto">
        <a:xfrm flipH="1">
          <a:off x="23021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14</xdr:row>
      <xdr:rowOff>76200</xdr:rowOff>
    </xdr:from>
    <xdr:to>
      <xdr:col>50</xdr:col>
      <xdr:colOff>123825</xdr:colOff>
      <xdr:row>15</xdr:row>
      <xdr:rowOff>142875</xdr:rowOff>
    </xdr:to>
    <xdr:sp macro="" textlink="">
      <xdr:nvSpPr>
        <xdr:cNvPr id="837414" name="Line 178">
          <a:extLst>
            <a:ext uri="{FF2B5EF4-FFF2-40B4-BE49-F238E27FC236}">
              <a16:creationId xmlns:a16="http://schemas.microsoft.com/office/drawing/2014/main" id="{00000000-0008-0000-0600-000026C70C00}"/>
            </a:ext>
          </a:extLst>
        </xdr:cNvPr>
        <xdr:cNvSpPr>
          <a:spLocks noChangeShapeType="1"/>
        </xdr:cNvSpPr>
      </xdr:nvSpPr>
      <xdr:spPr bwMode="auto">
        <a:xfrm>
          <a:off x="23145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76200</xdr:rowOff>
    </xdr:from>
    <xdr:to>
      <xdr:col>50</xdr:col>
      <xdr:colOff>123825</xdr:colOff>
      <xdr:row>14</xdr:row>
      <xdr:rowOff>76200</xdr:rowOff>
    </xdr:to>
    <xdr:sp macro="" textlink="">
      <xdr:nvSpPr>
        <xdr:cNvPr id="837415" name="Line 179">
          <a:extLst>
            <a:ext uri="{FF2B5EF4-FFF2-40B4-BE49-F238E27FC236}">
              <a16:creationId xmlns:a16="http://schemas.microsoft.com/office/drawing/2014/main" id="{00000000-0008-0000-0600-000027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15</xdr:row>
      <xdr:rowOff>133350</xdr:rowOff>
    </xdr:from>
    <xdr:to>
      <xdr:col>50</xdr:col>
      <xdr:colOff>123825</xdr:colOff>
      <xdr:row>15</xdr:row>
      <xdr:rowOff>133350</xdr:rowOff>
    </xdr:to>
    <xdr:sp macro="" textlink="">
      <xdr:nvSpPr>
        <xdr:cNvPr id="837416" name="Line 180">
          <a:extLst>
            <a:ext uri="{FF2B5EF4-FFF2-40B4-BE49-F238E27FC236}">
              <a16:creationId xmlns:a16="http://schemas.microsoft.com/office/drawing/2014/main" id="{00000000-0008-0000-0600-000028C70C00}"/>
            </a:ext>
          </a:extLst>
        </xdr:cNvPr>
        <xdr:cNvSpPr>
          <a:spLocks noChangeShapeType="1"/>
        </xdr:cNvSpPr>
      </xdr:nvSpPr>
      <xdr:spPr bwMode="auto">
        <a:xfrm flipH="1">
          <a:off x="23021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417" name="Line 192">
          <a:extLst>
            <a:ext uri="{FF2B5EF4-FFF2-40B4-BE49-F238E27FC236}">
              <a16:creationId xmlns:a16="http://schemas.microsoft.com/office/drawing/2014/main" id="{00000000-0008-0000-0600-000029C70C00}"/>
            </a:ext>
          </a:extLst>
        </xdr:cNvPr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418" name="Line 193">
          <a:extLst>
            <a:ext uri="{FF2B5EF4-FFF2-40B4-BE49-F238E27FC236}">
              <a16:creationId xmlns:a16="http://schemas.microsoft.com/office/drawing/2014/main" id="{00000000-0008-0000-0600-00002A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419" name="Line 194">
          <a:extLst>
            <a:ext uri="{FF2B5EF4-FFF2-40B4-BE49-F238E27FC236}">
              <a16:creationId xmlns:a16="http://schemas.microsoft.com/office/drawing/2014/main" id="{00000000-0008-0000-0600-00002BC70C00}"/>
            </a:ext>
          </a:extLst>
        </xdr:cNvPr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420" name="Line 195">
          <a:extLst>
            <a:ext uri="{FF2B5EF4-FFF2-40B4-BE49-F238E27FC236}">
              <a16:creationId xmlns:a16="http://schemas.microsoft.com/office/drawing/2014/main" id="{00000000-0008-0000-0600-00002CC70C00}"/>
            </a:ext>
          </a:extLst>
        </xdr:cNvPr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421" name="Line 196">
          <a:extLst>
            <a:ext uri="{FF2B5EF4-FFF2-40B4-BE49-F238E27FC236}">
              <a16:creationId xmlns:a16="http://schemas.microsoft.com/office/drawing/2014/main" id="{00000000-0008-0000-0600-00002DC70C00}"/>
            </a:ext>
          </a:extLst>
        </xdr:cNvPr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422" name="Line 197">
          <a:extLst>
            <a:ext uri="{FF2B5EF4-FFF2-40B4-BE49-F238E27FC236}">
              <a16:creationId xmlns:a16="http://schemas.microsoft.com/office/drawing/2014/main" id="{00000000-0008-0000-0600-00002EC70C00}"/>
            </a:ext>
          </a:extLst>
        </xdr:cNvPr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423" name="Line 200">
          <a:extLst>
            <a:ext uri="{FF2B5EF4-FFF2-40B4-BE49-F238E27FC236}">
              <a16:creationId xmlns:a16="http://schemas.microsoft.com/office/drawing/2014/main" id="{00000000-0008-0000-0600-00002FC70C00}"/>
            </a:ext>
          </a:extLst>
        </xdr:cNvPr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424" name="Line 201">
          <a:extLst>
            <a:ext uri="{FF2B5EF4-FFF2-40B4-BE49-F238E27FC236}">
              <a16:creationId xmlns:a16="http://schemas.microsoft.com/office/drawing/2014/main" id="{00000000-0008-0000-0600-000030C70C00}"/>
            </a:ext>
          </a:extLst>
        </xdr:cNvPr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425" name="Line 202">
          <a:extLst>
            <a:ext uri="{FF2B5EF4-FFF2-40B4-BE49-F238E27FC236}">
              <a16:creationId xmlns:a16="http://schemas.microsoft.com/office/drawing/2014/main" id="{00000000-0008-0000-0600-000031C70C00}"/>
            </a:ext>
          </a:extLst>
        </xdr:cNvPr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426" name="Line 203">
          <a:extLst>
            <a:ext uri="{FF2B5EF4-FFF2-40B4-BE49-F238E27FC236}">
              <a16:creationId xmlns:a16="http://schemas.microsoft.com/office/drawing/2014/main" id="{00000000-0008-0000-0600-000032C70C00}"/>
            </a:ext>
          </a:extLst>
        </xdr:cNvPr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427" name="Line 204">
          <a:extLst>
            <a:ext uri="{FF2B5EF4-FFF2-40B4-BE49-F238E27FC236}">
              <a16:creationId xmlns:a16="http://schemas.microsoft.com/office/drawing/2014/main" id="{00000000-0008-0000-0600-000033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428" name="Line 205">
          <a:extLst>
            <a:ext uri="{FF2B5EF4-FFF2-40B4-BE49-F238E27FC236}">
              <a16:creationId xmlns:a16="http://schemas.microsoft.com/office/drawing/2014/main" id="{00000000-0008-0000-0600-000034C70C00}"/>
            </a:ext>
          </a:extLst>
        </xdr:cNvPr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8</xdr:row>
      <xdr:rowOff>76200</xdr:rowOff>
    </xdr:from>
    <xdr:to>
      <xdr:col>56</xdr:col>
      <xdr:colOff>123825</xdr:colOff>
      <xdr:row>9</xdr:row>
      <xdr:rowOff>142875</xdr:rowOff>
    </xdr:to>
    <xdr:sp macro="" textlink="">
      <xdr:nvSpPr>
        <xdr:cNvPr id="837429" name="Line 206">
          <a:extLst>
            <a:ext uri="{FF2B5EF4-FFF2-40B4-BE49-F238E27FC236}">
              <a16:creationId xmlns:a16="http://schemas.microsoft.com/office/drawing/2014/main" id="{00000000-0008-0000-0600-000035C70C00}"/>
            </a:ext>
          </a:extLst>
        </xdr:cNvPr>
        <xdr:cNvSpPr>
          <a:spLocks noChangeShapeType="1"/>
        </xdr:cNvSpPr>
      </xdr:nvSpPr>
      <xdr:spPr bwMode="auto">
        <a:xfrm>
          <a:off x="264318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8</xdr:row>
      <xdr:rowOff>76200</xdr:rowOff>
    </xdr:from>
    <xdr:to>
      <xdr:col>56</xdr:col>
      <xdr:colOff>123825</xdr:colOff>
      <xdr:row>8</xdr:row>
      <xdr:rowOff>76200</xdr:rowOff>
    </xdr:to>
    <xdr:sp macro="" textlink="">
      <xdr:nvSpPr>
        <xdr:cNvPr id="837430" name="Line 207">
          <a:extLst>
            <a:ext uri="{FF2B5EF4-FFF2-40B4-BE49-F238E27FC236}">
              <a16:creationId xmlns:a16="http://schemas.microsoft.com/office/drawing/2014/main" id="{00000000-0008-0000-0600-000036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</xdr:row>
      <xdr:rowOff>133350</xdr:rowOff>
    </xdr:from>
    <xdr:to>
      <xdr:col>56</xdr:col>
      <xdr:colOff>123825</xdr:colOff>
      <xdr:row>9</xdr:row>
      <xdr:rowOff>133350</xdr:rowOff>
    </xdr:to>
    <xdr:sp macro="" textlink="">
      <xdr:nvSpPr>
        <xdr:cNvPr id="837431" name="Line 208">
          <a:extLst>
            <a:ext uri="{FF2B5EF4-FFF2-40B4-BE49-F238E27FC236}">
              <a16:creationId xmlns:a16="http://schemas.microsoft.com/office/drawing/2014/main" id="{00000000-0008-0000-0600-000037C70C00}"/>
            </a:ext>
          </a:extLst>
        </xdr:cNvPr>
        <xdr:cNvSpPr>
          <a:spLocks noChangeShapeType="1"/>
        </xdr:cNvSpPr>
      </xdr:nvSpPr>
      <xdr:spPr bwMode="auto">
        <a:xfrm flipH="1">
          <a:off x="263080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12</xdr:row>
      <xdr:rowOff>76200</xdr:rowOff>
    </xdr:from>
    <xdr:to>
      <xdr:col>56</xdr:col>
      <xdr:colOff>123825</xdr:colOff>
      <xdr:row>13</xdr:row>
      <xdr:rowOff>142875</xdr:rowOff>
    </xdr:to>
    <xdr:sp macro="" textlink="">
      <xdr:nvSpPr>
        <xdr:cNvPr id="837432" name="Line 209">
          <a:extLst>
            <a:ext uri="{FF2B5EF4-FFF2-40B4-BE49-F238E27FC236}">
              <a16:creationId xmlns:a16="http://schemas.microsoft.com/office/drawing/2014/main" id="{00000000-0008-0000-0600-000038C70C00}"/>
            </a:ext>
          </a:extLst>
        </xdr:cNvPr>
        <xdr:cNvSpPr>
          <a:spLocks noChangeShapeType="1"/>
        </xdr:cNvSpPr>
      </xdr:nvSpPr>
      <xdr:spPr bwMode="auto">
        <a:xfrm>
          <a:off x="264318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76200</xdr:rowOff>
    </xdr:from>
    <xdr:to>
      <xdr:col>56</xdr:col>
      <xdr:colOff>123825</xdr:colOff>
      <xdr:row>12</xdr:row>
      <xdr:rowOff>76200</xdr:rowOff>
    </xdr:to>
    <xdr:sp macro="" textlink="">
      <xdr:nvSpPr>
        <xdr:cNvPr id="837433" name="Line 210">
          <a:extLst>
            <a:ext uri="{FF2B5EF4-FFF2-40B4-BE49-F238E27FC236}">
              <a16:creationId xmlns:a16="http://schemas.microsoft.com/office/drawing/2014/main" id="{00000000-0008-0000-0600-000039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13</xdr:row>
      <xdr:rowOff>133350</xdr:rowOff>
    </xdr:from>
    <xdr:to>
      <xdr:col>56</xdr:col>
      <xdr:colOff>123825</xdr:colOff>
      <xdr:row>13</xdr:row>
      <xdr:rowOff>133350</xdr:rowOff>
    </xdr:to>
    <xdr:sp macro="" textlink="">
      <xdr:nvSpPr>
        <xdr:cNvPr id="837434" name="Line 211">
          <a:extLst>
            <a:ext uri="{FF2B5EF4-FFF2-40B4-BE49-F238E27FC236}">
              <a16:creationId xmlns:a16="http://schemas.microsoft.com/office/drawing/2014/main" id="{00000000-0008-0000-0600-00003AC70C00}"/>
            </a:ext>
          </a:extLst>
        </xdr:cNvPr>
        <xdr:cNvSpPr>
          <a:spLocks noChangeShapeType="1"/>
        </xdr:cNvSpPr>
      </xdr:nvSpPr>
      <xdr:spPr bwMode="auto">
        <a:xfrm flipH="1">
          <a:off x="263080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14</xdr:row>
      <xdr:rowOff>76200</xdr:rowOff>
    </xdr:from>
    <xdr:to>
      <xdr:col>56</xdr:col>
      <xdr:colOff>123825</xdr:colOff>
      <xdr:row>15</xdr:row>
      <xdr:rowOff>142875</xdr:rowOff>
    </xdr:to>
    <xdr:sp macro="" textlink="">
      <xdr:nvSpPr>
        <xdr:cNvPr id="837435" name="Line 212">
          <a:extLst>
            <a:ext uri="{FF2B5EF4-FFF2-40B4-BE49-F238E27FC236}">
              <a16:creationId xmlns:a16="http://schemas.microsoft.com/office/drawing/2014/main" id="{00000000-0008-0000-0600-00003BC70C00}"/>
            </a:ext>
          </a:extLst>
        </xdr:cNvPr>
        <xdr:cNvSpPr>
          <a:spLocks noChangeShapeType="1"/>
        </xdr:cNvSpPr>
      </xdr:nvSpPr>
      <xdr:spPr bwMode="auto">
        <a:xfrm>
          <a:off x="264318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</xdr:row>
      <xdr:rowOff>76200</xdr:rowOff>
    </xdr:from>
    <xdr:to>
      <xdr:col>56</xdr:col>
      <xdr:colOff>123825</xdr:colOff>
      <xdr:row>14</xdr:row>
      <xdr:rowOff>76200</xdr:rowOff>
    </xdr:to>
    <xdr:sp macro="" textlink="">
      <xdr:nvSpPr>
        <xdr:cNvPr id="837436" name="Line 213">
          <a:extLst>
            <a:ext uri="{FF2B5EF4-FFF2-40B4-BE49-F238E27FC236}">
              <a16:creationId xmlns:a16="http://schemas.microsoft.com/office/drawing/2014/main" id="{00000000-0008-0000-0600-00003C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133350</xdr:rowOff>
    </xdr:from>
    <xdr:to>
      <xdr:col>56</xdr:col>
      <xdr:colOff>123825</xdr:colOff>
      <xdr:row>15</xdr:row>
      <xdr:rowOff>133350</xdr:rowOff>
    </xdr:to>
    <xdr:sp macro="" textlink="">
      <xdr:nvSpPr>
        <xdr:cNvPr id="837437" name="Line 214">
          <a:extLst>
            <a:ext uri="{FF2B5EF4-FFF2-40B4-BE49-F238E27FC236}">
              <a16:creationId xmlns:a16="http://schemas.microsoft.com/office/drawing/2014/main" id="{00000000-0008-0000-0600-00003DC70C00}"/>
            </a:ext>
          </a:extLst>
        </xdr:cNvPr>
        <xdr:cNvSpPr>
          <a:spLocks noChangeShapeType="1"/>
        </xdr:cNvSpPr>
      </xdr:nvSpPr>
      <xdr:spPr bwMode="auto">
        <a:xfrm flipH="1">
          <a:off x="263080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438" name="Line 216">
          <a:extLst>
            <a:ext uri="{FF2B5EF4-FFF2-40B4-BE49-F238E27FC236}">
              <a16:creationId xmlns:a16="http://schemas.microsoft.com/office/drawing/2014/main" id="{00000000-0008-0000-0600-00003EC70C00}"/>
            </a:ext>
          </a:extLst>
        </xdr:cNvPr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439" name="Line 217">
          <a:extLst>
            <a:ext uri="{FF2B5EF4-FFF2-40B4-BE49-F238E27FC236}">
              <a16:creationId xmlns:a16="http://schemas.microsoft.com/office/drawing/2014/main" id="{00000000-0008-0000-0600-00003F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440" name="Line 218">
          <a:extLst>
            <a:ext uri="{FF2B5EF4-FFF2-40B4-BE49-F238E27FC236}">
              <a16:creationId xmlns:a16="http://schemas.microsoft.com/office/drawing/2014/main" id="{00000000-0008-0000-0600-000040C70C00}"/>
            </a:ext>
          </a:extLst>
        </xdr:cNvPr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441" name="Line 219">
          <a:extLst>
            <a:ext uri="{FF2B5EF4-FFF2-40B4-BE49-F238E27FC236}">
              <a16:creationId xmlns:a16="http://schemas.microsoft.com/office/drawing/2014/main" id="{00000000-0008-0000-0600-000041C70C00}"/>
            </a:ext>
          </a:extLst>
        </xdr:cNvPr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442" name="Line 220">
          <a:extLst>
            <a:ext uri="{FF2B5EF4-FFF2-40B4-BE49-F238E27FC236}">
              <a16:creationId xmlns:a16="http://schemas.microsoft.com/office/drawing/2014/main" id="{00000000-0008-0000-0600-000042C70C00}"/>
            </a:ext>
          </a:extLst>
        </xdr:cNvPr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443" name="Line 221">
          <a:extLst>
            <a:ext uri="{FF2B5EF4-FFF2-40B4-BE49-F238E27FC236}">
              <a16:creationId xmlns:a16="http://schemas.microsoft.com/office/drawing/2014/main" id="{00000000-0008-0000-0600-000043C70C00}"/>
            </a:ext>
          </a:extLst>
        </xdr:cNvPr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444" name="Line 224">
          <a:extLst>
            <a:ext uri="{FF2B5EF4-FFF2-40B4-BE49-F238E27FC236}">
              <a16:creationId xmlns:a16="http://schemas.microsoft.com/office/drawing/2014/main" id="{00000000-0008-0000-0600-000044C70C00}"/>
            </a:ext>
          </a:extLst>
        </xdr:cNvPr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445" name="Line 225">
          <a:extLst>
            <a:ext uri="{FF2B5EF4-FFF2-40B4-BE49-F238E27FC236}">
              <a16:creationId xmlns:a16="http://schemas.microsoft.com/office/drawing/2014/main" id="{00000000-0008-0000-0600-000045C70C00}"/>
            </a:ext>
          </a:extLst>
        </xdr:cNvPr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446" name="Line 226">
          <a:extLst>
            <a:ext uri="{FF2B5EF4-FFF2-40B4-BE49-F238E27FC236}">
              <a16:creationId xmlns:a16="http://schemas.microsoft.com/office/drawing/2014/main" id="{00000000-0008-0000-0600-000046C70C00}"/>
            </a:ext>
          </a:extLst>
        </xdr:cNvPr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447" name="Line 227">
          <a:extLst>
            <a:ext uri="{FF2B5EF4-FFF2-40B4-BE49-F238E27FC236}">
              <a16:creationId xmlns:a16="http://schemas.microsoft.com/office/drawing/2014/main" id="{00000000-0008-0000-0600-000047C70C00}"/>
            </a:ext>
          </a:extLst>
        </xdr:cNvPr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448" name="Line 228">
          <a:extLst>
            <a:ext uri="{FF2B5EF4-FFF2-40B4-BE49-F238E27FC236}">
              <a16:creationId xmlns:a16="http://schemas.microsoft.com/office/drawing/2014/main" id="{00000000-0008-0000-0600-000048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449" name="Line 229">
          <a:extLst>
            <a:ext uri="{FF2B5EF4-FFF2-40B4-BE49-F238E27FC236}">
              <a16:creationId xmlns:a16="http://schemas.microsoft.com/office/drawing/2014/main" id="{00000000-0008-0000-0600-000049C70C00}"/>
            </a:ext>
          </a:extLst>
        </xdr:cNvPr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8</xdr:row>
      <xdr:rowOff>76200</xdr:rowOff>
    </xdr:from>
    <xdr:to>
      <xdr:col>86</xdr:col>
      <xdr:colOff>123825</xdr:colOff>
      <xdr:row>9</xdr:row>
      <xdr:rowOff>142875</xdr:rowOff>
    </xdr:to>
    <xdr:sp macro="" textlink="">
      <xdr:nvSpPr>
        <xdr:cNvPr id="837450" name="Line 230">
          <a:extLst>
            <a:ext uri="{FF2B5EF4-FFF2-40B4-BE49-F238E27FC236}">
              <a16:creationId xmlns:a16="http://schemas.microsoft.com/office/drawing/2014/main" id="{00000000-0008-0000-0600-00004AC70C00}"/>
            </a:ext>
          </a:extLst>
        </xdr:cNvPr>
        <xdr:cNvSpPr>
          <a:spLocks noChangeShapeType="1"/>
        </xdr:cNvSpPr>
      </xdr:nvSpPr>
      <xdr:spPr bwMode="auto">
        <a:xfrm>
          <a:off x="4416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8</xdr:row>
      <xdr:rowOff>76200</xdr:rowOff>
    </xdr:from>
    <xdr:to>
      <xdr:col>86</xdr:col>
      <xdr:colOff>123825</xdr:colOff>
      <xdr:row>8</xdr:row>
      <xdr:rowOff>76200</xdr:rowOff>
    </xdr:to>
    <xdr:sp macro="" textlink="">
      <xdr:nvSpPr>
        <xdr:cNvPr id="837451" name="Line 231">
          <a:extLst>
            <a:ext uri="{FF2B5EF4-FFF2-40B4-BE49-F238E27FC236}">
              <a16:creationId xmlns:a16="http://schemas.microsoft.com/office/drawing/2014/main" id="{00000000-0008-0000-0600-00004B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9</xdr:row>
      <xdr:rowOff>133350</xdr:rowOff>
    </xdr:from>
    <xdr:to>
      <xdr:col>86</xdr:col>
      <xdr:colOff>123825</xdr:colOff>
      <xdr:row>9</xdr:row>
      <xdr:rowOff>133350</xdr:rowOff>
    </xdr:to>
    <xdr:sp macro="" textlink="">
      <xdr:nvSpPr>
        <xdr:cNvPr id="837452" name="Line 232">
          <a:extLst>
            <a:ext uri="{FF2B5EF4-FFF2-40B4-BE49-F238E27FC236}">
              <a16:creationId xmlns:a16="http://schemas.microsoft.com/office/drawing/2014/main" id="{00000000-0008-0000-0600-00004CC70C00}"/>
            </a:ext>
          </a:extLst>
        </xdr:cNvPr>
        <xdr:cNvSpPr>
          <a:spLocks noChangeShapeType="1"/>
        </xdr:cNvSpPr>
      </xdr:nvSpPr>
      <xdr:spPr bwMode="auto">
        <a:xfrm flipH="1">
          <a:off x="4404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12</xdr:row>
      <xdr:rowOff>76200</xdr:rowOff>
    </xdr:from>
    <xdr:to>
      <xdr:col>86</xdr:col>
      <xdr:colOff>123825</xdr:colOff>
      <xdr:row>13</xdr:row>
      <xdr:rowOff>142875</xdr:rowOff>
    </xdr:to>
    <xdr:sp macro="" textlink="">
      <xdr:nvSpPr>
        <xdr:cNvPr id="837453" name="Line 233">
          <a:extLst>
            <a:ext uri="{FF2B5EF4-FFF2-40B4-BE49-F238E27FC236}">
              <a16:creationId xmlns:a16="http://schemas.microsoft.com/office/drawing/2014/main" id="{00000000-0008-0000-0600-00004DC70C00}"/>
            </a:ext>
          </a:extLst>
        </xdr:cNvPr>
        <xdr:cNvSpPr>
          <a:spLocks noChangeShapeType="1"/>
        </xdr:cNvSpPr>
      </xdr:nvSpPr>
      <xdr:spPr bwMode="auto">
        <a:xfrm>
          <a:off x="4416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12</xdr:row>
      <xdr:rowOff>76200</xdr:rowOff>
    </xdr:from>
    <xdr:to>
      <xdr:col>86</xdr:col>
      <xdr:colOff>123825</xdr:colOff>
      <xdr:row>12</xdr:row>
      <xdr:rowOff>76200</xdr:rowOff>
    </xdr:to>
    <xdr:sp macro="" textlink="">
      <xdr:nvSpPr>
        <xdr:cNvPr id="837454" name="Line 234">
          <a:extLst>
            <a:ext uri="{FF2B5EF4-FFF2-40B4-BE49-F238E27FC236}">
              <a16:creationId xmlns:a16="http://schemas.microsoft.com/office/drawing/2014/main" id="{00000000-0008-0000-0600-00004E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13</xdr:row>
      <xdr:rowOff>133350</xdr:rowOff>
    </xdr:from>
    <xdr:to>
      <xdr:col>86</xdr:col>
      <xdr:colOff>123825</xdr:colOff>
      <xdr:row>13</xdr:row>
      <xdr:rowOff>133350</xdr:rowOff>
    </xdr:to>
    <xdr:sp macro="" textlink="">
      <xdr:nvSpPr>
        <xdr:cNvPr id="837455" name="Line 235">
          <a:extLst>
            <a:ext uri="{FF2B5EF4-FFF2-40B4-BE49-F238E27FC236}">
              <a16:creationId xmlns:a16="http://schemas.microsoft.com/office/drawing/2014/main" id="{00000000-0008-0000-0600-00004FC70C00}"/>
            </a:ext>
          </a:extLst>
        </xdr:cNvPr>
        <xdr:cNvSpPr>
          <a:spLocks noChangeShapeType="1"/>
        </xdr:cNvSpPr>
      </xdr:nvSpPr>
      <xdr:spPr bwMode="auto">
        <a:xfrm flipH="1">
          <a:off x="4404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14</xdr:row>
      <xdr:rowOff>76200</xdr:rowOff>
    </xdr:from>
    <xdr:to>
      <xdr:col>86</xdr:col>
      <xdr:colOff>123825</xdr:colOff>
      <xdr:row>15</xdr:row>
      <xdr:rowOff>142875</xdr:rowOff>
    </xdr:to>
    <xdr:sp macro="" textlink="">
      <xdr:nvSpPr>
        <xdr:cNvPr id="837456" name="Line 236">
          <a:extLst>
            <a:ext uri="{FF2B5EF4-FFF2-40B4-BE49-F238E27FC236}">
              <a16:creationId xmlns:a16="http://schemas.microsoft.com/office/drawing/2014/main" id="{00000000-0008-0000-0600-000050C70C00}"/>
            </a:ext>
          </a:extLst>
        </xdr:cNvPr>
        <xdr:cNvSpPr>
          <a:spLocks noChangeShapeType="1"/>
        </xdr:cNvSpPr>
      </xdr:nvSpPr>
      <xdr:spPr bwMode="auto">
        <a:xfrm>
          <a:off x="4416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</xdr:row>
      <xdr:rowOff>76200</xdr:rowOff>
    </xdr:from>
    <xdr:to>
      <xdr:col>86</xdr:col>
      <xdr:colOff>123825</xdr:colOff>
      <xdr:row>14</xdr:row>
      <xdr:rowOff>76200</xdr:rowOff>
    </xdr:to>
    <xdr:sp macro="" textlink="">
      <xdr:nvSpPr>
        <xdr:cNvPr id="837457" name="Line 237">
          <a:extLst>
            <a:ext uri="{FF2B5EF4-FFF2-40B4-BE49-F238E27FC236}">
              <a16:creationId xmlns:a16="http://schemas.microsoft.com/office/drawing/2014/main" id="{00000000-0008-0000-0600-000051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15</xdr:row>
      <xdr:rowOff>133350</xdr:rowOff>
    </xdr:from>
    <xdr:to>
      <xdr:col>86</xdr:col>
      <xdr:colOff>123825</xdr:colOff>
      <xdr:row>15</xdr:row>
      <xdr:rowOff>133350</xdr:rowOff>
    </xdr:to>
    <xdr:sp macro="" textlink="">
      <xdr:nvSpPr>
        <xdr:cNvPr id="837458" name="Line 238">
          <a:extLst>
            <a:ext uri="{FF2B5EF4-FFF2-40B4-BE49-F238E27FC236}">
              <a16:creationId xmlns:a16="http://schemas.microsoft.com/office/drawing/2014/main" id="{00000000-0008-0000-0600-000052C70C00}"/>
            </a:ext>
          </a:extLst>
        </xdr:cNvPr>
        <xdr:cNvSpPr>
          <a:spLocks noChangeShapeType="1"/>
        </xdr:cNvSpPr>
      </xdr:nvSpPr>
      <xdr:spPr bwMode="auto">
        <a:xfrm flipH="1">
          <a:off x="4404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10</xdr:row>
      <xdr:rowOff>76200</xdr:rowOff>
    </xdr:from>
    <xdr:to>
      <xdr:col>86</xdr:col>
      <xdr:colOff>123825</xdr:colOff>
      <xdr:row>11</xdr:row>
      <xdr:rowOff>142875</xdr:rowOff>
    </xdr:to>
    <xdr:sp macro="" textlink="">
      <xdr:nvSpPr>
        <xdr:cNvPr id="837459" name="Line 240">
          <a:extLst>
            <a:ext uri="{FF2B5EF4-FFF2-40B4-BE49-F238E27FC236}">
              <a16:creationId xmlns:a16="http://schemas.microsoft.com/office/drawing/2014/main" id="{00000000-0008-0000-0600-000053C70C00}"/>
            </a:ext>
          </a:extLst>
        </xdr:cNvPr>
        <xdr:cNvSpPr>
          <a:spLocks noChangeShapeType="1"/>
        </xdr:cNvSpPr>
      </xdr:nvSpPr>
      <xdr:spPr bwMode="auto">
        <a:xfrm>
          <a:off x="4416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10</xdr:row>
      <xdr:rowOff>76200</xdr:rowOff>
    </xdr:from>
    <xdr:to>
      <xdr:col>86</xdr:col>
      <xdr:colOff>123825</xdr:colOff>
      <xdr:row>10</xdr:row>
      <xdr:rowOff>76200</xdr:rowOff>
    </xdr:to>
    <xdr:sp macro="" textlink="">
      <xdr:nvSpPr>
        <xdr:cNvPr id="837460" name="Line 241">
          <a:extLst>
            <a:ext uri="{FF2B5EF4-FFF2-40B4-BE49-F238E27FC236}">
              <a16:creationId xmlns:a16="http://schemas.microsoft.com/office/drawing/2014/main" id="{00000000-0008-0000-0600-000054C7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133350</xdr:rowOff>
    </xdr:from>
    <xdr:to>
      <xdr:col>86</xdr:col>
      <xdr:colOff>123825</xdr:colOff>
      <xdr:row>11</xdr:row>
      <xdr:rowOff>133350</xdr:rowOff>
    </xdr:to>
    <xdr:sp macro="" textlink="">
      <xdr:nvSpPr>
        <xdr:cNvPr id="837461" name="Line 242">
          <a:extLst>
            <a:ext uri="{FF2B5EF4-FFF2-40B4-BE49-F238E27FC236}">
              <a16:creationId xmlns:a16="http://schemas.microsoft.com/office/drawing/2014/main" id="{00000000-0008-0000-0600-000055C70C00}"/>
            </a:ext>
          </a:extLst>
        </xdr:cNvPr>
        <xdr:cNvSpPr>
          <a:spLocks noChangeShapeType="1"/>
        </xdr:cNvSpPr>
      </xdr:nvSpPr>
      <xdr:spPr bwMode="auto">
        <a:xfrm flipH="1">
          <a:off x="4404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10</xdr:row>
      <xdr:rowOff>76200</xdr:rowOff>
    </xdr:from>
    <xdr:to>
      <xdr:col>56</xdr:col>
      <xdr:colOff>123825</xdr:colOff>
      <xdr:row>11</xdr:row>
      <xdr:rowOff>142875</xdr:rowOff>
    </xdr:to>
    <xdr:sp macro="" textlink="">
      <xdr:nvSpPr>
        <xdr:cNvPr id="837462" name="Line 243">
          <a:extLst>
            <a:ext uri="{FF2B5EF4-FFF2-40B4-BE49-F238E27FC236}">
              <a16:creationId xmlns:a16="http://schemas.microsoft.com/office/drawing/2014/main" id="{00000000-0008-0000-0600-000056C70C00}"/>
            </a:ext>
          </a:extLst>
        </xdr:cNvPr>
        <xdr:cNvSpPr>
          <a:spLocks noChangeShapeType="1"/>
        </xdr:cNvSpPr>
      </xdr:nvSpPr>
      <xdr:spPr bwMode="auto">
        <a:xfrm>
          <a:off x="264318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10</xdr:row>
      <xdr:rowOff>76200</xdr:rowOff>
    </xdr:from>
    <xdr:to>
      <xdr:col>56</xdr:col>
      <xdr:colOff>123825</xdr:colOff>
      <xdr:row>10</xdr:row>
      <xdr:rowOff>76200</xdr:rowOff>
    </xdr:to>
    <xdr:sp macro="" textlink="">
      <xdr:nvSpPr>
        <xdr:cNvPr id="837463" name="Line 244">
          <a:extLst>
            <a:ext uri="{FF2B5EF4-FFF2-40B4-BE49-F238E27FC236}">
              <a16:creationId xmlns:a16="http://schemas.microsoft.com/office/drawing/2014/main" id="{00000000-0008-0000-0600-000057C7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11</xdr:row>
      <xdr:rowOff>133350</xdr:rowOff>
    </xdr:from>
    <xdr:to>
      <xdr:col>56</xdr:col>
      <xdr:colOff>123825</xdr:colOff>
      <xdr:row>11</xdr:row>
      <xdr:rowOff>133350</xdr:rowOff>
    </xdr:to>
    <xdr:sp macro="" textlink="">
      <xdr:nvSpPr>
        <xdr:cNvPr id="837464" name="Line 245">
          <a:extLst>
            <a:ext uri="{FF2B5EF4-FFF2-40B4-BE49-F238E27FC236}">
              <a16:creationId xmlns:a16="http://schemas.microsoft.com/office/drawing/2014/main" id="{00000000-0008-0000-0600-000058C70C00}"/>
            </a:ext>
          </a:extLst>
        </xdr:cNvPr>
        <xdr:cNvSpPr>
          <a:spLocks noChangeShapeType="1"/>
        </xdr:cNvSpPr>
      </xdr:nvSpPr>
      <xdr:spPr bwMode="auto">
        <a:xfrm flipH="1">
          <a:off x="263080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10</xdr:row>
      <xdr:rowOff>76200</xdr:rowOff>
    </xdr:from>
    <xdr:to>
      <xdr:col>50</xdr:col>
      <xdr:colOff>123825</xdr:colOff>
      <xdr:row>11</xdr:row>
      <xdr:rowOff>142875</xdr:rowOff>
    </xdr:to>
    <xdr:sp macro="" textlink="">
      <xdr:nvSpPr>
        <xdr:cNvPr id="837465" name="Line 246">
          <a:extLst>
            <a:ext uri="{FF2B5EF4-FFF2-40B4-BE49-F238E27FC236}">
              <a16:creationId xmlns:a16="http://schemas.microsoft.com/office/drawing/2014/main" id="{00000000-0008-0000-0600-000059C70C00}"/>
            </a:ext>
          </a:extLst>
        </xdr:cNvPr>
        <xdr:cNvSpPr>
          <a:spLocks noChangeShapeType="1"/>
        </xdr:cNvSpPr>
      </xdr:nvSpPr>
      <xdr:spPr bwMode="auto">
        <a:xfrm>
          <a:off x="23145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76200</xdr:rowOff>
    </xdr:from>
    <xdr:to>
      <xdr:col>50</xdr:col>
      <xdr:colOff>123825</xdr:colOff>
      <xdr:row>10</xdr:row>
      <xdr:rowOff>76200</xdr:rowOff>
    </xdr:to>
    <xdr:sp macro="" textlink="">
      <xdr:nvSpPr>
        <xdr:cNvPr id="837466" name="Line 247">
          <a:extLst>
            <a:ext uri="{FF2B5EF4-FFF2-40B4-BE49-F238E27FC236}">
              <a16:creationId xmlns:a16="http://schemas.microsoft.com/office/drawing/2014/main" id="{00000000-0008-0000-0600-00005AC7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133350</xdr:rowOff>
    </xdr:from>
    <xdr:to>
      <xdr:col>50</xdr:col>
      <xdr:colOff>123825</xdr:colOff>
      <xdr:row>11</xdr:row>
      <xdr:rowOff>133350</xdr:rowOff>
    </xdr:to>
    <xdr:sp macro="" textlink="">
      <xdr:nvSpPr>
        <xdr:cNvPr id="837467" name="Line 248">
          <a:extLst>
            <a:ext uri="{FF2B5EF4-FFF2-40B4-BE49-F238E27FC236}">
              <a16:creationId xmlns:a16="http://schemas.microsoft.com/office/drawing/2014/main" id="{00000000-0008-0000-0600-00005BC70C00}"/>
            </a:ext>
          </a:extLst>
        </xdr:cNvPr>
        <xdr:cNvSpPr>
          <a:spLocks noChangeShapeType="1"/>
        </xdr:cNvSpPr>
      </xdr:nvSpPr>
      <xdr:spPr bwMode="auto">
        <a:xfrm flipH="1">
          <a:off x="23021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10</xdr:row>
      <xdr:rowOff>76200</xdr:rowOff>
    </xdr:from>
    <xdr:to>
      <xdr:col>44</xdr:col>
      <xdr:colOff>123825</xdr:colOff>
      <xdr:row>11</xdr:row>
      <xdr:rowOff>142875</xdr:rowOff>
    </xdr:to>
    <xdr:sp macro="" textlink="">
      <xdr:nvSpPr>
        <xdr:cNvPr id="837468" name="Line 249">
          <a:extLst>
            <a:ext uri="{FF2B5EF4-FFF2-40B4-BE49-F238E27FC236}">
              <a16:creationId xmlns:a16="http://schemas.microsoft.com/office/drawing/2014/main" id="{00000000-0008-0000-0600-00005CC70C00}"/>
            </a:ext>
          </a:extLst>
        </xdr:cNvPr>
        <xdr:cNvSpPr>
          <a:spLocks noChangeShapeType="1"/>
        </xdr:cNvSpPr>
      </xdr:nvSpPr>
      <xdr:spPr bwMode="auto">
        <a:xfrm>
          <a:off x="200025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10</xdr:row>
      <xdr:rowOff>76200</xdr:rowOff>
    </xdr:from>
    <xdr:to>
      <xdr:col>44</xdr:col>
      <xdr:colOff>123825</xdr:colOff>
      <xdr:row>10</xdr:row>
      <xdr:rowOff>76200</xdr:rowOff>
    </xdr:to>
    <xdr:sp macro="" textlink="">
      <xdr:nvSpPr>
        <xdr:cNvPr id="837469" name="Line 250">
          <a:extLst>
            <a:ext uri="{FF2B5EF4-FFF2-40B4-BE49-F238E27FC236}">
              <a16:creationId xmlns:a16="http://schemas.microsoft.com/office/drawing/2014/main" id="{00000000-0008-0000-0600-00005DC7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11</xdr:row>
      <xdr:rowOff>133350</xdr:rowOff>
    </xdr:from>
    <xdr:to>
      <xdr:col>44</xdr:col>
      <xdr:colOff>123825</xdr:colOff>
      <xdr:row>11</xdr:row>
      <xdr:rowOff>133350</xdr:rowOff>
    </xdr:to>
    <xdr:sp macro="" textlink="">
      <xdr:nvSpPr>
        <xdr:cNvPr id="837470" name="Line 251">
          <a:extLst>
            <a:ext uri="{FF2B5EF4-FFF2-40B4-BE49-F238E27FC236}">
              <a16:creationId xmlns:a16="http://schemas.microsoft.com/office/drawing/2014/main" id="{00000000-0008-0000-0600-00005EC70C00}"/>
            </a:ext>
          </a:extLst>
        </xdr:cNvPr>
        <xdr:cNvSpPr>
          <a:spLocks noChangeShapeType="1"/>
        </xdr:cNvSpPr>
      </xdr:nvSpPr>
      <xdr:spPr bwMode="auto">
        <a:xfrm flipH="1">
          <a:off x="198786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471" name="Line 264">
          <a:extLst>
            <a:ext uri="{FF2B5EF4-FFF2-40B4-BE49-F238E27FC236}">
              <a16:creationId xmlns:a16="http://schemas.microsoft.com/office/drawing/2014/main" id="{00000000-0008-0000-0600-00005FC70C00}"/>
            </a:ext>
          </a:extLst>
        </xdr:cNvPr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472" name="Line 265">
          <a:extLst>
            <a:ext uri="{FF2B5EF4-FFF2-40B4-BE49-F238E27FC236}">
              <a16:creationId xmlns:a16="http://schemas.microsoft.com/office/drawing/2014/main" id="{00000000-0008-0000-0600-000060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473" name="Line 266">
          <a:extLst>
            <a:ext uri="{FF2B5EF4-FFF2-40B4-BE49-F238E27FC236}">
              <a16:creationId xmlns:a16="http://schemas.microsoft.com/office/drawing/2014/main" id="{00000000-0008-0000-0600-000061C70C00}"/>
            </a:ext>
          </a:extLst>
        </xdr:cNvPr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474" name="Line 267">
          <a:extLst>
            <a:ext uri="{FF2B5EF4-FFF2-40B4-BE49-F238E27FC236}">
              <a16:creationId xmlns:a16="http://schemas.microsoft.com/office/drawing/2014/main" id="{00000000-0008-0000-0600-000062C70C00}"/>
            </a:ext>
          </a:extLst>
        </xdr:cNvPr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475" name="Line 268">
          <a:extLst>
            <a:ext uri="{FF2B5EF4-FFF2-40B4-BE49-F238E27FC236}">
              <a16:creationId xmlns:a16="http://schemas.microsoft.com/office/drawing/2014/main" id="{00000000-0008-0000-0600-000063C70C00}"/>
            </a:ext>
          </a:extLst>
        </xdr:cNvPr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476" name="Line 269">
          <a:extLst>
            <a:ext uri="{FF2B5EF4-FFF2-40B4-BE49-F238E27FC236}">
              <a16:creationId xmlns:a16="http://schemas.microsoft.com/office/drawing/2014/main" id="{00000000-0008-0000-0600-000064C70C00}"/>
            </a:ext>
          </a:extLst>
        </xdr:cNvPr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477" name="Line 272">
          <a:extLst>
            <a:ext uri="{FF2B5EF4-FFF2-40B4-BE49-F238E27FC236}">
              <a16:creationId xmlns:a16="http://schemas.microsoft.com/office/drawing/2014/main" id="{00000000-0008-0000-0600-000065C70C00}"/>
            </a:ext>
          </a:extLst>
        </xdr:cNvPr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478" name="Line 273">
          <a:extLst>
            <a:ext uri="{FF2B5EF4-FFF2-40B4-BE49-F238E27FC236}">
              <a16:creationId xmlns:a16="http://schemas.microsoft.com/office/drawing/2014/main" id="{00000000-0008-0000-0600-000066C70C00}"/>
            </a:ext>
          </a:extLst>
        </xdr:cNvPr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479" name="Line 274">
          <a:extLst>
            <a:ext uri="{FF2B5EF4-FFF2-40B4-BE49-F238E27FC236}">
              <a16:creationId xmlns:a16="http://schemas.microsoft.com/office/drawing/2014/main" id="{00000000-0008-0000-0600-000067C70C00}"/>
            </a:ext>
          </a:extLst>
        </xdr:cNvPr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480" name="Line 275">
          <a:extLst>
            <a:ext uri="{FF2B5EF4-FFF2-40B4-BE49-F238E27FC236}">
              <a16:creationId xmlns:a16="http://schemas.microsoft.com/office/drawing/2014/main" id="{00000000-0008-0000-0600-000068C70C00}"/>
            </a:ext>
          </a:extLst>
        </xdr:cNvPr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481" name="Line 276">
          <a:extLst>
            <a:ext uri="{FF2B5EF4-FFF2-40B4-BE49-F238E27FC236}">
              <a16:creationId xmlns:a16="http://schemas.microsoft.com/office/drawing/2014/main" id="{00000000-0008-0000-0600-000069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482" name="Line 277">
          <a:extLst>
            <a:ext uri="{FF2B5EF4-FFF2-40B4-BE49-F238E27FC236}">
              <a16:creationId xmlns:a16="http://schemas.microsoft.com/office/drawing/2014/main" id="{00000000-0008-0000-0600-00006AC70C00}"/>
            </a:ext>
          </a:extLst>
        </xdr:cNvPr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8</xdr:row>
      <xdr:rowOff>76200</xdr:rowOff>
    </xdr:from>
    <xdr:to>
      <xdr:col>62</xdr:col>
      <xdr:colOff>123825</xdr:colOff>
      <xdr:row>9</xdr:row>
      <xdr:rowOff>142875</xdr:rowOff>
    </xdr:to>
    <xdr:sp macro="" textlink="">
      <xdr:nvSpPr>
        <xdr:cNvPr id="837483" name="Line 278">
          <a:extLst>
            <a:ext uri="{FF2B5EF4-FFF2-40B4-BE49-F238E27FC236}">
              <a16:creationId xmlns:a16="http://schemas.microsoft.com/office/drawing/2014/main" id="{00000000-0008-0000-0600-00006BC70C00}"/>
            </a:ext>
          </a:extLst>
        </xdr:cNvPr>
        <xdr:cNvSpPr>
          <a:spLocks noChangeShapeType="1"/>
        </xdr:cNvSpPr>
      </xdr:nvSpPr>
      <xdr:spPr bwMode="auto">
        <a:xfrm>
          <a:off x="297275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76200</xdr:rowOff>
    </xdr:from>
    <xdr:to>
      <xdr:col>62</xdr:col>
      <xdr:colOff>123825</xdr:colOff>
      <xdr:row>8</xdr:row>
      <xdr:rowOff>76200</xdr:rowOff>
    </xdr:to>
    <xdr:sp macro="" textlink="">
      <xdr:nvSpPr>
        <xdr:cNvPr id="837484" name="Line 279">
          <a:extLst>
            <a:ext uri="{FF2B5EF4-FFF2-40B4-BE49-F238E27FC236}">
              <a16:creationId xmlns:a16="http://schemas.microsoft.com/office/drawing/2014/main" id="{00000000-0008-0000-0600-00006C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9</xdr:row>
      <xdr:rowOff>133350</xdr:rowOff>
    </xdr:from>
    <xdr:to>
      <xdr:col>62</xdr:col>
      <xdr:colOff>123825</xdr:colOff>
      <xdr:row>9</xdr:row>
      <xdr:rowOff>133350</xdr:rowOff>
    </xdr:to>
    <xdr:sp macro="" textlink="">
      <xdr:nvSpPr>
        <xdr:cNvPr id="837485" name="Line 280">
          <a:extLst>
            <a:ext uri="{FF2B5EF4-FFF2-40B4-BE49-F238E27FC236}">
              <a16:creationId xmlns:a16="http://schemas.microsoft.com/office/drawing/2014/main" id="{00000000-0008-0000-0600-00006DC70C00}"/>
            </a:ext>
          </a:extLst>
        </xdr:cNvPr>
        <xdr:cNvSpPr>
          <a:spLocks noChangeShapeType="1"/>
        </xdr:cNvSpPr>
      </xdr:nvSpPr>
      <xdr:spPr bwMode="auto">
        <a:xfrm flipH="1">
          <a:off x="296037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12</xdr:row>
      <xdr:rowOff>76200</xdr:rowOff>
    </xdr:from>
    <xdr:to>
      <xdr:col>62</xdr:col>
      <xdr:colOff>123825</xdr:colOff>
      <xdr:row>13</xdr:row>
      <xdr:rowOff>142875</xdr:rowOff>
    </xdr:to>
    <xdr:sp macro="" textlink="">
      <xdr:nvSpPr>
        <xdr:cNvPr id="837486" name="Line 281">
          <a:extLst>
            <a:ext uri="{FF2B5EF4-FFF2-40B4-BE49-F238E27FC236}">
              <a16:creationId xmlns:a16="http://schemas.microsoft.com/office/drawing/2014/main" id="{00000000-0008-0000-0600-00006EC70C00}"/>
            </a:ext>
          </a:extLst>
        </xdr:cNvPr>
        <xdr:cNvSpPr>
          <a:spLocks noChangeShapeType="1"/>
        </xdr:cNvSpPr>
      </xdr:nvSpPr>
      <xdr:spPr bwMode="auto">
        <a:xfrm>
          <a:off x="297275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12</xdr:row>
      <xdr:rowOff>76200</xdr:rowOff>
    </xdr:from>
    <xdr:to>
      <xdr:col>62</xdr:col>
      <xdr:colOff>123825</xdr:colOff>
      <xdr:row>12</xdr:row>
      <xdr:rowOff>76200</xdr:rowOff>
    </xdr:to>
    <xdr:sp macro="" textlink="">
      <xdr:nvSpPr>
        <xdr:cNvPr id="837487" name="Line 282">
          <a:extLst>
            <a:ext uri="{FF2B5EF4-FFF2-40B4-BE49-F238E27FC236}">
              <a16:creationId xmlns:a16="http://schemas.microsoft.com/office/drawing/2014/main" id="{00000000-0008-0000-0600-00006F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13</xdr:row>
      <xdr:rowOff>133350</xdr:rowOff>
    </xdr:from>
    <xdr:to>
      <xdr:col>62</xdr:col>
      <xdr:colOff>123825</xdr:colOff>
      <xdr:row>13</xdr:row>
      <xdr:rowOff>133350</xdr:rowOff>
    </xdr:to>
    <xdr:sp macro="" textlink="">
      <xdr:nvSpPr>
        <xdr:cNvPr id="837488" name="Line 283">
          <a:extLst>
            <a:ext uri="{FF2B5EF4-FFF2-40B4-BE49-F238E27FC236}">
              <a16:creationId xmlns:a16="http://schemas.microsoft.com/office/drawing/2014/main" id="{00000000-0008-0000-0600-000070C70C00}"/>
            </a:ext>
          </a:extLst>
        </xdr:cNvPr>
        <xdr:cNvSpPr>
          <a:spLocks noChangeShapeType="1"/>
        </xdr:cNvSpPr>
      </xdr:nvSpPr>
      <xdr:spPr bwMode="auto">
        <a:xfrm flipH="1">
          <a:off x="296037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14</xdr:row>
      <xdr:rowOff>76200</xdr:rowOff>
    </xdr:from>
    <xdr:to>
      <xdr:col>62</xdr:col>
      <xdr:colOff>123825</xdr:colOff>
      <xdr:row>15</xdr:row>
      <xdr:rowOff>142875</xdr:rowOff>
    </xdr:to>
    <xdr:sp macro="" textlink="">
      <xdr:nvSpPr>
        <xdr:cNvPr id="837489" name="Line 284">
          <a:extLst>
            <a:ext uri="{FF2B5EF4-FFF2-40B4-BE49-F238E27FC236}">
              <a16:creationId xmlns:a16="http://schemas.microsoft.com/office/drawing/2014/main" id="{00000000-0008-0000-0600-000071C70C00}"/>
            </a:ext>
          </a:extLst>
        </xdr:cNvPr>
        <xdr:cNvSpPr>
          <a:spLocks noChangeShapeType="1"/>
        </xdr:cNvSpPr>
      </xdr:nvSpPr>
      <xdr:spPr bwMode="auto">
        <a:xfrm>
          <a:off x="297275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14</xdr:row>
      <xdr:rowOff>76200</xdr:rowOff>
    </xdr:from>
    <xdr:to>
      <xdr:col>62</xdr:col>
      <xdr:colOff>123825</xdr:colOff>
      <xdr:row>14</xdr:row>
      <xdr:rowOff>76200</xdr:rowOff>
    </xdr:to>
    <xdr:sp macro="" textlink="">
      <xdr:nvSpPr>
        <xdr:cNvPr id="837490" name="Line 285">
          <a:extLst>
            <a:ext uri="{FF2B5EF4-FFF2-40B4-BE49-F238E27FC236}">
              <a16:creationId xmlns:a16="http://schemas.microsoft.com/office/drawing/2014/main" id="{00000000-0008-0000-0600-000072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15</xdr:row>
      <xdr:rowOff>133350</xdr:rowOff>
    </xdr:from>
    <xdr:to>
      <xdr:col>62</xdr:col>
      <xdr:colOff>123825</xdr:colOff>
      <xdr:row>15</xdr:row>
      <xdr:rowOff>133350</xdr:rowOff>
    </xdr:to>
    <xdr:sp macro="" textlink="">
      <xdr:nvSpPr>
        <xdr:cNvPr id="837491" name="Line 286">
          <a:extLst>
            <a:ext uri="{FF2B5EF4-FFF2-40B4-BE49-F238E27FC236}">
              <a16:creationId xmlns:a16="http://schemas.microsoft.com/office/drawing/2014/main" id="{00000000-0008-0000-0600-000073C70C00}"/>
            </a:ext>
          </a:extLst>
        </xdr:cNvPr>
        <xdr:cNvSpPr>
          <a:spLocks noChangeShapeType="1"/>
        </xdr:cNvSpPr>
      </xdr:nvSpPr>
      <xdr:spPr bwMode="auto">
        <a:xfrm flipH="1">
          <a:off x="296037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10</xdr:row>
      <xdr:rowOff>76200</xdr:rowOff>
    </xdr:from>
    <xdr:to>
      <xdr:col>62</xdr:col>
      <xdr:colOff>123825</xdr:colOff>
      <xdr:row>11</xdr:row>
      <xdr:rowOff>142875</xdr:rowOff>
    </xdr:to>
    <xdr:sp macro="" textlink="">
      <xdr:nvSpPr>
        <xdr:cNvPr id="837492" name="Line 288">
          <a:extLst>
            <a:ext uri="{FF2B5EF4-FFF2-40B4-BE49-F238E27FC236}">
              <a16:creationId xmlns:a16="http://schemas.microsoft.com/office/drawing/2014/main" id="{00000000-0008-0000-0600-000074C70C00}"/>
            </a:ext>
          </a:extLst>
        </xdr:cNvPr>
        <xdr:cNvSpPr>
          <a:spLocks noChangeShapeType="1"/>
        </xdr:cNvSpPr>
      </xdr:nvSpPr>
      <xdr:spPr bwMode="auto">
        <a:xfrm>
          <a:off x="297275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10</xdr:row>
      <xdr:rowOff>76200</xdr:rowOff>
    </xdr:from>
    <xdr:to>
      <xdr:col>62</xdr:col>
      <xdr:colOff>123825</xdr:colOff>
      <xdr:row>10</xdr:row>
      <xdr:rowOff>76200</xdr:rowOff>
    </xdr:to>
    <xdr:sp macro="" textlink="">
      <xdr:nvSpPr>
        <xdr:cNvPr id="837493" name="Line 289">
          <a:extLst>
            <a:ext uri="{FF2B5EF4-FFF2-40B4-BE49-F238E27FC236}">
              <a16:creationId xmlns:a16="http://schemas.microsoft.com/office/drawing/2014/main" id="{00000000-0008-0000-0600-000075C7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11</xdr:row>
      <xdr:rowOff>133350</xdr:rowOff>
    </xdr:from>
    <xdr:to>
      <xdr:col>62</xdr:col>
      <xdr:colOff>123825</xdr:colOff>
      <xdr:row>11</xdr:row>
      <xdr:rowOff>133350</xdr:rowOff>
    </xdr:to>
    <xdr:sp macro="" textlink="">
      <xdr:nvSpPr>
        <xdr:cNvPr id="837494" name="Line 290">
          <a:extLst>
            <a:ext uri="{FF2B5EF4-FFF2-40B4-BE49-F238E27FC236}">
              <a16:creationId xmlns:a16="http://schemas.microsoft.com/office/drawing/2014/main" id="{00000000-0008-0000-0600-000076C70C00}"/>
            </a:ext>
          </a:extLst>
        </xdr:cNvPr>
        <xdr:cNvSpPr>
          <a:spLocks noChangeShapeType="1"/>
        </xdr:cNvSpPr>
      </xdr:nvSpPr>
      <xdr:spPr bwMode="auto">
        <a:xfrm flipH="1">
          <a:off x="296037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495" name="Line 291">
          <a:extLst>
            <a:ext uri="{FF2B5EF4-FFF2-40B4-BE49-F238E27FC236}">
              <a16:creationId xmlns:a16="http://schemas.microsoft.com/office/drawing/2014/main" id="{00000000-0008-0000-0600-000077C70C00}"/>
            </a:ext>
          </a:extLst>
        </xdr:cNvPr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496" name="Line 292">
          <a:extLst>
            <a:ext uri="{FF2B5EF4-FFF2-40B4-BE49-F238E27FC236}">
              <a16:creationId xmlns:a16="http://schemas.microsoft.com/office/drawing/2014/main" id="{00000000-0008-0000-0600-000078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497" name="Line 293">
          <a:extLst>
            <a:ext uri="{FF2B5EF4-FFF2-40B4-BE49-F238E27FC236}">
              <a16:creationId xmlns:a16="http://schemas.microsoft.com/office/drawing/2014/main" id="{00000000-0008-0000-0600-000079C70C00}"/>
            </a:ext>
          </a:extLst>
        </xdr:cNvPr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498" name="Line 294">
          <a:extLst>
            <a:ext uri="{FF2B5EF4-FFF2-40B4-BE49-F238E27FC236}">
              <a16:creationId xmlns:a16="http://schemas.microsoft.com/office/drawing/2014/main" id="{00000000-0008-0000-0600-00007AC70C00}"/>
            </a:ext>
          </a:extLst>
        </xdr:cNvPr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499" name="Line 295">
          <a:extLst>
            <a:ext uri="{FF2B5EF4-FFF2-40B4-BE49-F238E27FC236}">
              <a16:creationId xmlns:a16="http://schemas.microsoft.com/office/drawing/2014/main" id="{00000000-0008-0000-0600-00007BC70C00}"/>
            </a:ext>
          </a:extLst>
        </xdr:cNvPr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500" name="Line 296">
          <a:extLst>
            <a:ext uri="{FF2B5EF4-FFF2-40B4-BE49-F238E27FC236}">
              <a16:creationId xmlns:a16="http://schemas.microsoft.com/office/drawing/2014/main" id="{00000000-0008-0000-0600-00007CC70C00}"/>
            </a:ext>
          </a:extLst>
        </xdr:cNvPr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501" name="Line 299">
          <a:extLst>
            <a:ext uri="{FF2B5EF4-FFF2-40B4-BE49-F238E27FC236}">
              <a16:creationId xmlns:a16="http://schemas.microsoft.com/office/drawing/2014/main" id="{00000000-0008-0000-0600-00007DC70C00}"/>
            </a:ext>
          </a:extLst>
        </xdr:cNvPr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502" name="Line 300">
          <a:extLst>
            <a:ext uri="{FF2B5EF4-FFF2-40B4-BE49-F238E27FC236}">
              <a16:creationId xmlns:a16="http://schemas.microsoft.com/office/drawing/2014/main" id="{00000000-0008-0000-0600-00007EC70C00}"/>
            </a:ext>
          </a:extLst>
        </xdr:cNvPr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503" name="Line 301">
          <a:extLst>
            <a:ext uri="{FF2B5EF4-FFF2-40B4-BE49-F238E27FC236}">
              <a16:creationId xmlns:a16="http://schemas.microsoft.com/office/drawing/2014/main" id="{00000000-0008-0000-0600-00007FC70C00}"/>
            </a:ext>
          </a:extLst>
        </xdr:cNvPr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504" name="Line 302">
          <a:extLst>
            <a:ext uri="{FF2B5EF4-FFF2-40B4-BE49-F238E27FC236}">
              <a16:creationId xmlns:a16="http://schemas.microsoft.com/office/drawing/2014/main" id="{00000000-0008-0000-0600-000080C70C00}"/>
            </a:ext>
          </a:extLst>
        </xdr:cNvPr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505" name="Line 303">
          <a:extLst>
            <a:ext uri="{FF2B5EF4-FFF2-40B4-BE49-F238E27FC236}">
              <a16:creationId xmlns:a16="http://schemas.microsoft.com/office/drawing/2014/main" id="{00000000-0008-0000-0600-000081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506" name="Line 304">
          <a:extLst>
            <a:ext uri="{FF2B5EF4-FFF2-40B4-BE49-F238E27FC236}">
              <a16:creationId xmlns:a16="http://schemas.microsoft.com/office/drawing/2014/main" id="{00000000-0008-0000-0600-000082C70C00}"/>
            </a:ext>
          </a:extLst>
        </xdr:cNvPr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8</xdr:row>
      <xdr:rowOff>76200</xdr:rowOff>
    </xdr:from>
    <xdr:to>
      <xdr:col>68</xdr:col>
      <xdr:colOff>123825</xdr:colOff>
      <xdr:row>9</xdr:row>
      <xdr:rowOff>142875</xdr:rowOff>
    </xdr:to>
    <xdr:sp macro="" textlink="">
      <xdr:nvSpPr>
        <xdr:cNvPr id="837507" name="Line 305">
          <a:extLst>
            <a:ext uri="{FF2B5EF4-FFF2-40B4-BE49-F238E27FC236}">
              <a16:creationId xmlns:a16="http://schemas.microsoft.com/office/drawing/2014/main" id="{00000000-0008-0000-0600-000083C70C00}"/>
            </a:ext>
          </a:extLst>
        </xdr:cNvPr>
        <xdr:cNvSpPr>
          <a:spLocks noChangeShapeType="1"/>
        </xdr:cNvSpPr>
      </xdr:nvSpPr>
      <xdr:spPr bwMode="auto">
        <a:xfrm>
          <a:off x="332041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8</xdr:row>
      <xdr:rowOff>76200</xdr:rowOff>
    </xdr:from>
    <xdr:to>
      <xdr:col>68</xdr:col>
      <xdr:colOff>123825</xdr:colOff>
      <xdr:row>8</xdr:row>
      <xdr:rowOff>76200</xdr:rowOff>
    </xdr:to>
    <xdr:sp macro="" textlink="">
      <xdr:nvSpPr>
        <xdr:cNvPr id="837508" name="Line 306">
          <a:extLst>
            <a:ext uri="{FF2B5EF4-FFF2-40B4-BE49-F238E27FC236}">
              <a16:creationId xmlns:a16="http://schemas.microsoft.com/office/drawing/2014/main" id="{00000000-0008-0000-0600-000084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9</xdr:row>
      <xdr:rowOff>133350</xdr:rowOff>
    </xdr:from>
    <xdr:to>
      <xdr:col>68</xdr:col>
      <xdr:colOff>123825</xdr:colOff>
      <xdr:row>9</xdr:row>
      <xdr:rowOff>133350</xdr:rowOff>
    </xdr:to>
    <xdr:sp macro="" textlink="">
      <xdr:nvSpPr>
        <xdr:cNvPr id="837509" name="Line 307">
          <a:extLst>
            <a:ext uri="{FF2B5EF4-FFF2-40B4-BE49-F238E27FC236}">
              <a16:creationId xmlns:a16="http://schemas.microsoft.com/office/drawing/2014/main" id="{00000000-0008-0000-0600-000085C70C00}"/>
            </a:ext>
          </a:extLst>
        </xdr:cNvPr>
        <xdr:cNvSpPr>
          <a:spLocks noChangeShapeType="1"/>
        </xdr:cNvSpPr>
      </xdr:nvSpPr>
      <xdr:spPr bwMode="auto">
        <a:xfrm flipH="1">
          <a:off x="330803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12</xdr:row>
      <xdr:rowOff>76200</xdr:rowOff>
    </xdr:from>
    <xdr:to>
      <xdr:col>68</xdr:col>
      <xdr:colOff>123825</xdr:colOff>
      <xdr:row>13</xdr:row>
      <xdr:rowOff>142875</xdr:rowOff>
    </xdr:to>
    <xdr:sp macro="" textlink="">
      <xdr:nvSpPr>
        <xdr:cNvPr id="837510" name="Line 308">
          <a:extLst>
            <a:ext uri="{FF2B5EF4-FFF2-40B4-BE49-F238E27FC236}">
              <a16:creationId xmlns:a16="http://schemas.microsoft.com/office/drawing/2014/main" id="{00000000-0008-0000-0600-000086C70C00}"/>
            </a:ext>
          </a:extLst>
        </xdr:cNvPr>
        <xdr:cNvSpPr>
          <a:spLocks noChangeShapeType="1"/>
        </xdr:cNvSpPr>
      </xdr:nvSpPr>
      <xdr:spPr bwMode="auto">
        <a:xfrm>
          <a:off x="332041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76200</xdr:rowOff>
    </xdr:from>
    <xdr:to>
      <xdr:col>68</xdr:col>
      <xdr:colOff>123825</xdr:colOff>
      <xdr:row>12</xdr:row>
      <xdr:rowOff>76200</xdr:rowOff>
    </xdr:to>
    <xdr:sp macro="" textlink="">
      <xdr:nvSpPr>
        <xdr:cNvPr id="837511" name="Line 309">
          <a:extLst>
            <a:ext uri="{FF2B5EF4-FFF2-40B4-BE49-F238E27FC236}">
              <a16:creationId xmlns:a16="http://schemas.microsoft.com/office/drawing/2014/main" id="{00000000-0008-0000-0600-000087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13</xdr:row>
      <xdr:rowOff>133350</xdr:rowOff>
    </xdr:from>
    <xdr:to>
      <xdr:col>68</xdr:col>
      <xdr:colOff>123825</xdr:colOff>
      <xdr:row>13</xdr:row>
      <xdr:rowOff>133350</xdr:rowOff>
    </xdr:to>
    <xdr:sp macro="" textlink="">
      <xdr:nvSpPr>
        <xdr:cNvPr id="837512" name="Line 310">
          <a:extLst>
            <a:ext uri="{FF2B5EF4-FFF2-40B4-BE49-F238E27FC236}">
              <a16:creationId xmlns:a16="http://schemas.microsoft.com/office/drawing/2014/main" id="{00000000-0008-0000-0600-000088C70C00}"/>
            </a:ext>
          </a:extLst>
        </xdr:cNvPr>
        <xdr:cNvSpPr>
          <a:spLocks noChangeShapeType="1"/>
        </xdr:cNvSpPr>
      </xdr:nvSpPr>
      <xdr:spPr bwMode="auto">
        <a:xfrm flipH="1">
          <a:off x="330803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14</xdr:row>
      <xdr:rowOff>76200</xdr:rowOff>
    </xdr:from>
    <xdr:to>
      <xdr:col>68</xdr:col>
      <xdr:colOff>123825</xdr:colOff>
      <xdr:row>15</xdr:row>
      <xdr:rowOff>142875</xdr:rowOff>
    </xdr:to>
    <xdr:sp macro="" textlink="">
      <xdr:nvSpPr>
        <xdr:cNvPr id="837513" name="Line 311">
          <a:extLst>
            <a:ext uri="{FF2B5EF4-FFF2-40B4-BE49-F238E27FC236}">
              <a16:creationId xmlns:a16="http://schemas.microsoft.com/office/drawing/2014/main" id="{00000000-0008-0000-0600-000089C70C00}"/>
            </a:ext>
          </a:extLst>
        </xdr:cNvPr>
        <xdr:cNvSpPr>
          <a:spLocks noChangeShapeType="1"/>
        </xdr:cNvSpPr>
      </xdr:nvSpPr>
      <xdr:spPr bwMode="auto">
        <a:xfrm>
          <a:off x="332041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76200</xdr:rowOff>
    </xdr:from>
    <xdr:to>
      <xdr:col>68</xdr:col>
      <xdr:colOff>123825</xdr:colOff>
      <xdr:row>14</xdr:row>
      <xdr:rowOff>76200</xdr:rowOff>
    </xdr:to>
    <xdr:sp macro="" textlink="">
      <xdr:nvSpPr>
        <xdr:cNvPr id="837514" name="Line 312">
          <a:extLst>
            <a:ext uri="{FF2B5EF4-FFF2-40B4-BE49-F238E27FC236}">
              <a16:creationId xmlns:a16="http://schemas.microsoft.com/office/drawing/2014/main" id="{00000000-0008-0000-0600-00008A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15</xdr:row>
      <xdr:rowOff>133350</xdr:rowOff>
    </xdr:from>
    <xdr:to>
      <xdr:col>68</xdr:col>
      <xdr:colOff>123825</xdr:colOff>
      <xdr:row>15</xdr:row>
      <xdr:rowOff>133350</xdr:rowOff>
    </xdr:to>
    <xdr:sp macro="" textlink="">
      <xdr:nvSpPr>
        <xdr:cNvPr id="837515" name="Line 313">
          <a:extLst>
            <a:ext uri="{FF2B5EF4-FFF2-40B4-BE49-F238E27FC236}">
              <a16:creationId xmlns:a16="http://schemas.microsoft.com/office/drawing/2014/main" id="{00000000-0008-0000-0600-00008BC70C00}"/>
            </a:ext>
          </a:extLst>
        </xdr:cNvPr>
        <xdr:cNvSpPr>
          <a:spLocks noChangeShapeType="1"/>
        </xdr:cNvSpPr>
      </xdr:nvSpPr>
      <xdr:spPr bwMode="auto">
        <a:xfrm flipH="1">
          <a:off x="330803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10</xdr:row>
      <xdr:rowOff>76200</xdr:rowOff>
    </xdr:from>
    <xdr:to>
      <xdr:col>68</xdr:col>
      <xdr:colOff>123825</xdr:colOff>
      <xdr:row>11</xdr:row>
      <xdr:rowOff>142875</xdr:rowOff>
    </xdr:to>
    <xdr:sp macro="" textlink="">
      <xdr:nvSpPr>
        <xdr:cNvPr id="837516" name="Line 315">
          <a:extLst>
            <a:ext uri="{FF2B5EF4-FFF2-40B4-BE49-F238E27FC236}">
              <a16:creationId xmlns:a16="http://schemas.microsoft.com/office/drawing/2014/main" id="{00000000-0008-0000-0600-00008CC70C00}"/>
            </a:ext>
          </a:extLst>
        </xdr:cNvPr>
        <xdr:cNvSpPr>
          <a:spLocks noChangeShapeType="1"/>
        </xdr:cNvSpPr>
      </xdr:nvSpPr>
      <xdr:spPr bwMode="auto">
        <a:xfrm>
          <a:off x="332041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76200</xdr:rowOff>
    </xdr:from>
    <xdr:to>
      <xdr:col>68</xdr:col>
      <xdr:colOff>123825</xdr:colOff>
      <xdr:row>10</xdr:row>
      <xdr:rowOff>76200</xdr:rowOff>
    </xdr:to>
    <xdr:sp macro="" textlink="">
      <xdr:nvSpPr>
        <xdr:cNvPr id="837517" name="Line 316">
          <a:extLst>
            <a:ext uri="{FF2B5EF4-FFF2-40B4-BE49-F238E27FC236}">
              <a16:creationId xmlns:a16="http://schemas.microsoft.com/office/drawing/2014/main" id="{00000000-0008-0000-0600-00008DC7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11</xdr:row>
      <xdr:rowOff>133350</xdr:rowOff>
    </xdr:from>
    <xdr:to>
      <xdr:col>68</xdr:col>
      <xdr:colOff>123825</xdr:colOff>
      <xdr:row>11</xdr:row>
      <xdr:rowOff>133350</xdr:rowOff>
    </xdr:to>
    <xdr:sp macro="" textlink="">
      <xdr:nvSpPr>
        <xdr:cNvPr id="837518" name="Line 317">
          <a:extLst>
            <a:ext uri="{FF2B5EF4-FFF2-40B4-BE49-F238E27FC236}">
              <a16:creationId xmlns:a16="http://schemas.microsoft.com/office/drawing/2014/main" id="{00000000-0008-0000-0600-00008EC70C00}"/>
            </a:ext>
          </a:extLst>
        </xdr:cNvPr>
        <xdr:cNvSpPr>
          <a:spLocks noChangeShapeType="1"/>
        </xdr:cNvSpPr>
      </xdr:nvSpPr>
      <xdr:spPr bwMode="auto">
        <a:xfrm flipH="1">
          <a:off x="330803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519" name="Line 318">
          <a:extLst>
            <a:ext uri="{FF2B5EF4-FFF2-40B4-BE49-F238E27FC236}">
              <a16:creationId xmlns:a16="http://schemas.microsoft.com/office/drawing/2014/main" id="{00000000-0008-0000-0600-00008FC70C00}"/>
            </a:ext>
          </a:extLst>
        </xdr:cNvPr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520" name="Line 319">
          <a:extLst>
            <a:ext uri="{FF2B5EF4-FFF2-40B4-BE49-F238E27FC236}">
              <a16:creationId xmlns:a16="http://schemas.microsoft.com/office/drawing/2014/main" id="{00000000-0008-0000-0600-000090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521" name="Line 320">
          <a:extLst>
            <a:ext uri="{FF2B5EF4-FFF2-40B4-BE49-F238E27FC236}">
              <a16:creationId xmlns:a16="http://schemas.microsoft.com/office/drawing/2014/main" id="{00000000-0008-0000-0600-000091C70C00}"/>
            </a:ext>
          </a:extLst>
        </xdr:cNvPr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522" name="Line 321">
          <a:extLst>
            <a:ext uri="{FF2B5EF4-FFF2-40B4-BE49-F238E27FC236}">
              <a16:creationId xmlns:a16="http://schemas.microsoft.com/office/drawing/2014/main" id="{00000000-0008-0000-0600-000092C70C00}"/>
            </a:ext>
          </a:extLst>
        </xdr:cNvPr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523" name="Line 322">
          <a:extLst>
            <a:ext uri="{FF2B5EF4-FFF2-40B4-BE49-F238E27FC236}">
              <a16:creationId xmlns:a16="http://schemas.microsoft.com/office/drawing/2014/main" id="{00000000-0008-0000-0600-000093C70C00}"/>
            </a:ext>
          </a:extLst>
        </xdr:cNvPr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524" name="Line 323">
          <a:extLst>
            <a:ext uri="{FF2B5EF4-FFF2-40B4-BE49-F238E27FC236}">
              <a16:creationId xmlns:a16="http://schemas.microsoft.com/office/drawing/2014/main" id="{00000000-0008-0000-0600-000094C70C00}"/>
            </a:ext>
          </a:extLst>
        </xdr:cNvPr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525" name="Line 326">
          <a:extLst>
            <a:ext uri="{FF2B5EF4-FFF2-40B4-BE49-F238E27FC236}">
              <a16:creationId xmlns:a16="http://schemas.microsoft.com/office/drawing/2014/main" id="{00000000-0008-0000-0600-000095C70C00}"/>
            </a:ext>
          </a:extLst>
        </xdr:cNvPr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526" name="Line 327">
          <a:extLst>
            <a:ext uri="{FF2B5EF4-FFF2-40B4-BE49-F238E27FC236}">
              <a16:creationId xmlns:a16="http://schemas.microsoft.com/office/drawing/2014/main" id="{00000000-0008-0000-0600-000096C70C00}"/>
            </a:ext>
          </a:extLst>
        </xdr:cNvPr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527" name="Line 328">
          <a:extLst>
            <a:ext uri="{FF2B5EF4-FFF2-40B4-BE49-F238E27FC236}">
              <a16:creationId xmlns:a16="http://schemas.microsoft.com/office/drawing/2014/main" id="{00000000-0008-0000-0600-000097C70C00}"/>
            </a:ext>
          </a:extLst>
        </xdr:cNvPr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528" name="Line 329">
          <a:extLst>
            <a:ext uri="{FF2B5EF4-FFF2-40B4-BE49-F238E27FC236}">
              <a16:creationId xmlns:a16="http://schemas.microsoft.com/office/drawing/2014/main" id="{00000000-0008-0000-0600-000098C70C00}"/>
            </a:ext>
          </a:extLst>
        </xdr:cNvPr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529" name="Line 330">
          <a:extLst>
            <a:ext uri="{FF2B5EF4-FFF2-40B4-BE49-F238E27FC236}">
              <a16:creationId xmlns:a16="http://schemas.microsoft.com/office/drawing/2014/main" id="{00000000-0008-0000-0600-000099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530" name="Line 331">
          <a:extLst>
            <a:ext uri="{FF2B5EF4-FFF2-40B4-BE49-F238E27FC236}">
              <a16:creationId xmlns:a16="http://schemas.microsoft.com/office/drawing/2014/main" id="{00000000-0008-0000-0600-00009AC70C00}"/>
            </a:ext>
          </a:extLst>
        </xdr:cNvPr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8</xdr:row>
      <xdr:rowOff>76200</xdr:rowOff>
    </xdr:from>
    <xdr:to>
      <xdr:col>74</xdr:col>
      <xdr:colOff>123825</xdr:colOff>
      <xdr:row>9</xdr:row>
      <xdr:rowOff>142875</xdr:rowOff>
    </xdr:to>
    <xdr:sp macro="" textlink="">
      <xdr:nvSpPr>
        <xdr:cNvPr id="837531" name="Line 332">
          <a:extLst>
            <a:ext uri="{FF2B5EF4-FFF2-40B4-BE49-F238E27FC236}">
              <a16:creationId xmlns:a16="http://schemas.microsoft.com/office/drawing/2014/main" id="{00000000-0008-0000-0600-00009BC70C00}"/>
            </a:ext>
          </a:extLst>
        </xdr:cNvPr>
        <xdr:cNvSpPr>
          <a:spLocks noChangeShapeType="1"/>
        </xdr:cNvSpPr>
      </xdr:nvSpPr>
      <xdr:spPr bwMode="auto">
        <a:xfrm>
          <a:off x="366426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8</xdr:row>
      <xdr:rowOff>76200</xdr:rowOff>
    </xdr:from>
    <xdr:to>
      <xdr:col>74</xdr:col>
      <xdr:colOff>123825</xdr:colOff>
      <xdr:row>8</xdr:row>
      <xdr:rowOff>76200</xdr:rowOff>
    </xdr:to>
    <xdr:sp macro="" textlink="">
      <xdr:nvSpPr>
        <xdr:cNvPr id="837532" name="Line 333">
          <a:extLst>
            <a:ext uri="{FF2B5EF4-FFF2-40B4-BE49-F238E27FC236}">
              <a16:creationId xmlns:a16="http://schemas.microsoft.com/office/drawing/2014/main" id="{00000000-0008-0000-0600-00009C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9</xdr:row>
      <xdr:rowOff>133350</xdr:rowOff>
    </xdr:from>
    <xdr:to>
      <xdr:col>74</xdr:col>
      <xdr:colOff>123825</xdr:colOff>
      <xdr:row>9</xdr:row>
      <xdr:rowOff>133350</xdr:rowOff>
    </xdr:to>
    <xdr:sp macro="" textlink="">
      <xdr:nvSpPr>
        <xdr:cNvPr id="837533" name="Line 334">
          <a:extLst>
            <a:ext uri="{FF2B5EF4-FFF2-40B4-BE49-F238E27FC236}">
              <a16:creationId xmlns:a16="http://schemas.microsoft.com/office/drawing/2014/main" id="{00000000-0008-0000-0600-00009DC70C00}"/>
            </a:ext>
          </a:extLst>
        </xdr:cNvPr>
        <xdr:cNvSpPr>
          <a:spLocks noChangeShapeType="1"/>
        </xdr:cNvSpPr>
      </xdr:nvSpPr>
      <xdr:spPr bwMode="auto">
        <a:xfrm flipH="1">
          <a:off x="365188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12</xdr:row>
      <xdr:rowOff>76200</xdr:rowOff>
    </xdr:from>
    <xdr:to>
      <xdr:col>74</xdr:col>
      <xdr:colOff>123825</xdr:colOff>
      <xdr:row>13</xdr:row>
      <xdr:rowOff>142875</xdr:rowOff>
    </xdr:to>
    <xdr:sp macro="" textlink="">
      <xdr:nvSpPr>
        <xdr:cNvPr id="837534" name="Line 335">
          <a:extLst>
            <a:ext uri="{FF2B5EF4-FFF2-40B4-BE49-F238E27FC236}">
              <a16:creationId xmlns:a16="http://schemas.microsoft.com/office/drawing/2014/main" id="{00000000-0008-0000-0600-00009EC70C00}"/>
            </a:ext>
          </a:extLst>
        </xdr:cNvPr>
        <xdr:cNvSpPr>
          <a:spLocks noChangeShapeType="1"/>
        </xdr:cNvSpPr>
      </xdr:nvSpPr>
      <xdr:spPr bwMode="auto">
        <a:xfrm>
          <a:off x="366426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12</xdr:row>
      <xdr:rowOff>76200</xdr:rowOff>
    </xdr:from>
    <xdr:to>
      <xdr:col>74</xdr:col>
      <xdr:colOff>123825</xdr:colOff>
      <xdr:row>12</xdr:row>
      <xdr:rowOff>76200</xdr:rowOff>
    </xdr:to>
    <xdr:sp macro="" textlink="">
      <xdr:nvSpPr>
        <xdr:cNvPr id="837535" name="Line 336">
          <a:extLst>
            <a:ext uri="{FF2B5EF4-FFF2-40B4-BE49-F238E27FC236}">
              <a16:creationId xmlns:a16="http://schemas.microsoft.com/office/drawing/2014/main" id="{00000000-0008-0000-0600-00009F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13</xdr:row>
      <xdr:rowOff>133350</xdr:rowOff>
    </xdr:from>
    <xdr:to>
      <xdr:col>74</xdr:col>
      <xdr:colOff>123825</xdr:colOff>
      <xdr:row>13</xdr:row>
      <xdr:rowOff>133350</xdr:rowOff>
    </xdr:to>
    <xdr:sp macro="" textlink="">
      <xdr:nvSpPr>
        <xdr:cNvPr id="837536" name="Line 337">
          <a:extLst>
            <a:ext uri="{FF2B5EF4-FFF2-40B4-BE49-F238E27FC236}">
              <a16:creationId xmlns:a16="http://schemas.microsoft.com/office/drawing/2014/main" id="{00000000-0008-0000-0600-0000A0C70C00}"/>
            </a:ext>
          </a:extLst>
        </xdr:cNvPr>
        <xdr:cNvSpPr>
          <a:spLocks noChangeShapeType="1"/>
        </xdr:cNvSpPr>
      </xdr:nvSpPr>
      <xdr:spPr bwMode="auto">
        <a:xfrm flipH="1">
          <a:off x="365188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14</xdr:row>
      <xdr:rowOff>76200</xdr:rowOff>
    </xdr:from>
    <xdr:to>
      <xdr:col>74</xdr:col>
      <xdr:colOff>123825</xdr:colOff>
      <xdr:row>15</xdr:row>
      <xdr:rowOff>142875</xdr:rowOff>
    </xdr:to>
    <xdr:sp macro="" textlink="">
      <xdr:nvSpPr>
        <xdr:cNvPr id="837537" name="Line 338">
          <a:extLst>
            <a:ext uri="{FF2B5EF4-FFF2-40B4-BE49-F238E27FC236}">
              <a16:creationId xmlns:a16="http://schemas.microsoft.com/office/drawing/2014/main" id="{00000000-0008-0000-0600-0000A1C70C00}"/>
            </a:ext>
          </a:extLst>
        </xdr:cNvPr>
        <xdr:cNvSpPr>
          <a:spLocks noChangeShapeType="1"/>
        </xdr:cNvSpPr>
      </xdr:nvSpPr>
      <xdr:spPr bwMode="auto">
        <a:xfrm>
          <a:off x="366426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14</xdr:row>
      <xdr:rowOff>76200</xdr:rowOff>
    </xdr:from>
    <xdr:to>
      <xdr:col>74</xdr:col>
      <xdr:colOff>123825</xdr:colOff>
      <xdr:row>14</xdr:row>
      <xdr:rowOff>76200</xdr:rowOff>
    </xdr:to>
    <xdr:sp macro="" textlink="">
      <xdr:nvSpPr>
        <xdr:cNvPr id="837538" name="Line 339">
          <a:extLst>
            <a:ext uri="{FF2B5EF4-FFF2-40B4-BE49-F238E27FC236}">
              <a16:creationId xmlns:a16="http://schemas.microsoft.com/office/drawing/2014/main" id="{00000000-0008-0000-0600-0000A2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15</xdr:row>
      <xdr:rowOff>133350</xdr:rowOff>
    </xdr:from>
    <xdr:to>
      <xdr:col>74</xdr:col>
      <xdr:colOff>123825</xdr:colOff>
      <xdr:row>15</xdr:row>
      <xdr:rowOff>133350</xdr:rowOff>
    </xdr:to>
    <xdr:sp macro="" textlink="">
      <xdr:nvSpPr>
        <xdr:cNvPr id="837539" name="Line 340">
          <a:extLst>
            <a:ext uri="{FF2B5EF4-FFF2-40B4-BE49-F238E27FC236}">
              <a16:creationId xmlns:a16="http://schemas.microsoft.com/office/drawing/2014/main" id="{00000000-0008-0000-0600-0000A3C70C00}"/>
            </a:ext>
          </a:extLst>
        </xdr:cNvPr>
        <xdr:cNvSpPr>
          <a:spLocks noChangeShapeType="1"/>
        </xdr:cNvSpPr>
      </xdr:nvSpPr>
      <xdr:spPr bwMode="auto">
        <a:xfrm flipH="1">
          <a:off x="365188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10</xdr:row>
      <xdr:rowOff>76200</xdr:rowOff>
    </xdr:from>
    <xdr:to>
      <xdr:col>74</xdr:col>
      <xdr:colOff>123825</xdr:colOff>
      <xdr:row>11</xdr:row>
      <xdr:rowOff>142875</xdr:rowOff>
    </xdr:to>
    <xdr:sp macro="" textlink="">
      <xdr:nvSpPr>
        <xdr:cNvPr id="837540" name="Line 342">
          <a:extLst>
            <a:ext uri="{FF2B5EF4-FFF2-40B4-BE49-F238E27FC236}">
              <a16:creationId xmlns:a16="http://schemas.microsoft.com/office/drawing/2014/main" id="{00000000-0008-0000-0600-0000A4C70C00}"/>
            </a:ext>
          </a:extLst>
        </xdr:cNvPr>
        <xdr:cNvSpPr>
          <a:spLocks noChangeShapeType="1"/>
        </xdr:cNvSpPr>
      </xdr:nvSpPr>
      <xdr:spPr bwMode="auto">
        <a:xfrm>
          <a:off x="366426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10</xdr:row>
      <xdr:rowOff>76200</xdr:rowOff>
    </xdr:from>
    <xdr:to>
      <xdr:col>74</xdr:col>
      <xdr:colOff>123825</xdr:colOff>
      <xdr:row>10</xdr:row>
      <xdr:rowOff>76200</xdr:rowOff>
    </xdr:to>
    <xdr:sp macro="" textlink="">
      <xdr:nvSpPr>
        <xdr:cNvPr id="837541" name="Line 343">
          <a:extLst>
            <a:ext uri="{FF2B5EF4-FFF2-40B4-BE49-F238E27FC236}">
              <a16:creationId xmlns:a16="http://schemas.microsoft.com/office/drawing/2014/main" id="{00000000-0008-0000-0600-0000A5C7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11</xdr:row>
      <xdr:rowOff>133350</xdr:rowOff>
    </xdr:from>
    <xdr:to>
      <xdr:col>74</xdr:col>
      <xdr:colOff>123825</xdr:colOff>
      <xdr:row>11</xdr:row>
      <xdr:rowOff>133350</xdr:rowOff>
    </xdr:to>
    <xdr:sp macro="" textlink="">
      <xdr:nvSpPr>
        <xdr:cNvPr id="837542" name="Line 344">
          <a:extLst>
            <a:ext uri="{FF2B5EF4-FFF2-40B4-BE49-F238E27FC236}">
              <a16:creationId xmlns:a16="http://schemas.microsoft.com/office/drawing/2014/main" id="{00000000-0008-0000-0600-0000A6C70C00}"/>
            </a:ext>
          </a:extLst>
        </xdr:cNvPr>
        <xdr:cNvSpPr>
          <a:spLocks noChangeShapeType="1"/>
        </xdr:cNvSpPr>
      </xdr:nvSpPr>
      <xdr:spPr bwMode="auto">
        <a:xfrm flipH="1">
          <a:off x="365188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543" name="Line 345">
          <a:extLst>
            <a:ext uri="{FF2B5EF4-FFF2-40B4-BE49-F238E27FC236}">
              <a16:creationId xmlns:a16="http://schemas.microsoft.com/office/drawing/2014/main" id="{00000000-0008-0000-0600-0000A7C70C00}"/>
            </a:ext>
          </a:extLst>
        </xdr:cNvPr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544" name="Line 346">
          <a:extLst>
            <a:ext uri="{FF2B5EF4-FFF2-40B4-BE49-F238E27FC236}">
              <a16:creationId xmlns:a16="http://schemas.microsoft.com/office/drawing/2014/main" id="{00000000-0008-0000-0600-0000A8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545" name="Line 347">
          <a:extLst>
            <a:ext uri="{FF2B5EF4-FFF2-40B4-BE49-F238E27FC236}">
              <a16:creationId xmlns:a16="http://schemas.microsoft.com/office/drawing/2014/main" id="{00000000-0008-0000-0600-0000A9C70C00}"/>
            </a:ext>
          </a:extLst>
        </xdr:cNvPr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546" name="Line 348">
          <a:extLst>
            <a:ext uri="{FF2B5EF4-FFF2-40B4-BE49-F238E27FC236}">
              <a16:creationId xmlns:a16="http://schemas.microsoft.com/office/drawing/2014/main" id="{00000000-0008-0000-0600-0000AAC70C00}"/>
            </a:ext>
          </a:extLst>
        </xdr:cNvPr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547" name="Line 349">
          <a:extLst>
            <a:ext uri="{FF2B5EF4-FFF2-40B4-BE49-F238E27FC236}">
              <a16:creationId xmlns:a16="http://schemas.microsoft.com/office/drawing/2014/main" id="{00000000-0008-0000-0600-0000ABC70C00}"/>
            </a:ext>
          </a:extLst>
        </xdr:cNvPr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548" name="Line 350">
          <a:extLst>
            <a:ext uri="{FF2B5EF4-FFF2-40B4-BE49-F238E27FC236}">
              <a16:creationId xmlns:a16="http://schemas.microsoft.com/office/drawing/2014/main" id="{00000000-0008-0000-0600-0000ACC70C00}"/>
            </a:ext>
          </a:extLst>
        </xdr:cNvPr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549" name="Line 353">
          <a:extLst>
            <a:ext uri="{FF2B5EF4-FFF2-40B4-BE49-F238E27FC236}">
              <a16:creationId xmlns:a16="http://schemas.microsoft.com/office/drawing/2014/main" id="{00000000-0008-0000-0600-0000ADC70C00}"/>
            </a:ext>
          </a:extLst>
        </xdr:cNvPr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550" name="Line 354">
          <a:extLst>
            <a:ext uri="{FF2B5EF4-FFF2-40B4-BE49-F238E27FC236}">
              <a16:creationId xmlns:a16="http://schemas.microsoft.com/office/drawing/2014/main" id="{00000000-0008-0000-0600-0000AEC70C00}"/>
            </a:ext>
          </a:extLst>
        </xdr:cNvPr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551" name="Line 355">
          <a:extLst>
            <a:ext uri="{FF2B5EF4-FFF2-40B4-BE49-F238E27FC236}">
              <a16:creationId xmlns:a16="http://schemas.microsoft.com/office/drawing/2014/main" id="{00000000-0008-0000-0600-0000AFC70C00}"/>
            </a:ext>
          </a:extLst>
        </xdr:cNvPr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552" name="Line 356">
          <a:extLst>
            <a:ext uri="{FF2B5EF4-FFF2-40B4-BE49-F238E27FC236}">
              <a16:creationId xmlns:a16="http://schemas.microsoft.com/office/drawing/2014/main" id="{00000000-0008-0000-0600-0000B0C70C00}"/>
            </a:ext>
          </a:extLst>
        </xdr:cNvPr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553" name="Line 357">
          <a:extLst>
            <a:ext uri="{FF2B5EF4-FFF2-40B4-BE49-F238E27FC236}">
              <a16:creationId xmlns:a16="http://schemas.microsoft.com/office/drawing/2014/main" id="{00000000-0008-0000-0600-0000B1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554" name="Line 358">
          <a:extLst>
            <a:ext uri="{FF2B5EF4-FFF2-40B4-BE49-F238E27FC236}">
              <a16:creationId xmlns:a16="http://schemas.microsoft.com/office/drawing/2014/main" id="{00000000-0008-0000-0600-0000B2C70C00}"/>
            </a:ext>
          </a:extLst>
        </xdr:cNvPr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8</xdr:row>
      <xdr:rowOff>76200</xdr:rowOff>
    </xdr:from>
    <xdr:to>
      <xdr:col>80</xdr:col>
      <xdr:colOff>123825</xdr:colOff>
      <xdr:row>9</xdr:row>
      <xdr:rowOff>142875</xdr:rowOff>
    </xdr:to>
    <xdr:sp macro="" textlink="">
      <xdr:nvSpPr>
        <xdr:cNvPr id="837555" name="Line 359">
          <a:extLst>
            <a:ext uri="{FF2B5EF4-FFF2-40B4-BE49-F238E27FC236}">
              <a16:creationId xmlns:a16="http://schemas.microsoft.com/office/drawing/2014/main" id="{00000000-0008-0000-0600-0000B3C70C00}"/>
            </a:ext>
          </a:extLst>
        </xdr:cNvPr>
        <xdr:cNvSpPr>
          <a:spLocks noChangeShapeType="1"/>
        </xdr:cNvSpPr>
      </xdr:nvSpPr>
      <xdr:spPr bwMode="auto">
        <a:xfrm>
          <a:off x="404145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8</xdr:row>
      <xdr:rowOff>76200</xdr:rowOff>
    </xdr:from>
    <xdr:to>
      <xdr:col>80</xdr:col>
      <xdr:colOff>123825</xdr:colOff>
      <xdr:row>8</xdr:row>
      <xdr:rowOff>76200</xdr:rowOff>
    </xdr:to>
    <xdr:sp macro="" textlink="">
      <xdr:nvSpPr>
        <xdr:cNvPr id="837556" name="Line 360">
          <a:extLst>
            <a:ext uri="{FF2B5EF4-FFF2-40B4-BE49-F238E27FC236}">
              <a16:creationId xmlns:a16="http://schemas.microsoft.com/office/drawing/2014/main" id="{00000000-0008-0000-0600-0000B4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9</xdr:row>
      <xdr:rowOff>133350</xdr:rowOff>
    </xdr:from>
    <xdr:to>
      <xdr:col>80</xdr:col>
      <xdr:colOff>123825</xdr:colOff>
      <xdr:row>9</xdr:row>
      <xdr:rowOff>133350</xdr:rowOff>
    </xdr:to>
    <xdr:sp macro="" textlink="">
      <xdr:nvSpPr>
        <xdr:cNvPr id="837557" name="Line 361">
          <a:extLst>
            <a:ext uri="{FF2B5EF4-FFF2-40B4-BE49-F238E27FC236}">
              <a16:creationId xmlns:a16="http://schemas.microsoft.com/office/drawing/2014/main" id="{00000000-0008-0000-0600-0000B5C70C00}"/>
            </a:ext>
          </a:extLst>
        </xdr:cNvPr>
        <xdr:cNvSpPr>
          <a:spLocks noChangeShapeType="1"/>
        </xdr:cNvSpPr>
      </xdr:nvSpPr>
      <xdr:spPr bwMode="auto">
        <a:xfrm flipH="1">
          <a:off x="402907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12</xdr:row>
      <xdr:rowOff>76200</xdr:rowOff>
    </xdr:from>
    <xdr:to>
      <xdr:col>80</xdr:col>
      <xdr:colOff>123825</xdr:colOff>
      <xdr:row>13</xdr:row>
      <xdr:rowOff>142875</xdr:rowOff>
    </xdr:to>
    <xdr:sp macro="" textlink="">
      <xdr:nvSpPr>
        <xdr:cNvPr id="837558" name="Line 362">
          <a:extLst>
            <a:ext uri="{FF2B5EF4-FFF2-40B4-BE49-F238E27FC236}">
              <a16:creationId xmlns:a16="http://schemas.microsoft.com/office/drawing/2014/main" id="{00000000-0008-0000-0600-0000B6C70C00}"/>
            </a:ext>
          </a:extLst>
        </xdr:cNvPr>
        <xdr:cNvSpPr>
          <a:spLocks noChangeShapeType="1"/>
        </xdr:cNvSpPr>
      </xdr:nvSpPr>
      <xdr:spPr bwMode="auto">
        <a:xfrm>
          <a:off x="404145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12</xdr:row>
      <xdr:rowOff>76200</xdr:rowOff>
    </xdr:from>
    <xdr:to>
      <xdr:col>80</xdr:col>
      <xdr:colOff>123825</xdr:colOff>
      <xdr:row>12</xdr:row>
      <xdr:rowOff>76200</xdr:rowOff>
    </xdr:to>
    <xdr:sp macro="" textlink="">
      <xdr:nvSpPr>
        <xdr:cNvPr id="837559" name="Line 363">
          <a:extLst>
            <a:ext uri="{FF2B5EF4-FFF2-40B4-BE49-F238E27FC236}">
              <a16:creationId xmlns:a16="http://schemas.microsoft.com/office/drawing/2014/main" id="{00000000-0008-0000-0600-0000B7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13</xdr:row>
      <xdr:rowOff>133350</xdr:rowOff>
    </xdr:from>
    <xdr:to>
      <xdr:col>80</xdr:col>
      <xdr:colOff>123825</xdr:colOff>
      <xdr:row>13</xdr:row>
      <xdr:rowOff>133350</xdr:rowOff>
    </xdr:to>
    <xdr:sp macro="" textlink="">
      <xdr:nvSpPr>
        <xdr:cNvPr id="837560" name="Line 364">
          <a:extLst>
            <a:ext uri="{FF2B5EF4-FFF2-40B4-BE49-F238E27FC236}">
              <a16:creationId xmlns:a16="http://schemas.microsoft.com/office/drawing/2014/main" id="{00000000-0008-0000-0600-0000B8C70C00}"/>
            </a:ext>
          </a:extLst>
        </xdr:cNvPr>
        <xdr:cNvSpPr>
          <a:spLocks noChangeShapeType="1"/>
        </xdr:cNvSpPr>
      </xdr:nvSpPr>
      <xdr:spPr bwMode="auto">
        <a:xfrm flipH="1">
          <a:off x="402907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14</xdr:row>
      <xdr:rowOff>76200</xdr:rowOff>
    </xdr:from>
    <xdr:to>
      <xdr:col>80</xdr:col>
      <xdr:colOff>123825</xdr:colOff>
      <xdr:row>15</xdr:row>
      <xdr:rowOff>142875</xdr:rowOff>
    </xdr:to>
    <xdr:sp macro="" textlink="">
      <xdr:nvSpPr>
        <xdr:cNvPr id="837561" name="Line 365">
          <a:extLst>
            <a:ext uri="{FF2B5EF4-FFF2-40B4-BE49-F238E27FC236}">
              <a16:creationId xmlns:a16="http://schemas.microsoft.com/office/drawing/2014/main" id="{00000000-0008-0000-0600-0000B9C70C00}"/>
            </a:ext>
          </a:extLst>
        </xdr:cNvPr>
        <xdr:cNvSpPr>
          <a:spLocks noChangeShapeType="1"/>
        </xdr:cNvSpPr>
      </xdr:nvSpPr>
      <xdr:spPr bwMode="auto">
        <a:xfrm>
          <a:off x="404145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14</xdr:row>
      <xdr:rowOff>76200</xdr:rowOff>
    </xdr:from>
    <xdr:to>
      <xdr:col>80</xdr:col>
      <xdr:colOff>123825</xdr:colOff>
      <xdr:row>14</xdr:row>
      <xdr:rowOff>76200</xdr:rowOff>
    </xdr:to>
    <xdr:sp macro="" textlink="">
      <xdr:nvSpPr>
        <xdr:cNvPr id="837562" name="Line 366">
          <a:extLst>
            <a:ext uri="{FF2B5EF4-FFF2-40B4-BE49-F238E27FC236}">
              <a16:creationId xmlns:a16="http://schemas.microsoft.com/office/drawing/2014/main" id="{00000000-0008-0000-0600-0000BA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15</xdr:row>
      <xdr:rowOff>133350</xdr:rowOff>
    </xdr:from>
    <xdr:to>
      <xdr:col>80</xdr:col>
      <xdr:colOff>123825</xdr:colOff>
      <xdr:row>15</xdr:row>
      <xdr:rowOff>133350</xdr:rowOff>
    </xdr:to>
    <xdr:sp macro="" textlink="">
      <xdr:nvSpPr>
        <xdr:cNvPr id="837563" name="Line 367">
          <a:extLst>
            <a:ext uri="{FF2B5EF4-FFF2-40B4-BE49-F238E27FC236}">
              <a16:creationId xmlns:a16="http://schemas.microsoft.com/office/drawing/2014/main" id="{00000000-0008-0000-0600-0000BBC70C00}"/>
            </a:ext>
          </a:extLst>
        </xdr:cNvPr>
        <xdr:cNvSpPr>
          <a:spLocks noChangeShapeType="1"/>
        </xdr:cNvSpPr>
      </xdr:nvSpPr>
      <xdr:spPr bwMode="auto">
        <a:xfrm flipH="1">
          <a:off x="402907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10</xdr:row>
      <xdr:rowOff>76200</xdr:rowOff>
    </xdr:from>
    <xdr:to>
      <xdr:col>80</xdr:col>
      <xdr:colOff>123825</xdr:colOff>
      <xdr:row>11</xdr:row>
      <xdr:rowOff>142875</xdr:rowOff>
    </xdr:to>
    <xdr:sp macro="" textlink="">
      <xdr:nvSpPr>
        <xdr:cNvPr id="837564" name="Line 369">
          <a:extLst>
            <a:ext uri="{FF2B5EF4-FFF2-40B4-BE49-F238E27FC236}">
              <a16:creationId xmlns:a16="http://schemas.microsoft.com/office/drawing/2014/main" id="{00000000-0008-0000-0600-0000BCC70C00}"/>
            </a:ext>
          </a:extLst>
        </xdr:cNvPr>
        <xdr:cNvSpPr>
          <a:spLocks noChangeShapeType="1"/>
        </xdr:cNvSpPr>
      </xdr:nvSpPr>
      <xdr:spPr bwMode="auto">
        <a:xfrm>
          <a:off x="404145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10</xdr:row>
      <xdr:rowOff>76200</xdr:rowOff>
    </xdr:from>
    <xdr:to>
      <xdr:col>80</xdr:col>
      <xdr:colOff>123825</xdr:colOff>
      <xdr:row>10</xdr:row>
      <xdr:rowOff>76200</xdr:rowOff>
    </xdr:to>
    <xdr:sp macro="" textlink="">
      <xdr:nvSpPr>
        <xdr:cNvPr id="837565" name="Line 370">
          <a:extLst>
            <a:ext uri="{FF2B5EF4-FFF2-40B4-BE49-F238E27FC236}">
              <a16:creationId xmlns:a16="http://schemas.microsoft.com/office/drawing/2014/main" id="{00000000-0008-0000-0600-0000BDC7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11</xdr:row>
      <xdr:rowOff>133350</xdr:rowOff>
    </xdr:from>
    <xdr:to>
      <xdr:col>80</xdr:col>
      <xdr:colOff>123825</xdr:colOff>
      <xdr:row>11</xdr:row>
      <xdr:rowOff>133350</xdr:rowOff>
    </xdr:to>
    <xdr:sp macro="" textlink="">
      <xdr:nvSpPr>
        <xdr:cNvPr id="837566" name="Line 371">
          <a:extLst>
            <a:ext uri="{FF2B5EF4-FFF2-40B4-BE49-F238E27FC236}">
              <a16:creationId xmlns:a16="http://schemas.microsoft.com/office/drawing/2014/main" id="{00000000-0008-0000-0600-0000BEC70C00}"/>
            </a:ext>
          </a:extLst>
        </xdr:cNvPr>
        <xdr:cNvSpPr>
          <a:spLocks noChangeShapeType="1"/>
        </xdr:cNvSpPr>
      </xdr:nvSpPr>
      <xdr:spPr bwMode="auto">
        <a:xfrm flipH="1">
          <a:off x="402907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7567" name="Line 216">
          <a:extLst>
            <a:ext uri="{FF2B5EF4-FFF2-40B4-BE49-F238E27FC236}">
              <a16:creationId xmlns:a16="http://schemas.microsoft.com/office/drawing/2014/main" id="{00000000-0008-0000-0600-0000BFC70C00}"/>
            </a:ext>
          </a:extLst>
        </xdr:cNvPr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7568" name="Line 217">
          <a:extLst>
            <a:ext uri="{FF2B5EF4-FFF2-40B4-BE49-F238E27FC236}">
              <a16:creationId xmlns:a16="http://schemas.microsoft.com/office/drawing/2014/main" id="{00000000-0008-0000-0600-0000C0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7569" name="Line 218">
          <a:extLst>
            <a:ext uri="{FF2B5EF4-FFF2-40B4-BE49-F238E27FC236}">
              <a16:creationId xmlns:a16="http://schemas.microsoft.com/office/drawing/2014/main" id="{00000000-0008-0000-0600-0000C1C70C00}"/>
            </a:ext>
          </a:extLst>
        </xdr:cNvPr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7570" name="Line 219">
          <a:extLst>
            <a:ext uri="{FF2B5EF4-FFF2-40B4-BE49-F238E27FC236}">
              <a16:creationId xmlns:a16="http://schemas.microsoft.com/office/drawing/2014/main" id="{00000000-0008-0000-0600-0000C2C70C00}"/>
            </a:ext>
          </a:extLst>
        </xdr:cNvPr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7571" name="Line 220">
          <a:extLst>
            <a:ext uri="{FF2B5EF4-FFF2-40B4-BE49-F238E27FC236}">
              <a16:creationId xmlns:a16="http://schemas.microsoft.com/office/drawing/2014/main" id="{00000000-0008-0000-0600-0000C3C70C00}"/>
            </a:ext>
          </a:extLst>
        </xdr:cNvPr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7572" name="Line 221">
          <a:extLst>
            <a:ext uri="{FF2B5EF4-FFF2-40B4-BE49-F238E27FC236}">
              <a16:creationId xmlns:a16="http://schemas.microsoft.com/office/drawing/2014/main" id="{00000000-0008-0000-0600-0000C4C70C00}"/>
            </a:ext>
          </a:extLst>
        </xdr:cNvPr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7573" name="Line 224">
          <a:extLst>
            <a:ext uri="{FF2B5EF4-FFF2-40B4-BE49-F238E27FC236}">
              <a16:creationId xmlns:a16="http://schemas.microsoft.com/office/drawing/2014/main" id="{00000000-0008-0000-0600-0000C5C70C00}"/>
            </a:ext>
          </a:extLst>
        </xdr:cNvPr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7574" name="Line 225">
          <a:extLst>
            <a:ext uri="{FF2B5EF4-FFF2-40B4-BE49-F238E27FC236}">
              <a16:creationId xmlns:a16="http://schemas.microsoft.com/office/drawing/2014/main" id="{00000000-0008-0000-0600-0000C6C70C00}"/>
            </a:ext>
          </a:extLst>
        </xdr:cNvPr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7575" name="Line 226">
          <a:extLst>
            <a:ext uri="{FF2B5EF4-FFF2-40B4-BE49-F238E27FC236}">
              <a16:creationId xmlns:a16="http://schemas.microsoft.com/office/drawing/2014/main" id="{00000000-0008-0000-0600-0000C7C70C00}"/>
            </a:ext>
          </a:extLst>
        </xdr:cNvPr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7576" name="Line 227">
          <a:extLst>
            <a:ext uri="{FF2B5EF4-FFF2-40B4-BE49-F238E27FC236}">
              <a16:creationId xmlns:a16="http://schemas.microsoft.com/office/drawing/2014/main" id="{00000000-0008-0000-0600-0000C8C70C00}"/>
            </a:ext>
          </a:extLst>
        </xdr:cNvPr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7577" name="Line 228">
          <a:extLst>
            <a:ext uri="{FF2B5EF4-FFF2-40B4-BE49-F238E27FC236}">
              <a16:creationId xmlns:a16="http://schemas.microsoft.com/office/drawing/2014/main" id="{00000000-0008-0000-0600-0000C9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7578" name="Line 229">
          <a:extLst>
            <a:ext uri="{FF2B5EF4-FFF2-40B4-BE49-F238E27FC236}">
              <a16:creationId xmlns:a16="http://schemas.microsoft.com/office/drawing/2014/main" id="{00000000-0008-0000-0600-0000CAC70C00}"/>
            </a:ext>
          </a:extLst>
        </xdr:cNvPr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8</xdr:row>
      <xdr:rowOff>76200</xdr:rowOff>
    </xdr:from>
    <xdr:to>
      <xdr:col>98</xdr:col>
      <xdr:colOff>123825</xdr:colOff>
      <xdr:row>9</xdr:row>
      <xdr:rowOff>142875</xdr:rowOff>
    </xdr:to>
    <xdr:sp macro="" textlink="">
      <xdr:nvSpPr>
        <xdr:cNvPr id="837579" name="Line 230">
          <a:extLst>
            <a:ext uri="{FF2B5EF4-FFF2-40B4-BE49-F238E27FC236}">
              <a16:creationId xmlns:a16="http://schemas.microsoft.com/office/drawing/2014/main" id="{00000000-0008-0000-0600-0000CBC70C00}"/>
            </a:ext>
          </a:extLst>
        </xdr:cNvPr>
        <xdr:cNvSpPr>
          <a:spLocks noChangeShapeType="1"/>
        </xdr:cNvSpPr>
      </xdr:nvSpPr>
      <xdr:spPr bwMode="auto">
        <a:xfrm>
          <a:off x="51092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8</xdr:row>
      <xdr:rowOff>76200</xdr:rowOff>
    </xdr:from>
    <xdr:to>
      <xdr:col>98</xdr:col>
      <xdr:colOff>123825</xdr:colOff>
      <xdr:row>8</xdr:row>
      <xdr:rowOff>76200</xdr:rowOff>
    </xdr:to>
    <xdr:sp macro="" textlink="">
      <xdr:nvSpPr>
        <xdr:cNvPr id="837580" name="Line 231">
          <a:extLst>
            <a:ext uri="{FF2B5EF4-FFF2-40B4-BE49-F238E27FC236}">
              <a16:creationId xmlns:a16="http://schemas.microsoft.com/office/drawing/2014/main" id="{00000000-0008-0000-0600-0000CC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9</xdr:row>
      <xdr:rowOff>133350</xdr:rowOff>
    </xdr:from>
    <xdr:to>
      <xdr:col>98</xdr:col>
      <xdr:colOff>123825</xdr:colOff>
      <xdr:row>9</xdr:row>
      <xdr:rowOff>133350</xdr:rowOff>
    </xdr:to>
    <xdr:sp macro="" textlink="">
      <xdr:nvSpPr>
        <xdr:cNvPr id="837581" name="Line 232">
          <a:extLst>
            <a:ext uri="{FF2B5EF4-FFF2-40B4-BE49-F238E27FC236}">
              <a16:creationId xmlns:a16="http://schemas.microsoft.com/office/drawing/2014/main" id="{00000000-0008-0000-0600-0000CDC70C00}"/>
            </a:ext>
          </a:extLst>
        </xdr:cNvPr>
        <xdr:cNvSpPr>
          <a:spLocks noChangeShapeType="1"/>
        </xdr:cNvSpPr>
      </xdr:nvSpPr>
      <xdr:spPr bwMode="auto">
        <a:xfrm flipH="1">
          <a:off x="50968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12</xdr:row>
      <xdr:rowOff>76200</xdr:rowOff>
    </xdr:from>
    <xdr:to>
      <xdr:col>98</xdr:col>
      <xdr:colOff>123825</xdr:colOff>
      <xdr:row>13</xdr:row>
      <xdr:rowOff>142875</xdr:rowOff>
    </xdr:to>
    <xdr:sp macro="" textlink="">
      <xdr:nvSpPr>
        <xdr:cNvPr id="837582" name="Line 233">
          <a:extLst>
            <a:ext uri="{FF2B5EF4-FFF2-40B4-BE49-F238E27FC236}">
              <a16:creationId xmlns:a16="http://schemas.microsoft.com/office/drawing/2014/main" id="{00000000-0008-0000-0600-0000CEC70C00}"/>
            </a:ext>
          </a:extLst>
        </xdr:cNvPr>
        <xdr:cNvSpPr>
          <a:spLocks noChangeShapeType="1"/>
        </xdr:cNvSpPr>
      </xdr:nvSpPr>
      <xdr:spPr bwMode="auto">
        <a:xfrm>
          <a:off x="51092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12</xdr:row>
      <xdr:rowOff>76200</xdr:rowOff>
    </xdr:from>
    <xdr:to>
      <xdr:col>98</xdr:col>
      <xdr:colOff>123825</xdr:colOff>
      <xdr:row>12</xdr:row>
      <xdr:rowOff>76200</xdr:rowOff>
    </xdr:to>
    <xdr:sp macro="" textlink="">
      <xdr:nvSpPr>
        <xdr:cNvPr id="837583" name="Line 234">
          <a:extLst>
            <a:ext uri="{FF2B5EF4-FFF2-40B4-BE49-F238E27FC236}">
              <a16:creationId xmlns:a16="http://schemas.microsoft.com/office/drawing/2014/main" id="{00000000-0008-0000-0600-0000CF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13</xdr:row>
      <xdr:rowOff>133350</xdr:rowOff>
    </xdr:from>
    <xdr:to>
      <xdr:col>98</xdr:col>
      <xdr:colOff>123825</xdr:colOff>
      <xdr:row>13</xdr:row>
      <xdr:rowOff>133350</xdr:rowOff>
    </xdr:to>
    <xdr:sp macro="" textlink="">
      <xdr:nvSpPr>
        <xdr:cNvPr id="837584" name="Line 235">
          <a:extLst>
            <a:ext uri="{FF2B5EF4-FFF2-40B4-BE49-F238E27FC236}">
              <a16:creationId xmlns:a16="http://schemas.microsoft.com/office/drawing/2014/main" id="{00000000-0008-0000-0600-0000D0C70C00}"/>
            </a:ext>
          </a:extLst>
        </xdr:cNvPr>
        <xdr:cNvSpPr>
          <a:spLocks noChangeShapeType="1"/>
        </xdr:cNvSpPr>
      </xdr:nvSpPr>
      <xdr:spPr bwMode="auto">
        <a:xfrm flipH="1">
          <a:off x="50968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14</xdr:row>
      <xdr:rowOff>76200</xdr:rowOff>
    </xdr:from>
    <xdr:to>
      <xdr:col>98</xdr:col>
      <xdr:colOff>123825</xdr:colOff>
      <xdr:row>15</xdr:row>
      <xdr:rowOff>142875</xdr:rowOff>
    </xdr:to>
    <xdr:sp macro="" textlink="">
      <xdr:nvSpPr>
        <xdr:cNvPr id="837585" name="Line 236">
          <a:extLst>
            <a:ext uri="{FF2B5EF4-FFF2-40B4-BE49-F238E27FC236}">
              <a16:creationId xmlns:a16="http://schemas.microsoft.com/office/drawing/2014/main" id="{00000000-0008-0000-0600-0000D1C70C00}"/>
            </a:ext>
          </a:extLst>
        </xdr:cNvPr>
        <xdr:cNvSpPr>
          <a:spLocks noChangeShapeType="1"/>
        </xdr:cNvSpPr>
      </xdr:nvSpPr>
      <xdr:spPr bwMode="auto">
        <a:xfrm>
          <a:off x="51092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14</xdr:row>
      <xdr:rowOff>76200</xdr:rowOff>
    </xdr:from>
    <xdr:to>
      <xdr:col>98</xdr:col>
      <xdr:colOff>123825</xdr:colOff>
      <xdr:row>14</xdr:row>
      <xdr:rowOff>76200</xdr:rowOff>
    </xdr:to>
    <xdr:sp macro="" textlink="">
      <xdr:nvSpPr>
        <xdr:cNvPr id="837586" name="Line 237">
          <a:extLst>
            <a:ext uri="{FF2B5EF4-FFF2-40B4-BE49-F238E27FC236}">
              <a16:creationId xmlns:a16="http://schemas.microsoft.com/office/drawing/2014/main" id="{00000000-0008-0000-0600-0000D2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15</xdr:row>
      <xdr:rowOff>133350</xdr:rowOff>
    </xdr:from>
    <xdr:to>
      <xdr:col>98</xdr:col>
      <xdr:colOff>123825</xdr:colOff>
      <xdr:row>15</xdr:row>
      <xdr:rowOff>133350</xdr:rowOff>
    </xdr:to>
    <xdr:sp macro="" textlink="">
      <xdr:nvSpPr>
        <xdr:cNvPr id="837587" name="Line 238">
          <a:extLst>
            <a:ext uri="{FF2B5EF4-FFF2-40B4-BE49-F238E27FC236}">
              <a16:creationId xmlns:a16="http://schemas.microsoft.com/office/drawing/2014/main" id="{00000000-0008-0000-0600-0000D3C70C00}"/>
            </a:ext>
          </a:extLst>
        </xdr:cNvPr>
        <xdr:cNvSpPr>
          <a:spLocks noChangeShapeType="1"/>
        </xdr:cNvSpPr>
      </xdr:nvSpPr>
      <xdr:spPr bwMode="auto">
        <a:xfrm flipH="1">
          <a:off x="50968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10</xdr:row>
      <xdr:rowOff>76200</xdr:rowOff>
    </xdr:from>
    <xdr:to>
      <xdr:col>98</xdr:col>
      <xdr:colOff>123825</xdr:colOff>
      <xdr:row>11</xdr:row>
      <xdr:rowOff>142875</xdr:rowOff>
    </xdr:to>
    <xdr:sp macro="" textlink="">
      <xdr:nvSpPr>
        <xdr:cNvPr id="837588" name="Line 240">
          <a:extLst>
            <a:ext uri="{FF2B5EF4-FFF2-40B4-BE49-F238E27FC236}">
              <a16:creationId xmlns:a16="http://schemas.microsoft.com/office/drawing/2014/main" id="{00000000-0008-0000-0600-0000D4C70C00}"/>
            </a:ext>
          </a:extLst>
        </xdr:cNvPr>
        <xdr:cNvSpPr>
          <a:spLocks noChangeShapeType="1"/>
        </xdr:cNvSpPr>
      </xdr:nvSpPr>
      <xdr:spPr bwMode="auto">
        <a:xfrm>
          <a:off x="510921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10</xdr:row>
      <xdr:rowOff>76200</xdr:rowOff>
    </xdr:from>
    <xdr:to>
      <xdr:col>98</xdr:col>
      <xdr:colOff>123825</xdr:colOff>
      <xdr:row>10</xdr:row>
      <xdr:rowOff>76200</xdr:rowOff>
    </xdr:to>
    <xdr:sp macro="" textlink="">
      <xdr:nvSpPr>
        <xdr:cNvPr id="837589" name="Line 241">
          <a:extLst>
            <a:ext uri="{FF2B5EF4-FFF2-40B4-BE49-F238E27FC236}">
              <a16:creationId xmlns:a16="http://schemas.microsoft.com/office/drawing/2014/main" id="{00000000-0008-0000-0600-0000D5C7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11</xdr:row>
      <xdr:rowOff>133350</xdr:rowOff>
    </xdr:from>
    <xdr:to>
      <xdr:col>98</xdr:col>
      <xdr:colOff>123825</xdr:colOff>
      <xdr:row>11</xdr:row>
      <xdr:rowOff>133350</xdr:rowOff>
    </xdr:to>
    <xdr:sp macro="" textlink="">
      <xdr:nvSpPr>
        <xdr:cNvPr id="837590" name="Line 242">
          <a:extLst>
            <a:ext uri="{FF2B5EF4-FFF2-40B4-BE49-F238E27FC236}">
              <a16:creationId xmlns:a16="http://schemas.microsoft.com/office/drawing/2014/main" id="{00000000-0008-0000-0600-0000D6C70C00}"/>
            </a:ext>
          </a:extLst>
        </xdr:cNvPr>
        <xdr:cNvSpPr>
          <a:spLocks noChangeShapeType="1"/>
        </xdr:cNvSpPr>
      </xdr:nvSpPr>
      <xdr:spPr bwMode="auto">
        <a:xfrm flipH="1">
          <a:off x="509682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7591" name="Line 216">
          <a:extLst>
            <a:ext uri="{FF2B5EF4-FFF2-40B4-BE49-F238E27FC236}">
              <a16:creationId xmlns:a16="http://schemas.microsoft.com/office/drawing/2014/main" id="{00000000-0008-0000-0600-0000D7C70C00}"/>
            </a:ext>
          </a:extLst>
        </xdr:cNvPr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7592" name="Line 217">
          <a:extLst>
            <a:ext uri="{FF2B5EF4-FFF2-40B4-BE49-F238E27FC236}">
              <a16:creationId xmlns:a16="http://schemas.microsoft.com/office/drawing/2014/main" id="{00000000-0008-0000-0600-0000D8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7593" name="Line 218">
          <a:extLst>
            <a:ext uri="{FF2B5EF4-FFF2-40B4-BE49-F238E27FC236}">
              <a16:creationId xmlns:a16="http://schemas.microsoft.com/office/drawing/2014/main" id="{00000000-0008-0000-0600-0000D9C70C00}"/>
            </a:ext>
          </a:extLst>
        </xdr:cNvPr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7594" name="Line 219">
          <a:extLst>
            <a:ext uri="{FF2B5EF4-FFF2-40B4-BE49-F238E27FC236}">
              <a16:creationId xmlns:a16="http://schemas.microsoft.com/office/drawing/2014/main" id="{00000000-0008-0000-0600-0000DAC70C00}"/>
            </a:ext>
          </a:extLst>
        </xdr:cNvPr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7595" name="Line 220">
          <a:extLst>
            <a:ext uri="{FF2B5EF4-FFF2-40B4-BE49-F238E27FC236}">
              <a16:creationId xmlns:a16="http://schemas.microsoft.com/office/drawing/2014/main" id="{00000000-0008-0000-0600-0000DBC70C00}"/>
            </a:ext>
          </a:extLst>
        </xdr:cNvPr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7596" name="Line 221">
          <a:extLst>
            <a:ext uri="{FF2B5EF4-FFF2-40B4-BE49-F238E27FC236}">
              <a16:creationId xmlns:a16="http://schemas.microsoft.com/office/drawing/2014/main" id="{00000000-0008-0000-0600-0000DCC70C00}"/>
            </a:ext>
          </a:extLst>
        </xdr:cNvPr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7597" name="Line 224">
          <a:extLst>
            <a:ext uri="{FF2B5EF4-FFF2-40B4-BE49-F238E27FC236}">
              <a16:creationId xmlns:a16="http://schemas.microsoft.com/office/drawing/2014/main" id="{00000000-0008-0000-0600-0000DDC70C00}"/>
            </a:ext>
          </a:extLst>
        </xdr:cNvPr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7598" name="Line 225">
          <a:extLst>
            <a:ext uri="{FF2B5EF4-FFF2-40B4-BE49-F238E27FC236}">
              <a16:creationId xmlns:a16="http://schemas.microsoft.com/office/drawing/2014/main" id="{00000000-0008-0000-0600-0000DEC70C00}"/>
            </a:ext>
          </a:extLst>
        </xdr:cNvPr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7599" name="Line 226">
          <a:extLst>
            <a:ext uri="{FF2B5EF4-FFF2-40B4-BE49-F238E27FC236}">
              <a16:creationId xmlns:a16="http://schemas.microsoft.com/office/drawing/2014/main" id="{00000000-0008-0000-0600-0000DFC70C00}"/>
            </a:ext>
          </a:extLst>
        </xdr:cNvPr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7600" name="Line 227">
          <a:extLst>
            <a:ext uri="{FF2B5EF4-FFF2-40B4-BE49-F238E27FC236}">
              <a16:creationId xmlns:a16="http://schemas.microsoft.com/office/drawing/2014/main" id="{00000000-0008-0000-0600-0000E0C70C00}"/>
            </a:ext>
          </a:extLst>
        </xdr:cNvPr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7601" name="Line 228">
          <a:extLst>
            <a:ext uri="{FF2B5EF4-FFF2-40B4-BE49-F238E27FC236}">
              <a16:creationId xmlns:a16="http://schemas.microsoft.com/office/drawing/2014/main" id="{00000000-0008-0000-0600-0000E1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7602" name="Line 229">
          <a:extLst>
            <a:ext uri="{FF2B5EF4-FFF2-40B4-BE49-F238E27FC236}">
              <a16:creationId xmlns:a16="http://schemas.microsoft.com/office/drawing/2014/main" id="{00000000-0008-0000-0600-0000E2C70C00}"/>
            </a:ext>
          </a:extLst>
        </xdr:cNvPr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8</xdr:row>
      <xdr:rowOff>76200</xdr:rowOff>
    </xdr:from>
    <xdr:to>
      <xdr:col>92</xdr:col>
      <xdr:colOff>123825</xdr:colOff>
      <xdr:row>9</xdr:row>
      <xdr:rowOff>142875</xdr:rowOff>
    </xdr:to>
    <xdr:sp macro="" textlink="">
      <xdr:nvSpPr>
        <xdr:cNvPr id="837603" name="Line 230">
          <a:extLst>
            <a:ext uri="{FF2B5EF4-FFF2-40B4-BE49-F238E27FC236}">
              <a16:creationId xmlns:a16="http://schemas.microsoft.com/office/drawing/2014/main" id="{00000000-0008-0000-0600-0000E3C70C00}"/>
            </a:ext>
          </a:extLst>
        </xdr:cNvPr>
        <xdr:cNvSpPr>
          <a:spLocks noChangeShapeType="1"/>
        </xdr:cNvSpPr>
      </xdr:nvSpPr>
      <xdr:spPr bwMode="auto">
        <a:xfrm>
          <a:off x="479583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8</xdr:row>
      <xdr:rowOff>76200</xdr:rowOff>
    </xdr:from>
    <xdr:to>
      <xdr:col>92</xdr:col>
      <xdr:colOff>123825</xdr:colOff>
      <xdr:row>8</xdr:row>
      <xdr:rowOff>76200</xdr:rowOff>
    </xdr:to>
    <xdr:sp macro="" textlink="">
      <xdr:nvSpPr>
        <xdr:cNvPr id="837604" name="Line 231">
          <a:extLst>
            <a:ext uri="{FF2B5EF4-FFF2-40B4-BE49-F238E27FC236}">
              <a16:creationId xmlns:a16="http://schemas.microsoft.com/office/drawing/2014/main" id="{00000000-0008-0000-0600-0000E4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9</xdr:row>
      <xdr:rowOff>133350</xdr:rowOff>
    </xdr:from>
    <xdr:to>
      <xdr:col>92</xdr:col>
      <xdr:colOff>123825</xdr:colOff>
      <xdr:row>9</xdr:row>
      <xdr:rowOff>133350</xdr:rowOff>
    </xdr:to>
    <xdr:sp macro="" textlink="">
      <xdr:nvSpPr>
        <xdr:cNvPr id="837605" name="Line 232">
          <a:extLst>
            <a:ext uri="{FF2B5EF4-FFF2-40B4-BE49-F238E27FC236}">
              <a16:creationId xmlns:a16="http://schemas.microsoft.com/office/drawing/2014/main" id="{00000000-0008-0000-0600-0000E5C70C00}"/>
            </a:ext>
          </a:extLst>
        </xdr:cNvPr>
        <xdr:cNvSpPr>
          <a:spLocks noChangeShapeType="1"/>
        </xdr:cNvSpPr>
      </xdr:nvSpPr>
      <xdr:spPr bwMode="auto">
        <a:xfrm flipH="1">
          <a:off x="478345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12</xdr:row>
      <xdr:rowOff>76200</xdr:rowOff>
    </xdr:from>
    <xdr:to>
      <xdr:col>92</xdr:col>
      <xdr:colOff>123825</xdr:colOff>
      <xdr:row>13</xdr:row>
      <xdr:rowOff>142875</xdr:rowOff>
    </xdr:to>
    <xdr:sp macro="" textlink="">
      <xdr:nvSpPr>
        <xdr:cNvPr id="837606" name="Line 233">
          <a:extLst>
            <a:ext uri="{FF2B5EF4-FFF2-40B4-BE49-F238E27FC236}">
              <a16:creationId xmlns:a16="http://schemas.microsoft.com/office/drawing/2014/main" id="{00000000-0008-0000-0600-0000E6C70C00}"/>
            </a:ext>
          </a:extLst>
        </xdr:cNvPr>
        <xdr:cNvSpPr>
          <a:spLocks noChangeShapeType="1"/>
        </xdr:cNvSpPr>
      </xdr:nvSpPr>
      <xdr:spPr bwMode="auto">
        <a:xfrm>
          <a:off x="479583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12</xdr:row>
      <xdr:rowOff>76200</xdr:rowOff>
    </xdr:from>
    <xdr:to>
      <xdr:col>92</xdr:col>
      <xdr:colOff>123825</xdr:colOff>
      <xdr:row>12</xdr:row>
      <xdr:rowOff>76200</xdr:rowOff>
    </xdr:to>
    <xdr:sp macro="" textlink="">
      <xdr:nvSpPr>
        <xdr:cNvPr id="837607" name="Line 234">
          <a:extLst>
            <a:ext uri="{FF2B5EF4-FFF2-40B4-BE49-F238E27FC236}">
              <a16:creationId xmlns:a16="http://schemas.microsoft.com/office/drawing/2014/main" id="{00000000-0008-0000-0600-0000E7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13</xdr:row>
      <xdr:rowOff>133350</xdr:rowOff>
    </xdr:from>
    <xdr:to>
      <xdr:col>92</xdr:col>
      <xdr:colOff>123825</xdr:colOff>
      <xdr:row>13</xdr:row>
      <xdr:rowOff>133350</xdr:rowOff>
    </xdr:to>
    <xdr:sp macro="" textlink="">
      <xdr:nvSpPr>
        <xdr:cNvPr id="837608" name="Line 235">
          <a:extLst>
            <a:ext uri="{FF2B5EF4-FFF2-40B4-BE49-F238E27FC236}">
              <a16:creationId xmlns:a16="http://schemas.microsoft.com/office/drawing/2014/main" id="{00000000-0008-0000-0600-0000E8C70C00}"/>
            </a:ext>
          </a:extLst>
        </xdr:cNvPr>
        <xdr:cNvSpPr>
          <a:spLocks noChangeShapeType="1"/>
        </xdr:cNvSpPr>
      </xdr:nvSpPr>
      <xdr:spPr bwMode="auto">
        <a:xfrm flipH="1">
          <a:off x="478345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14</xdr:row>
      <xdr:rowOff>76200</xdr:rowOff>
    </xdr:from>
    <xdr:to>
      <xdr:col>92</xdr:col>
      <xdr:colOff>123825</xdr:colOff>
      <xdr:row>15</xdr:row>
      <xdr:rowOff>142875</xdr:rowOff>
    </xdr:to>
    <xdr:sp macro="" textlink="">
      <xdr:nvSpPr>
        <xdr:cNvPr id="837609" name="Line 236">
          <a:extLst>
            <a:ext uri="{FF2B5EF4-FFF2-40B4-BE49-F238E27FC236}">
              <a16:creationId xmlns:a16="http://schemas.microsoft.com/office/drawing/2014/main" id="{00000000-0008-0000-0600-0000E9C70C00}"/>
            </a:ext>
          </a:extLst>
        </xdr:cNvPr>
        <xdr:cNvSpPr>
          <a:spLocks noChangeShapeType="1"/>
        </xdr:cNvSpPr>
      </xdr:nvSpPr>
      <xdr:spPr bwMode="auto">
        <a:xfrm>
          <a:off x="479583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14</xdr:row>
      <xdr:rowOff>76200</xdr:rowOff>
    </xdr:from>
    <xdr:to>
      <xdr:col>92</xdr:col>
      <xdr:colOff>123825</xdr:colOff>
      <xdr:row>14</xdr:row>
      <xdr:rowOff>76200</xdr:rowOff>
    </xdr:to>
    <xdr:sp macro="" textlink="">
      <xdr:nvSpPr>
        <xdr:cNvPr id="837610" name="Line 237">
          <a:extLst>
            <a:ext uri="{FF2B5EF4-FFF2-40B4-BE49-F238E27FC236}">
              <a16:creationId xmlns:a16="http://schemas.microsoft.com/office/drawing/2014/main" id="{00000000-0008-0000-0600-0000EA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15</xdr:row>
      <xdr:rowOff>133350</xdr:rowOff>
    </xdr:from>
    <xdr:to>
      <xdr:col>92</xdr:col>
      <xdr:colOff>123825</xdr:colOff>
      <xdr:row>15</xdr:row>
      <xdr:rowOff>133350</xdr:rowOff>
    </xdr:to>
    <xdr:sp macro="" textlink="">
      <xdr:nvSpPr>
        <xdr:cNvPr id="837611" name="Line 238">
          <a:extLst>
            <a:ext uri="{FF2B5EF4-FFF2-40B4-BE49-F238E27FC236}">
              <a16:creationId xmlns:a16="http://schemas.microsoft.com/office/drawing/2014/main" id="{00000000-0008-0000-0600-0000EBC70C00}"/>
            </a:ext>
          </a:extLst>
        </xdr:cNvPr>
        <xdr:cNvSpPr>
          <a:spLocks noChangeShapeType="1"/>
        </xdr:cNvSpPr>
      </xdr:nvSpPr>
      <xdr:spPr bwMode="auto">
        <a:xfrm flipH="1">
          <a:off x="478345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10</xdr:row>
      <xdr:rowOff>76200</xdr:rowOff>
    </xdr:from>
    <xdr:to>
      <xdr:col>92</xdr:col>
      <xdr:colOff>123825</xdr:colOff>
      <xdr:row>11</xdr:row>
      <xdr:rowOff>142875</xdr:rowOff>
    </xdr:to>
    <xdr:sp macro="" textlink="">
      <xdr:nvSpPr>
        <xdr:cNvPr id="837612" name="Line 240">
          <a:extLst>
            <a:ext uri="{FF2B5EF4-FFF2-40B4-BE49-F238E27FC236}">
              <a16:creationId xmlns:a16="http://schemas.microsoft.com/office/drawing/2014/main" id="{00000000-0008-0000-0600-0000ECC70C00}"/>
            </a:ext>
          </a:extLst>
        </xdr:cNvPr>
        <xdr:cNvSpPr>
          <a:spLocks noChangeShapeType="1"/>
        </xdr:cNvSpPr>
      </xdr:nvSpPr>
      <xdr:spPr bwMode="auto">
        <a:xfrm>
          <a:off x="479583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10</xdr:row>
      <xdr:rowOff>76200</xdr:rowOff>
    </xdr:from>
    <xdr:to>
      <xdr:col>92</xdr:col>
      <xdr:colOff>123825</xdr:colOff>
      <xdr:row>10</xdr:row>
      <xdr:rowOff>76200</xdr:rowOff>
    </xdr:to>
    <xdr:sp macro="" textlink="">
      <xdr:nvSpPr>
        <xdr:cNvPr id="837613" name="Line 241">
          <a:extLst>
            <a:ext uri="{FF2B5EF4-FFF2-40B4-BE49-F238E27FC236}">
              <a16:creationId xmlns:a16="http://schemas.microsoft.com/office/drawing/2014/main" id="{00000000-0008-0000-0600-0000EDC7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11</xdr:row>
      <xdr:rowOff>133350</xdr:rowOff>
    </xdr:from>
    <xdr:to>
      <xdr:col>92</xdr:col>
      <xdr:colOff>123825</xdr:colOff>
      <xdr:row>11</xdr:row>
      <xdr:rowOff>133350</xdr:rowOff>
    </xdr:to>
    <xdr:sp macro="" textlink="">
      <xdr:nvSpPr>
        <xdr:cNvPr id="837614" name="Line 242">
          <a:extLst>
            <a:ext uri="{FF2B5EF4-FFF2-40B4-BE49-F238E27FC236}">
              <a16:creationId xmlns:a16="http://schemas.microsoft.com/office/drawing/2014/main" id="{00000000-0008-0000-0600-0000EEC70C00}"/>
            </a:ext>
          </a:extLst>
        </xdr:cNvPr>
        <xdr:cNvSpPr>
          <a:spLocks noChangeShapeType="1"/>
        </xdr:cNvSpPr>
      </xdr:nvSpPr>
      <xdr:spPr bwMode="auto">
        <a:xfrm flipH="1">
          <a:off x="478345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7615" name="Line 216">
          <a:extLst>
            <a:ext uri="{FF2B5EF4-FFF2-40B4-BE49-F238E27FC236}">
              <a16:creationId xmlns:a16="http://schemas.microsoft.com/office/drawing/2014/main" id="{00000000-0008-0000-0600-0000EFC70C00}"/>
            </a:ext>
          </a:extLst>
        </xdr:cNvPr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7616" name="Line 217">
          <a:extLst>
            <a:ext uri="{FF2B5EF4-FFF2-40B4-BE49-F238E27FC236}">
              <a16:creationId xmlns:a16="http://schemas.microsoft.com/office/drawing/2014/main" id="{00000000-0008-0000-0600-0000F0C7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7617" name="Line 218">
          <a:extLst>
            <a:ext uri="{FF2B5EF4-FFF2-40B4-BE49-F238E27FC236}">
              <a16:creationId xmlns:a16="http://schemas.microsoft.com/office/drawing/2014/main" id="{00000000-0008-0000-0600-0000F1C70C00}"/>
            </a:ext>
          </a:extLst>
        </xdr:cNvPr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7618" name="Line 219">
          <a:extLst>
            <a:ext uri="{FF2B5EF4-FFF2-40B4-BE49-F238E27FC236}">
              <a16:creationId xmlns:a16="http://schemas.microsoft.com/office/drawing/2014/main" id="{00000000-0008-0000-0600-0000F2C70C00}"/>
            </a:ext>
          </a:extLst>
        </xdr:cNvPr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7619" name="Line 220">
          <a:extLst>
            <a:ext uri="{FF2B5EF4-FFF2-40B4-BE49-F238E27FC236}">
              <a16:creationId xmlns:a16="http://schemas.microsoft.com/office/drawing/2014/main" id="{00000000-0008-0000-0600-0000F3C70C00}"/>
            </a:ext>
          </a:extLst>
        </xdr:cNvPr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7620" name="Line 221">
          <a:extLst>
            <a:ext uri="{FF2B5EF4-FFF2-40B4-BE49-F238E27FC236}">
              <a16:creationId xmlns:a16="http://schemas.microsoft.com/office/drawing/2014/main" id="{00000000-0008-0000-0600-0000F4C70C00}"/>
            </a:ext>
          </a:extLst>
        </xdr:cNvPr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7621" name="Line 224">
          <a:extLst>
            <a:ext uri="{FF2B5EF4-FFF2-40B4-BE49-F238E27FC236}">
              <a16:creationId xmlns:a16="http://schemas.microsoft.com/office/drawing/2014/main" id="{00000000-0008-0000-0600-0000F5C70C00}"/>
            </a:ext>
          </a:extLst>
        </xdr:cNvPr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7622" name="Line 225">
          <a:extLst>
            <a:ext uri="{FF2B5EF4-FFF2-40B4-BE49-F238E27FC236}">
              <a16:creationId xmlns:a16="http://schemas.microsoft.com/office/drawing/2014/main" id="{00000000-0008-0000-0600-0000F6C70C00}"/>
            </a:ext>
          </a:extLst>
        </xdr:cNvPr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7623" name="Line 226">
          <a:extLst>
            <a:ext uri="{FF2B5EF4-FFF2-40B4-BE49-F238E27FC236}">
              <a16:creationId xmlns:a16="http://schemas.microsoft.com/office/drawing/2014/main" id="{00000000-0008-0000-0600-0000F7C70C00}"/>
            </a:ext>
          </a:extLst>
        </xdr:cNvPr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7624" name="Line 227">
          <a:extLst>
            <a:ext uri="{FF2B5EF4-FFF2-40B4-BE49-F238E27FC236}">
              <a16:creationId xmlns:a16="http://schemas.microsoft.com/office/drawing/2014/main" id="{00000000-0008-0000-0600-0000F8C70C00}"/>
            </a:ext>
          </a:extLst>
        </xdr:cNvPr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7625" name="Line 228">
          <a:extLst>
            <a:ext uri="{FF2B5EF4-FFF2-40B4-BE49-F238E27FC236}">
              <a16:creationId xmlns:a16="http://schemas.microsoft.com/office/drawing/2014/main" id="{00000000-0008-0000-0600-0000F9C7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7626" name="Line 229">
          <a:extLst>
            <a:ext uri="{FF2B5EF4-FFF2-40B4-BE49-F238E27FC236}">
              <a16:creationId xmlns:a16="http://schemas.microsoft.com/office/drawing/2014/main" id="{00000000-0008-0000-0600-0000FAC70C00}"/>
            </a:ext>
          </a:extLst>
        </xdr:cNvPr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8</xdr:row>
      <xdr:rowOff>76200</xdr:rowOff>
    </xdr:from>
    <xdr:to>
      <xdr:col>104</xdr:col>
      <xdr:colOff>123825</xdr:colOff>
      <xdr:row>9</xdr:row>
      <xdr:rowOff>142875</xdr:rowOff>
    </xdr:to>
    <xdr:sp macro="" textlink="">
      <xdr:nvSpPr>
        <xdr:cNvPr id="837627" name="Line 230">
          <a:extLst>
            <a:ext uri="{FF2B5EF4-FFF2-40B4-BE49-F238E27FC236}">
              <a16:creationId xmlns:a16="http://schemas.microsoft.com/office/drawing/2014/main" id="{00000000-0008-0000-0600-0000FBC70C00}"/>
            </a:ext>
          </a:extLst>
        </xdr:cNvPr>
        <xdr:cNvSpPr>
          <a:spLocks noChangeShapeType="1"/>
        </xdr:cNvSpPr>
      </xdr:nvSpPr>
      <xdr:spPr bwMode="auto">
        <a:xfrm>
          <a:off x="54483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8</xdr:row>
      <xdr:rowOff>76200</xdr:rowOff>
    </xdr:from>
    <xdr:to>
      <xdr:col>104</xdr:col>
      <xdr:colOff>123825</xdr:colOff>
      <xdr:row>8</xdr:row>
      <xdr:rowOff>76200</xdr:rowOff>
    </xdr:to>
    <xdr:sp macro="" textlink="">
      <xdr:nvSpPr>
        <xdr:cNvPr id="837628" name="Line 231">
          <a:extLst>
            <a:ext uri="{FF2B5EF4-FFF2-40B4-BE49-F238E27FC236}">
              <a16:creationId xmlns:a16="http://schemas.microsoft.com/office/drawing/2014/main" id="{00000000-0008-0000-0600-0000FCC7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9</xdr:row>
      <xdr:rowOff>133350</xdr:rowOff>
    </xdr:from>
    <xdr:to>
      <xdr:col>104</xdr:col>
      <xdr:colOff>123825</xdr:colOff>
      <xdr:row>9</xdr:row>
      <xdr:rowOff>133350</xdr:rowOff>
    </xdr:to>
    <xdr:sp macro="" textlink="">
      <xdr:nvSpPr>
        <xdr:cNvPr id="837629" name="Line 232">
          <a:extLst>
            <a:ext uri="{FF2B5EF4-FFF2-40B4-BE49-F238E27FC236}">
              <a16:creationId xmlns:a16="http://schemas.microsoft.com/office/drawing/2014/main" id="{00000000-0008-0000-0600-0000FDC70C00}"/>
            </a:ext>
          </a:extLst>
        </xdr:cNvPr>
        <xdr:cNvSpPr>
          <a:spLocks noChangeShapeType="1"/>
        </xdr:cNvSpPr>
      </xdr:nvSpPr>
      <xdr:spPr bwMode="auto">
        <a:xfrm flipH="1">
          <a:off x="54359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12</xdr:row>
      <xdr:rowOff>76200</xdr:rowOff>
    </xdr:from>
    <xdr:to>
      <xdr:col>104</xdr:col>
      <xdr:colOff>123825</xdr:colOff>
      <xdr:row>13</xdr:row>
      <xdr:rowOff>142875</xdr:rowOff>
    </xdr:to>
    <xdr:sp macro="" textlink="">
      <xdr:nvSpPr>
        <xdr:cNvPr id="837630" name="Line 233">
          <a:extLst>
            <a:ext uri="{FF2B5EF4-FFF2-40B4-BE49-F238E27FC236}">
              <a16:creationId xmlns:a16="http://schemas.microsoft.com/office/drawing/2014/main" id="{00000000-0008-0000-0600-0000FEC70C00}"/>
            </a:ext>
          </a:extLst>
        </xdr:cNvPr>
        <xdr:cNvSpPr>
          <a:spLocks noChangeShapeType="1"/>
        </xdr:cNvSpPr>
      </xdr:nvSpPr>
      <xdr:spPr bwMode="auto">
        <a:xfrm>
          <a:off x="54483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12</xdr:row>
      <xdr:rowOff>76200</xdr:rowOff>
    </xdr:from>
    <xdr:to>
      <xdr:col>104</xdr:col>
      <xdr:colOff>123825</xdr:colOff>
      <xdr:row>12</xdr:row>
      <xdr:rowOff>76200</xdr:rowOff>
    </xdr:to>
    <xdr:sp macro="" textlink="">
      <xdr:nvSpPr>
        <xdr:cNvPr id="837631" name="Line 234">
          <a:extLst>
            <a:ext uri="{FF2B5EF4-FFF2-40B4-BE49-F238E27FC236}">
              <a16:creationId xmlns:a16="http://schemas.microsoft.com/office/drawing/2014/main" id="{00000000-0008-0000-0600-0000FFC7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13</xdr:row>
      <xdr:rowOff>133350</xdr:rowOff>
    </xdr:from>
    <xdr:to>
      <xdr:col>104</xdr:col>
      <xdr:colOff>123825</xdr:colOff>
      <xdr:row>13</xdr:row>
      <xdr:rowOff>133350</xdr:rowOff>
    </xdr:to>
    <xdr:sp macro="" textlink="">
      <xdr:nvSpPr>
        <xdr:cNvPr id="837632" name="Line 235">
          <a:extLst>
            <a:ext uri="{FF2B5EF4-FFF2-40B4-BE49-F238E27FC236}">
              <a16:creationId xmlns:a16="http://schemas.microsoft.com/office/drawing/2014/main" id="{00000000-0008-0000-0600-000000C80C00}"/>
            </a:ext>
          </a:extLst>
        </xdr:cNvPr>
        <xdr:cNvSpPr>
          <a:spLocks noChangeShapeType="1"/>
        </xdr:cNvSpPr>
      </xdr:nvSpPr>
      <xdr:spPr bwMode="auto">
        <a:xfrm flipH="1">
          <a:off x="54359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14</xdr:row>
      <xdr:rowOff>76200</xdr:rowOff>
    </xdr:from>
    <xdr:to>
      <xdr:col>104</xdr:col>
      <xdr:colOff>123825</xdr:colOff>
      <xdr:row>15</xdr:row>
      <xdr:rowOff>142875</xdr:rowOff>
    </xdr:to>
    <xdr:sp macro="" textlink="">
      <xdr:nvSpPr>
        <xdr:cNvPr id="837633" name="Line 236">
          <a:extLst>
            <a:ext uri="{FF2B5EF4-FFF2-40B4-BE49-F238E27FC236}">
              <a16:creationId xmlns:a16="http://schemas.microsoft.com/office/drawing/2014/main" id="{00000000-0008-0000-0600-000001C80C00}"/>
            </a:ext>
          </a:extLst>
        </xdr:cNvPr>
        <xdr:cNvSpPr>
          <a:spLocks noChangeShapeType="1"/>
        </xdr:cNvSpPr>
      </xdr:nvSpPr>
      <xdr:spPr bwMode="auto">
        <a:xfrm>
          <a:off x="54483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14</xdr:row>
      <xdr:rowOff>76200</xdr:rowOff>
    </xdr:from>
    <xdr:to>
      <xdr:col>104</xdr:col>
      <xdr:colOff>123825</xdr:colOff>
      <xdr:row>14</xdr:row>
      <xdr:rowOff>76200</xdr:rowOff>
    </xdr:to>
    <xdr:sp macro="" textlink="">
      <xdr:nvSpPr>
        <xdr:cNvPr id="837634" name="Line 237">
          <a:extLst>
            <a:ext uri="{FF2B5EF4-FFF2-40B4-BE49-F238E27FC236}">
              <a16:creationId xmlns:a16="http://schemas.microsoft.com/office/drawing/2014/main" id="{00000000-0008-0000-0600-000002C8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15</xdr:row>
      <xdr:rowOff>133350</xdr:rowOff>
    </xdr:from>
    <xdr:to>
      <xdr:col>104</xdr:col>
      <xdr:colOff>123825</xdr:colOff>
      <xdr:row>15</xdr:row>
      <xdr:rowOff>133350</xdr:rowOff>
    </xdr:to>
    <xdr:sp macro="" textlink="">
      <xdr:nvSpPr>
        <xdr:cNvPr id="837635" name="Line 238">
          <a:extLst>
            <a:ext uri="{FF2B5EF4-FFF2-40B4-BE49-F238E27FC236}">
              <a16:creationId xmlns:a16="http://schemas.microsoft.com/office/drawing/2014/main" id="{00000000-0008-0000-0600-000003C80C00}"/>
            </a:ext>
          </a:extLst>
        </xdr:cNvPr>
        <xdr:cNvSpPr>
          <a:spLocks noChangeShapeType="1"/>
        </xdr:cNvSpPr>
      </xdr:nvSpPr>
      <xdr:spPr bwMode="auto">
        <a:xfrm flipH="1">
          <a:off x="54359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10</xdr:row>
      <xdr:rowOff>76200</xdr:rowOff>
    </xdr:from>
    <xdr:to>
      <xdr:col>104</xdr:col>
      <xdr:colOff>123825</xdr:colOff>
      <xdr:row>11</xdr:row>
      <xdr:rowOff>142875</xdr:rowOff>
    </xdr:to>
    <xdr:sp macro="" textlink="">
      <xdr:nvSpPr>
        <xdr:cNvPr id="837636" name="Line 240">
          <a:extLst>
            <a:ext uri="{FF2B5EF4-FFF2-40B4-BE49-F238E27FC236}">
              <a16:creationId xmlns:a16="http://schemas.microsoft.com/office/drawing/2014/main" id="{00000000-0008-0000-0600-000004C80C00}"/>
            </a:ext>
          </a:extLst>
        </xdr:cNvPr>
        <xdr:cNvSpPr>
          <a:spLocks noChangeShapeType="1"/>
        </xdr:cNvSpPr>
      </xdr:nvSpPr>
      <xdr:spPr bwMode="auto">
        <a:xfrm>
          <a:off x="544830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10</xdr:row>
      <xdr:rowOff>76200</xdr:rowOff>
    </xdr:from>
    <xdr:to>
      <xdr:col>104</xdr:col>
      <xdr:colOff>123825</xdr:colOff>
      <xdr:row>10</xdr:row>
      <xdr:rowOff>76200</xdr:rowOff>
    </xdr:to>
    <xdr:sp macro="" textlink="">
      <xdr:nvSpPr>
        <xdr:cNvPr id="837637" name="Line 241">
          <a:extLst>
            <a:ext uri="{FF2B5EF4-FFF2-40B4-BE49-F238E27FC236}">
              <a16:creationId xmlns:a16="http://schemas.microsoft.com/office/drawing/2014/main" id="{00000000-0008-0000-0600-000005C8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11</xdr:row>
      <xdr:rowOff>133350</xdr:rowOff>
    </xdr:from>
    <xdr:to>
      <xdr:col>104</xdr:col>
      <xdr:colOff>123825</xdr:colOff>
      <xdr:row>11</xdr:row>
      <xdr:rowOff>133350</xdr:rowOff>
    </xdr:to>
    <xdr:sp macro="" textlink="">
      <xdr:nvSpPr>
        <xdr:cNvPr id="837638" name="Line 242">
          <a:extLst>
            <a:ext uri="{FF2B5EF4-FFF2-40B4-BE49-F238E27FC236}">
              <a16:creationId xmlns:a16="http://schemas.microsoft.com/office/drawing/2014/main" id="{00000000-0008-0000-0600-000006C80C00}"/>
            </a:ext>
          </a:extLst>
        </xdr:cNvPr>
        <xdr:cNvSpPr>
          <a:spLocks noChangeShapeType="1"/>
        </xdr:cNvSpPr>
      </xdr:nvSpPr>
      <xdr:spPr bwMode="auto">
        <a:xfrm flipH="1">
          <a:off x="543591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7639" name="Line 216">
          <a:extLst>
            <a:ext uri="{FF2B5EF4-FFF2-40B4-BE49-F238E27FC236}">
              <a16:creationId xmlns:a16="http://schemas.microsoft.com/office/drawing/2014/main" id="{00000000-0008-0000-0600-000007C80C00}"/>
            </a:ext>
          </a:extLst>
        </xdr:cNvPr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7640" name="Line 217">
          <a:extLst>
            <a:ext uri="{FF2B5EF4-FFF2-40B4-BE49-F238E27FC236}">
              <a16:creationId xmlns:a16="http://schemas.microsoft.com/office/drawing/2014/main" id="{00000000-0008-0000-0600-000008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7641" name="Line 218">
          <a:extLst>
            <a:ext uri="{FF2B5EF4-FFF2-40B4-BE49-F238E27FC236}">
              <a16:creationId xmlns:a16="http://schemas.microsoft.com/office/drawing/2014/main" id="{00000000-0008-0000-0600-000009C80C00}"/>
            </a:ext>
          </a:extLst>
        </xdr:cNvPr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7642" name="Line 219">
          <a:extLst>
            <a:ext uri="{FF2B5EF4-FFF2-40B4-BE49-F238E27FC236}">
              <a16:creationId xmlns:a16="http://schemas.microsoft.com/office/drawing/2014/main" id="{00000000-0008-0000-0600-00000AC80C00}"/>
            </a:ext>
          </a:extLst>
        </xdr:cNvPr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7643" name="Line 220">
          <a:extLst>
            <a:ext uri="{FF2B5EF4-FFF2-40B4-BE49-F238E27FC236}">
              <a16:creationId xmlns:a16="http://schemas.microsoft.com/office/drawing/2014/main" id="{00000000-0008-0000-0600-00000BC80C00}"/>
            </a:ext>
          </a:extLst>
        </xdr:cNvPr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7644" name="Line 221">
          <a:extLst>
            <a:ext uri="{FF2B5EF4-FFF2-40B4-BE49-F238E27FC236}">
              <a16:creationId xmlns:a16="http://schemas.microsoft.com/office/drawing/2014/main" id="{00000000-0008-0000-0600-00000CC80C00}"/>
            </a:ext>
          </a:extLst>
        </xdr:cNvPr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7645" name="Line 224">
          <a:extLst>
            <a:ext uri="{FF2B5EF4-FFF2-40B4-BE49-F238E27FC236}">
              <a16:creationId xmlns:a16="http://schemas.microsoft.com/office/drawing/2014/main" id="{00000000-0008-0000-0600-00000DC80C00}"/>
            </a:ext>
          </a:extLst>
        </xdr:cNvPr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7646" name="Line 225">
          <a:extLst>
            <a:ext uri="{FF2B5EF4-FFF2-40B4-BE49-F238E27FC236}">
              <a16:creationId xmlns:a16="http://schemas.microsoft.com/office/drawing/2014/main" id="{00000000-0008-0000-0600-00000EC80C00}"/>
            </a:ext>
          </a:extLst>
        </xdr:cNvPr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7647" name="Line 226">
          <a:extLst>
            <a:ext uri="{FF2B5EF4-FFF2-40B4-BE49-F238E27FC236}">
              <a16:creationId xmlns:a16="http://schemas.microsoft.com/office/drawing/2014/main" id="{00000000-0008-0000-0600-00000FC80C00}"/>
            </a:ext>
          </a:extLst>
        </xdr:cNvPr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7648" name="Line 227">
          <a:extLst>
            <a:ext uri="{FF2B5EF4-FFF2-40B4-BE49-F238E27FC236}">
              <a16:creationId xmlns:a16="http://schemas.microsoft.com/office/drawing/2014/main" id="{00000000-0008-0000-0600-000010C80C00}"/>
            </a:ext>
          </a:extLst>
        </xdr:cNvPr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7649" name="Line 228">
          <a:extLst>
            <a:ext uri="{FF2B5EF4-FFF2-40B4-BE49-F238E27FC236}">
              <a16:creationId xmlns:a16="http://schemas.microsoft.com/office/drawing/2014/main" id="{00000000-0008-0000-0600-000011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7650" name="Line 229">
          <a:extLst>
            <a:ext uri="{FF2B5EF4-FFF2-40B4-BE49-F238E27FC236}">
              <a16:creationId xmlns:a16="http://schemas.microsoft.com/office/drawing/2014/main" id="{00000000-0008-0000-0600-000012C80C00}"/>
            </a:ext>
          </a:extLst>
        </xdr:cNvPr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8</xdr:row>
      <xdr:rowOff>76200</xdr:rowOff>
    </xdr:from>
    <xdr:to>
      <xdr:col>110</xdr:col>
      <xdr:colOff>123825</xdr:colOff>
      <xdr:row>9</xdr:row>
      <xdr:rowOff>142875</xdr:rowOff>
    </xdr:to>
    <xdr:sp macro="" textlink="">
      <xdr:nvSpPr>
        <xdr:cNvPr id="837651" name="Line 230">
          <a:extLst>
            <a:ext uri="{FF2B5EF4-FFF2-40B4-BE49-F238E27FC236}">
              <a16:creationId xmlns:a16="http://schemas.microsoft.com/office/drawing/2014/main" id="{00000000-0008-0000-0600-000013C80C00}"/>
            </a:ext>
          </a:extLst>
        </xdr:cNvPr>
        <xdr:cNvSpPr>
          <a:spLocks noChangeShapeType="1"/>
        </xdr:cNvSpPr>
      </xdr:nvSpPr>
      <xdr:spPr bwMode="auto">
        <a:xfrm>
          <a:off x="578739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8</xdr:row>
      <xdr:rowOff>76200</xdr:rowOff>
    </xdr:from>
    <xdr:to>
      <xdr:col>110</xdr:col>
      <xdr:colOff>123825</xdr:colOff>
      <xdr:row>8</xdr:row>
      <xdr:rowOff>76200</xdr:rowOff>
    </xdr:to>
    <xdr:sp macro="" textlink="">
      <xdr:nvSpPr>
        <xdr:cNvPr id="837652" name="Line 231">
          <a:extLst>
            <a:ext uri="{FF2B5EF4-FFF2-40B4-BE49-F238E27FC236}">
              <a16:creationId xmlns:a16="http://schemas.microsoft.com/office/drawing/2014/main" id="{00000000-0008-0000-0600-000014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9</xdr:row>
      <xdr:rowOff>133350</xdr:rowOff>
    </xdr:from>
    <xdr:to>
      <xdr:col>110</xdr:col>
      <xdr:colOff>123825</xdr:colOff>
      <xdr:row>9</xdr:row>
      <xdr:rowOff>133350</xdr:rowOff>
    </xdr:to>
    <xdr:sp macro="" textlink="">
      <xdr:nvSpPr>
        <xdr:cNvPr id="837653" name="Line 232">
          <a:extLst>
            <a:ext uri="{FF2B5EF4-FFF2-40B4-BE49-F238E27FC236}">
              <a16:creationId xmlns:a16="http://schemas.microsoft.com/office/drawing/2014/main" id="{00000000-0008-0000-0600-000015C80C00}"/>
            </a:ext>
          </a:extLst>
        </xdr:cNvPr>
        <xdr:cNvSpPr>
          <a:spLocks noChangeShapeType="1"/>
        </xdr:cNvSpPr>
      </xdr:nvSpPr>
      <xdr:spPr bwMode="auto">
        <a:xfrm flipH="1">
          <a:off x="577500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12</xdr:row>
      <xdr:rowOff>76200</xdr:rowOff>
    </xdr:from>
    <xdr:to>
      <xdr:col>110</xdr:col>
      <xdr:colOff>123825</xdr:colOff>
      <xdr:row>13</xdr:row>
      <xdr:rowOff>142875</xdr:rowOff>
    </xdr:to>
    <xdr:sp macro="" textlink="">
      <xdr:nvSpPr>
        <xdr:cNvPr id="837654" name="Line 233">
          <a:extLst>
            <a:ext uri="{FF2B5EF4-FFF2-40B4-BE49-F238E27FC236}">
              <a16:creationId xmlns:a16="http://schemas.microsoft.com/office/drawing/2014/main" id="{00000000-0008-0000-0600-000016C80C00}"/>
            </a:ext>
          </a:extLst>
        </xdr:cNvPr>
        <xdr:cNvSpPr>
          <a:spLocks noChangeShapeType="1"/>
        </xdr:cNvSpPr>
      </xdr:nvSpPr>
      <xdr:spPr bwMode="auto">
        <a:xfrm>
          <a:off x="578739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12</xdr:row>
      <xdr:rowOff>76200</xdr:rowOff>
    </xdr:from>
    <xdr:to>
      <xdr:col>110</xdr:col>
      <xdr:colOff>123825</xdr:colOff>
      <xdr:row>12</xdr:row>
      <xdr:rowOff>76200</xdr:rowOff>
    </xdr:to>
    <xdr:sp macro="" textlink="">
      <xdr:nvSpPr>
        <xdr:cNvPr id="837655" name="Line 234">
          <a:extLst>
            <a:ext uri="{FF2B5EF4-FFF2-40B4-BE49-F238E27FC236}">
              <a16:creationId xmlns:a16="http://schemas.microsoft.com/office/drawing/2014/main" id="{00000000-0008-0000-0600-000017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13</xdr:row>
      <xdr:rowOff>133350</xdr:rowOff>
    </xdr:from>
    <xdr:to>
      <xdr:col>110</xdr:col>
      <xdr:colOff>123825</xdr:colOff>
      <xdr:row>13</xdr:row>
      <xdr:rowOff>133350</xdr:rowOff>
    </xdr:to>
    <xdr:sp macro="" textlink="">
      <xdr:nvSpPr>
        <xdr:cNvPr id="837656" name="Line 235">
          <a:extLst>
            <a:ext uri="{FF2B5EF4-FFF2-40B4-BE49-F238E27FC236}">
              <a16:creationId xmlns:a16="http://schemas.microsoft.com/office/drawing/2014/main" id="{00000000-0008-0000-0600-000018C80C00}"/>
            </a:ext>
          </a:extLst>
        </xdr:cNvPr>
        <xdr:cNvSpPr>
          <a:spLocks noChangeShapeType="1"/>
        </xdr:cNvSpPr>
      </xdr:nvSpPr>
      <xdr:spPr bwMode="auto">
        <a:xfrm flipH="1">
          <a:off x="577500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14</xdr:row>
      <xdr:rowOff>76200</xdr:rowOff>
    </xdr:from>
    <xdr:to>
      <xdr:col>110</xdr:col>
      <xdr:colOff>123825</xdr:colOff>
      <xdr:row>15</xdr:row>
      <xdr:rowOff>142875</xdr:rowOff>
    </xdr:to>
    <xdr:sp macro="" textlink="">
      <xdr:nvSpPr>
        <xdr:cNvPr id="837657" name="Line 236">
          <a:extLst>
            <a:ext uri="{FF2B5EF4-FFF2-40B4-BE49-F238E27FC236}">
              <a16:creationId xmlns:a16="http://schemas.microsoft.com/office/drawing/2014/main" id="{00000000-0008-0000-0600-000019C80C00}"/>
            </a:ext>
          </a:extLst>
        </xdr:cNvPr>
        <xdr:cNvSpPr>
          <a:spLocks noChangeShapeType="1"/>
        </xdr:cNvSpPr>
      </xdr:nvSpPr>
      <xdr:spPr bwMode="auto">
        <a:xfrm>
          <a:off x="578739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14</xdr:row>
      <xdr:rowOff>76200</xdr:rowOff>
    </xdr:from>
    <xdr:to>
      <xdr:col>110</xdr:col>
      <xdr:colOff>123825</xdr:colOff>
      <xdr:row>14</xdr:row>
      <xdr:rowOff>76200</xdr:rowOff>
    </xdr:to>
    <xdr:sp macro="" textlink="">
      <xdr:nvSpPr>
        <xdr:cNvPr id="837658" name="Line 237">
          <a:extLst>
            <a:ext uri="{FF2B5EF4-FFF2-40B4-BE49-F238E27FC236}">
              <a16:creationId xmlns:a16="http://schemas.microsoft.com/office/drawing/2014/main" id="{00000000-0008-0000-0600-00001A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15</xdr:row>
      <xdr:rowOff>133350</xdr:rowOff>
    </xdr:from>
    <xdr:to>
      <xdr:col>110</xdr:col>
      <xdr:colOff>123825</xdr:colOff>
      <xdr:row>15</xdr:row>
      <xdr:rowOff>133350</xdr:rowOff>
    </xdr:to>
    <xdr:sp macro="" textlink="">
      <xdr:nvSpPr>
        <xdr:cNvPr id="837659" name="Line 238">
          <a:extLst>
            <a:ext uri="{FF2B5EF4-FFF2-40B4-BE49-F238E27FC236}">
              <a16:creationId xmlns:a16="http://schemas.microsoft.com/office/drawing/2014/main" id="{00000000-0008-0000-0600-00001BC80C00}"/>
            </a:ext>
          </a:extLst>
        </xdr:cNvPr>
        <xdr:cNvSpPr>
          <a:spLocks noChangeShapeType="1"/>
        </xdr:cNvSpPr>
      </xdr:nvSpPr>
      <xdr:spPr bwMode="auto">
        <a:xfrm flipH="1">
          <a:off x="577500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10</xdr:row>
      <xdr:rowOff>76200</xdr:rowOff>
    </xdr:from>
    <xdr:to>
      <xdr:col>110</xdr:col>
      <xdr:colOff>123825</xdr:colOff>
      <xdr:row>11</xdr:row>
      <xdr:rowOff>142875</xdr:rowOff>
    </xdr:to>
    <xdr:sp macro="" textlink="">
      <xdr:nvSpPr>
        <xdr:cNvPr id="837660" name="Line 240">
          <a:extLst>
            <a:ext uri="{FF2B5EF4-FFF2-40B4-BE49-F238E27FC236}">
              <a16:creationId xmlns:a16="http://schemas.microsoft.com/office/drawing/2014/main" id="{00000000-0008-0000-0600-00001CC80C00}"/>
            </a:ext>
          </a:extLst>
        </xdr:cNvPr>
        <xdr:cNvSpPr>
          <a:spLocks noChangeShapeType="1"/>
        </xdr:cNvSpPr>
      </xdr:nvSpPr>
      <xdr:spPr bwMode="auto">
        <a:xfrm>
          <a:off x="578739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10</xdr:row>
      <xdr:rowOff>76200</xdr:rowOff>
    </xdr:from>
    <xdr:to>
      <xdr:col>110</xdr:col>
      <xdr:colOff>123825</xdr:colOff>
      <xdr:row>10</xdr:row>
      <xdr:rowOff>76200</xdr:rowOff>
    </xdr:to>
    <xdr:sp macro="" textlink="">
      <xdr:nvSpPr>
        <xdr:cNvPr id="837661" name="Line 241">
          <a:extLst>
            <a:ext uri="{FF2B5EF4-FFF2-40B4-BE49-F238E27FC236}">
              <a16:creationId xmlns:a16="http://schemas.microsoft.com/office/drawing/2014/main" id="{00000000-0008-0000-0600-00001DC8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11</xdr:row>
      <xdr:rowOff>133350</xdr:rowOff>
    </xdr:from>
    <xdr:to>
      <xdr:col>110</xdr:col>
      <xdr:colOff>123825</xdr:colOff>
      <xdr:row>11</xdr:row>
      <xdr:rowOff>133350</xdr:rowOff>
    </xdr:to>
    <xdr:sp macro="" textlink="">
      <xdr:nvSpPr>
        <xdr:cNvPr id="837662" name="Line 242">
          <a:extLst>
            <a:ext uri="{FF2B5EF4-FFF2-40B4-BE49-F238E27FC236}">
              <a16:creationId xmlns:a16="http://schemas.microsoft.com/office/drawing/2014/main" id="{00000000-0008-0000-0600-00001EC80C00}"/>
            </a:ext>
          </a:extLst>
        </xdr:cNvPr>
        <xdr:cNvSpPr>
          <a:spLocks noChangeShapeType="1"/>
        </xdr:cNvSpPr>
      </xdr:nvSpPr>
      <xdr:spPr bwMode="auto">
        <a:xfrm flipH="1">
          <a:off x="577500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6</xdr:row>
      <xdr:rowOff>76200</xdr:rowOff>
    </xdr:from>
    <xdr:to>
      <xdr:col>121</xdr:col>
      <xdr:colOff>123825</xdr:colOff>
      <xdr:row>7</xdr:row>
      <xdr:rowOff>142875</xdr:rowOff>
    </xdr:to>
    <xdr:sp macro="" textlink="">
      <xdr:nvSpPr>
        <xdr:cNvPr id="837663" name="Line 216">
          <a:extLst>
            <a:ext uri="{FF2B5EF4-FFF2-40B4-BE49-F238E27FC236}">
              <a16:creationId xmlns:a16="http://schemas.microsoft.com/office/drawing/2014/main" id="{00000000-0008-0000-0600-00001FC80C00}"/>
            </a:ext>
          </a:extLst>
        </xdr:cNvPr>
        <xdr:cNvSpPr>
          <a:spLocks noChangeShapeType="1"/>
        </xdr:cNvSpPr>
      </xdr:nvSpPr>
      <xdr:spPr bwMode="auto">
        <a:xfrm>
          <a:off x="646842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6</xdr:row>
      <xdr:rowOff>76200</xdr:rowOff>
    </xdr:from>
    <xdr:to>
      <xdr:col>121</xdr:col>
      <xdr:colOff>123825</xdr:colOff>
      <xdr:row>6</xdr:row>
      <xdr:rowOff>76200</xdr:rowOff>
    </xdr:to>
    <xdr:sp macro="" textlink="">
      <xdr:nvSpPr>
        <xdr:cNvPr id="837664" name="Line 217">
          <a:extLst>
            <a:ext uri="{FF2B5EF4-FFF2-40B4-BE49-F238E27FC236}">
              <a16:creationId xmlns:a16="http://schemas.microsoft.com/office/drawing/2014/main" id="{00000000-0008-0000-0600-000020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7</xdr:row>
      <xdr:rowOff>133350</xdr:rowOff>
    </xdr:from>
    <xdr:to>
      <xdr:col>121</xdr:col>
      <xdr:colOff>123825</xdr:colOff>
      <xdr:row>7</xdr:row>
      <xdr:rowOff>133350</xdr:rowOff>
    </xdr:to>
    <xdr:sp macro="" textlink="">
      <xdr:nvSpPr>
        <xdr:cNvPr id="837665" name="Line 218">
          <a:extLst>
            <a:ext uri="{FF2B5EF4-FFF2-40B4-BE49-F238E27FC236}">
              <a16:creationId xmlns:a16="http://schemas.microsoft.com/office/drawing/2014/main" id="{00000000-0008-0000-0600-000021C80C00}"/>
            </a:ext>
          </a:extLst>
        </xdr:cNvPr>
        <xdr:cNvSpPr>
          <a:spLocks noChangeShapeType="1"/>
        </xdr:cNvSpPr>
      </xdr:nvSpPr>
      <xdr:spPr bwMode="auto">
        <a:xfrm flipH="1">
          <a:off x="645604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114300</xdr:colOff>
      <xdr:row>16</xdr:row>
      <xdr:rowOff>66675</xdr:rowOff>
    </xdr:from>
    <xdr:to>
      <xdr:col>121</xdr:col>
      <xdr:colOff>114300</xdr:colOff>
      <xdr:row>19</xdr:row>
      <xdr:rowOff>85725</xdr:rowOff>
    </xdr:to>
    <xdr:sp macro="" textlink="">
      <xdr:nvSpPr>
        <xdr:cNvPr id="837666" name="Line 219">
          <a:extLst>
            <a:ext uri="{FF2B5EF4-FFF2-40B4-BE49-F238E27FC236}">
              <a16:creationId xmlns:a16="http://schemas.microsoft.com/office/drawing/2014/main" id="{00000000-0008-0000-0600-000022C80C00}"/>
            </a:ext>
          </a:extLst>
        </xdr:cNvPr>
        <xdr:cNvSpPr>
          <a:spLocks noChangeShapeType="1"/>
        </xdr:cNvSpPr>
      </xdr:nvSpPr>
      <xdr:spPr bwMode="auto">
        <a:xfrm>
          <a:off x="646747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16</xdr:row>
      <xdr:rowOff>57150</xdr:rowOff>
    </xdr:from>
    <xdr:to>
      <xdr:col>121</xdr:col>
      <xdr:colOff>123825</xdr:colOff>
      <xdr:row>16</xdr:row>
      <xdr:rowOff>57150</xdr:rowOff>
    </xdr:to>
    <xdr:sp macro="" textlink="">
      <xdr:nvSpPr>
        <xdr:cNvPr id="837667" name="Line 220">
          <a:extLst>
            <a:ext uri="{FF2B5EF4-FFF2-40B4-BE49-F238E27FC236}">
              <a16:creationId xmlns:a16="http://schemas.microsoft.com/office/drawing/2014/main" id="{00000000-0008-0000-0600-000023C80C00}"/>
            </a:ext>
          </a:extLst>
        </xdr:cNvPr>
        <xdr:cNvSpPr>
          <a:spLocks noChangeShapeType="1"/>
        </xdr:cNvSpPr>
      </xdr:nvSpPr>
      <xdr:spPr bwMode="auto">
        <a:xfrm flipH="1">
          <a:off x="645604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9525</xdr:colOff>
      <xdr:row>19</xdr:row>
      <xdr:rowOff>95250</xdr:rowOff>
    </xdr:from>
    <xdr:to>
      <xdr:col>121</xdr:col>
      <xdr:colOff>114300</xdr:colOff>
      <xdr:row>19</xdr:row>
      <xdr:rowOff>95250</xdr:rowOff>
    </xdr:to>
    <xdr:sp macro="" textlink="">
      <xdr:nvSpPr>
        <xdr:cNvPr id="837668" name="Line 221">
          <a:extLst>
            <a:ext uri="{FF2B5EF4-FFF2-40B4-BE49-F238E27FC236}">
              <a16:creationId xmlns:a16="http://schemas.microsoft.com/office/drawing/2014/main" id="{00000000-0008-0000-0600-000024C80C00}"/>
            </a:ext>
          </a:extLst>
        </xdr:cNvPr>
        <xdr:cNvSpPr>
          <a:spLocks noChangeShapeType="1"/>
        </xdr:cNvSpPr>
      </xdr:nvSpPr>
      <xdr:spPr bwMode="auto">
        <a:xfrm flipH="1">
          <a:off x="645699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114300</xdr:colOff>
      <xdr:row>16</xdr:row>
      <xdr:rowOff>66675</xdr:rowOff>
    </xdr:from>
    <xdr:to>
      <xdr:col>121</xdr:col>
      <xdr:colOff>114300</xdr:colOff>
      <xdr:row>19</xdr:row>
      <xdr:rowOff>85725</xdr:rowOff>
    </xdr:to>
    <xdr:sp macro="" textlink="">
      <xdr:nvSpPr>
        <xdr:cNvPr id="837669" name="Line 224">
          <a:extLst>
            <a:ext uri="{FF2B5EF4-FFF2-40B4-BE49-F238E27FC236}">
              <a16:creationId xmlns:a16="http://schemas.microsoft.com/office/drawing/2014/main" id="{00000000-0008-0000-0600-000025C80C00}"/>
            </a:ext>
          </a:extLst>
        </xdr:cNvPr>
        <xdr:cNvSpPr>
          <a:spLocks noChangeShapeType="1"/>
        </xdr:cNvSpPr>
      </xdr:nvSpPr>
      <xdr:spPr bwMode="auto">
        <a:xfrm>
          <a:off x="646747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16</xdr:row>
      <xdr:rowOff>57150</xdr:rowOff>
    </xdr:from>
    <xdr:to>
      <xdr:col>121</xdr:col>
      <xdr:colOff>123825</xdr:colOff>
      <xdr:row>16</xdr:row>
      <xdr:rowOff>57150</xdr:rowOff>
    </xdr:to>
    <xdr:sp macro="" textlink="">
      <xdr:nvSpPr>
        <xdr:cNvPr id="837670" name="Line 225">
          <a:extLst>
            <a:ext uri="{FF2B5EF4-FFF2-40B4-BE49-F238E27FC236}">
              <a16:creationId xmlns:a16="http://schemas.microsoft.com/office/drawing/2014/main" id="{00000000-0008-0000-0600-000026C80C00}"/>
            </a:ext>
          </a:extLst>
        </xdr:cNvPr>
        <xdr:cNvSpPr>
          <a:spLocks noChangeShapeType="1"/>
        </xdr:cNvSpPr>
      </xdr:nvSpPr>
      <xdr:spPr bwMode="auto">
        <a:xfrm flipH="1">
          <a:off x="645604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9525</xdr:colOff>
      <xdr:row>19</xdr:row>
      <xdr:rowOff>95250</xdr:rowOff>
    </xdr:from>
    <xdr:to>
      <xdr:col>121</xdr:col>
      <xdr:colOff>114300</xdr:colOff>
      <xdr:row>19</xdr:row>
      <xdr:rowOff>95250</xdr:rowOff>
    </xdr:to>
    <xdr:sp macro="" textlink="">
      <xdr:nvSpPr>
        <xdr:cNvPr id="837671" name="Line 226">
          <a:extLst>
            <a:ext uri="{FF2B5EF4-FFF2-40B4-BE49-F238E27FC236}">
              <a16:creationId xmlns:a16="http://schemas.microsoft.com/office/drawing/2014/main" id="{00000000-0008-0000-0600-000027C80C00}"/>
            </a:ext>
          </a:extLst>
        </xdr:cNvPr>
        <xdr:cNvSpPr>
          <a:spLocks noChangeShapeType="1"/>
        </xdr:cNvSpPr>
      </xdr:nvSpPr>
      <xdr:spPr bwMode="auto">
        <a:xfrm flipH="1">
          <a:off x="645699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6</xdr:row>
      <xdr:rowOff>76200</xdr:rowOff>
    </xdr:from>
    <xdr:to>
      <xdr:col>121</xdr:col>
      <xdr:colOff>123825</xdr:colOff>
      <xdr:row>7</xdr:row>
      <xdr:rowOff>142875</xdr:rowOff>
    </xdr:to>
    <xdr:sp macro="" textlink="">
      <xdr:nvSpPr>
        <xdr:cNvPr id="837672" name="Line 227">
          <a:extLst>
            <a:ext uri="{FF2B5EF4-FFF2-40B4-BE49-F238E27FC236}">
              <a16:creationId xmlns:a16="http://schemas.microsoft.com/office/drawing/2014/main" id="{00000000-0008-0000-0600-000028C80C00}"/>
            </a:ext>
          </a:extLst>
        </xdr:cNvPr>
        <xdr:cNvSpPr>
          <a:spLocks noChangeShapeType="1"/>
        </xdr:cNvSpPr>
      </xdr:nvSpPr>
      <xdr:spPr bwMode="auto">
        <a:xfrm>
          <a:off x="646842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6</xdr:row>
      <xdr:rowOff>76200</xdr:rowOff>
    </xdr:from>
    <xdr:to>
      <xdr:col>121</xdr:col>
      <xdr:colOff>123825</xdr:colOff>
      <xdr:row>6</xdr:row>
      <xdr:rowOff>76200</xdr:rowOff>
    </xdr:to>
    <xdr:sp macro="" textlink="">
      <xdr:nvSpPr>
        <xdr:cNvPr id="837673" name="Line 228">
          <a:extLst>
            <a:ext uri="{FF2B5EF4-FFF2-40B4-BE49-F238E27FC236}">
              <a16:creationId xmlns:a16="http://schemas.microsoft.com/office/drawing/2014/main" id="{00000000-0008-0000-0600-000029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7</xdr:row>
      <xdr:rowOff>133350</xdr:rowOff>
    </xdr:from>
    <xdr:to>
      <xdr:col>121</xdr:col>
      <xdr:colOff>123825</xdr:colOff>
      <xdr:row>7</xdr:row>
      <xdr:rowOff>133350</xdr:rowOff>
    </xdr:to>
    <xdr:sp macro="" textlink="">
      <xdr:nvSpPr>
        <xdr:cNvPr id="837674" name="Line 229">
          <a:extLst>
            <a:ext uri="{FF2B5EF4-FFF2-40B4-BE49-F238E27FC236}">
              <a16:creationId xmlns:a16="http://schemas.microsoft.com/office/drawing/2014/main" id="{00000000-0008-0000-0600-00002AC80C00}"/>
            </a:ext>
          </a:extLst>
        </xdr:cNvPr>
        <xdr:cNvSpPr>
          <a:spLocks noChangeShapeType="1"/>
        </xdr:cNvSpPr>
      </xdr:nvSpPr>
      <xdr:spPr bwMode="auto">
        <a:xfrm flipH="1">
          <a:off x="645604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8</xdr:row>
      <xdr:rowOff>76200</xdr:rowOff>
    </xdr:from>
    <xdr:to>
      <xdr:col>121</xdr:col>
      <xdr:colOff>123825</xdr:colOff>
      <xdr:row>9</xdr:row>
      <xdr:rowOff>142875</xdr:rowOff>
    </xdr:to>
    <xdr:sp macro="" textlink="">
      <xdr:nvSpPr>
        <xdr:cNvPr id="837675" name="Line 230">
          <a:extLst>
            <a:ext uri="{FF2B5EF4-FFF2-40B4-BE49-F238E27FC236}">
              <a16:creationId xmlns:a16="http://schemas.microsoft.com/office/drawing/2014/main" id="{00000000-0008-0000-0600-00002BC80C00}"/>
            </a:ext>
          </a:extLst>
        </xdr:cNvPr>
        <xdr:cNvSpPr>
          <a:spLocks noChangeShapeType="1"/>
        </xdr:cNvSpPr>
      </xdr:nvSpPr>
      <xdr:spPr bwMode="auto">
        <a:xfrm>
          <a:off x="646842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8</xdr:row>
      <xdr:rowOff>76200</xdr:rowOff>
    </xdr:from>
    <xdr:to>
      <xdr:col>121</xdr:col>
      <xdr:colOff>123825</xdr:colOff>
      <xdr:row>8</xdr:row>
      <xdr:rowOff>76200</xdr:rowOff>
    </xdr:to>
    <xdr:sp macro="" textlink="">
      <xdr:nvSpPr>
        <xdr:cNvPr id="837676" name="Line 231">
          <a:extLst>
            <a:ext uri="{FF2B5EF4-FFF2-40B4-BE49-F238E27FC236}">
              <a16:creationId xmlns:a16="http://schemas.microsoft.com/office/drawing/2014/main" id="{00000000-0008-0000-0600-00002C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9</xdr:row>
      <xdr:rowOff>133350</xdr:rowOff>
    </xdr:from>
    <xdr:to>
      <xdr:col>121</xdr:col>
      <xdr:colOff>123825</xdr:colOff>
      <xdr:row>9</xdr:row>
      <xdr:rowOff>133350</xdr:rowOff>
    </xdr:to>
    <xdr:sp macro="" textlink="">
      <xdr:nvSpPr>
        <xdr:cNvPr id="837677" name="Line 232">
          <a:extLst>
            <a:ext uri="{FF2B5EF4-FFF2-40B4-BE49-F238E27FC236}">
              <a16:creationId xmlns:a16="http://schemas.microsoft.com/office/drawing/2014/main" id="{00000000-0008-0000-0600-00002DC80C00}"/>
            </a:ext>
          </a:extLst>
        </xdr:cNvPr>
        <xdr:cNvSpPr>
          <a:spLocks noChangeShapeType="1"/>
        </xdr:cNvSpPr>
      </xdr:nvSpPr>
      <xdr:spPr bwMode="auto">
        <a:xfrm flipH="1">
          <a:off x="645604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12</xdr:row>
      <xdr:rowOff>76200</xdr:rowOff>
    </xdr:from>
    <xdr:to>
      <xdr:col>121</xdr:col>
      <xdr:colOff>123825</xdr:colOff>
      <xdr:row>13</xdr:row>
      <xdr:rowOff>142875</xdr:rowOff>
    </xdr:to>
    <xdr:sp macro="" textlink="">
      <xdr:nvSpPr>
        <xdr:cNvPr id="837678" name="Line 233">
          <a:extLst>
            <a:ext uri="{FF2B5EF4-FFF2-40B4-BE49-F238E27FC236}">
              <a16:creationId xmlns:a16="http://schemas.microsoft.com/office/drawing/2014/main" id="{00000000-0008-0000-0600-00002EC80C00}"/>
            </a:ext>
          </a:extLst>
        </xdr:cNvPr>
        <xdr:cNvSpPr>
          <a:spLocks noChangeShapeType="1"/>
        </xdr:cNvSpPr>
      </xdr:nvSpPr>
      <xdr:spPr bwMode="auto">
        <a:xfrm>
          <a:off x="646842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12</xdr:row>
      <xdr:rowOff>76200</xdr:rowOff>
    </xdr:from>
    <xdr:to>
      <xdr:col>121</xdr:col>
      <xdr:colOff>123825</xdr:colOff>
      <xdr:row>12</xdr:row>
      <xdr:rowOff>76200</xdr:rowOff>
    </xdr:to>
    <xdr:sp macro="" textlink="">
      <xdr:nvSpPr>
        <xdr:cNvPr id="837679" name="Line 234">
          <a:extLst>
            <a:ext uri="{FF2B5EF4-FFF2-40B4-BE49-F238E27FC236}">
              <a16:creationId xmlns:a16="http://schemas.microsoft.com/office/drawing/2014/main" id="{00000000-0008-0000-0600-00002F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13</xdr:row>
      <xdr:rowOff>133350</xdr:rowOff>
    </xdr:from>
    <xdr:to>
      <xdr:col>121</xdr:col>
      <xdr:colOff>123825</xdr:colOff>
      <xdr:row>13</xdr:row>
      <xdr:rowOff>133350</xdr:rowOff>
    </xdr:to>
    <xdr:sp macro="" textlink="">
      <xdr:nvSpPr>
        <xdr:cNvPr id="837680" name="Line 235">
          <a:extLst>
            <a:ext uri="{FF2B5EF4-FFF2-40B4-BE49-F238E27FC236}">
              <a16:creationId xmlns:a16="http://schemas.microsoft.com/office/drawing/2014/main" id="{00000000-0008-0000-0600-000030C80C00}"/>
            </a:ext>
          </a:extLst>
        </xdr:cNvPr>
        <xdr:cNvSpPr>
          <a:spLocks noChangeShapeType="1"/>
        </xdr:cNvSpPr>
      </xdr:nvSpPr>
      <xdr:spPr bwMode="auto">
        <a:xfrm flipH="1">
          <a:off x="645604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14</xdr:row>
      <xdr:rowOff>76200</xdr:rowOff>
    </xdr:from>
    <xdr:to>
      <xdr:col>121</xdr:col>
      <xdr:colOff>123825</xdr:colOff>
      <xdr:row>15</xdr:row>
      <xdr:rowOff>142875</xdr:rowOff>
    </xdr:to>
    <xdr:sp macro="" textlink="">
      <xdr:nvSpPr>
        <xdr:cNvPr id="837681" name="Line 236">
          <a:extLst>
            <a:ext uri="{FF2B5EF4-FFF2-40B4-BE49-F238E27FC236}">
              <a16:creationId xmlns:a16="http://schemas.microsoft.com/office/drawing/2014/main" id="{00000000-0008-0000-0600-000031C80C00}"/>
            </a:ext>
          </a:extLst>
        </xdr:cNvPr>
        <xdr:cNvSpPr>
          <a:spLocks noChangeShapeType="1"/>
        </xdr:cNvSpPr>
      </xdr:nvSpPr>
      <xdr:spPr bwMode="auto">
        <a:xfrm>
          <a:off x="646842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14</xdr:row>
      <xdr:rowOff>76200</xdr:rowOff>
    </xdr:from>
    <xdr:to>
      <xdr:col>121</xdr:col>
      <xdr:colOff>123825</xdr:colOff>
      <xdr:row>14</xdr:row>
      <xdr:rowOff>76200</xdr:rowOff>
    </xdr:to>
    <xdr:sp macro="" textlink="">
      <xdr:nvSpPr>
        <xdr:cNvPr id="837682" name="Line 237">
          <a:extLst>
            <a:ext uri="{FF2B5EF4-FFF2-40B4-BE49-F238E27FC236}">
              <a16:creationId xmlns:a16="http://schemas.microsoft.com/office/drawing/2014/main" id="{00000000-0008-0000-0600-000032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15</xdr:row>
      <xdr:rowOff>133350</xdr:rowOff>
    </xdr:from>
    <xdr:to>
      <xdr:col>121</xdr:col>
      <xdr:colOff>123825</xdr:colOff>
      <xdr:row>15</xdr:row>
      <xdr:rowOff>133350</xdr:rowOff>
    </xdr:to>
    <xdr:sp macro="" textlink="">
      <xdr:nvSpPr>
        <xdr:cNvPr id="837683" name="Line 238">
          <a:extLst>
            <a:ext uri="{FF2B5EF4-FFF2-40B4-BE49-F238E27FC236}">
              <a16:creationId xmlns:a16="http://schemas.microsoft.com/office/drawing/2014/main" id="{00000000-0008-0000-0600-000033C80C00}"/>
            </a:ext>
          </a:extLst>
        </xdr:cNvPr>
        <xdr:cNvSpPr>
          <a:spLocks noChangeShapeType="1"/>
        </xdr:cNvSpPr>
      </xdr:nvSpPr>
      <xdr:spPr bwMode="auto">
        <a:xfrm flipH="1">
          <a:off x="645604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10</xdr:row>
      <xdr:rowOff>76200</xdr:rowOff>
    </xdr:from>
    <xdr:to>
      <xdr:col>121</xdr:col>
      <xdr:colOff>123825</xdr:colOff>
      <xdr:row>11</xdr:row>
      <xdr:rowOff>142875</xdr:rowOff>
    </xdr:to>
    <xdr:sp macro="" textlink="">
      <xdr:nvSpPr>
        <xdr:cNvPr id="837684" name="Line 240">
          <a:extLst>
            <a:ext uri="{FF2B5EF4-FFF2-40B4-BE49-F238E27FC236}">
              <a16:creationId xmlns:a16="http://schemas.microsoft.com/office/drawing/2014/main" id="{00000000-0008-0000-0600-000034C80C00}"/>
            </a:ext>
          </a:extLst>
        </xdr:cNvPr>
        <xdr:cNvSpPr>
          <a:spLocks noChangeShapeType="1"/>
        </xdr:cNvSpPr>
      </xdr:nvSpPr>
      <xdr:spPr bwMode="auto">
        <a:xfrm>
          <a:off x="646842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10</xdr:row>
      <xdr:rowOff>76200</xdr:rowOff>
    </xdr:from>
    <xdr:to>
      <xdr:col>121</xdr:col>
      <xdr:colOff>123825</xdr:colOff>
      <xdr:row>10</xdr:row>
      <xdr:rowOff>76200</xdr:rowOff>
    </xdr:to>
    <xdr:sp macro="" textlink="">
      <xdr:nvSpPr>
        <xdr:cNvPr id="837685" name="Line 241">
          <a:extLst>
            <a:ext uri="{FF2B5EF4-FFF2-40B4-BE49-F238E27FC236}">
              <a16:creationId xmlns:a16="http://schemas.microsoft.com/office/drawing/2014/main" id="{00000000-0008-0000-0600-000035C80C00}"/>
            </a:ext>
          </a:extLst>
        </xdr:cNvPr>
        <xdr:cNvSpPr>
          <a:spLocks noChangeShapeType="1"/>
        </xdr:cNvSpPr>
      </xdr:nvSpPr>
      <xdr:spPr bwMode="auto">
        <a:xfrm flipH="1" flipV="1">
          <a:off x="645604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11</xdr:row>
      <xdr:rowOff>133350</xdr:rowOff>
    </xdr:from>
    <xdr:to>
      <xdr:col>121</xdr:col>
      <xdr:colOff>123825</xdr:colOff>
      <xdr:row>11</xdr:row>
      <xdr:rowOff>133350</xdr:rowOff>
    </xdr:to>
    <xdr:sp macro="" textlink="">
      <xdr:nvSpPr>
        <xdr:cNvPr id="837686" name="Line 242">
          <a:extLst>
            <a:ext uri="{FF2B5EF4-FFF2-40B4-BE49-F238E27FC236}">
              <a16:creationId xmlns:a16="http://schemas.microsoft.com/office/drawing/2014/main" id="{00000000-0008-0000-0600-000036C80C00}"/>
            </a:ext>
          </a:extLst>
        </xdr:cNvPr>
        <xdr:cNvSpPr>
          <a:spLocks noChangeShapeType="1"/>
        </xdr:cNvSpPr>
      </xdr:nvSpPr>
      <xdr:spPr bwMode="auto">
        <a:xfrm flipH="1">
          <a:off x="645604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7687" name="Line 216">
          <a:extLst>
            <a:ext uri="{FF2B5EF4-FFF2-40B4-BE49-F238E27FC236}">
              <a16:creationId xmlns:a16="http://schemas.microsoft.com/office/drawing/2014/main" id="{00000000-0008-0000-0600-000037C80C00}"/>
            </a:ext>
          </a:extLst>
        </xdr:cNvPr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7688" name="Line 217">
          <a:extLst>
            <a:ext uri="{FF2B5EF4-FFF2-40B4-BE49-F238E27FC236}">
              <a16:creationId xmlns:a16="http://schemas.microsoft.com/office/drawing/2014/main" id="{00000000-0008-0000-0600-000038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7689" name="Line 218">
          <a:extLst>
            <a:ext uri="{FF2B5EF4-FFF2-40B4-BE49-F238E27FC236}">
              <a16:creationId xmlns:a16="http://schemas.microsoft.com/office/drawing/2014/main" id="{00000000-0008-0000-0600-000039C80C00}"/>
            </a:ext>
          </a:extLst>
        </xdr:cNvPr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7690" name="Line 219">
          <a:extLst>
            <a:ext uri="{FF2B5EF4-FFF2-40B4-BE49-F238E27FC236}">
              <a16:creationId xmlns:a16="http://schemas.microsoft.com/office/drawing/2014/main" id="{00000000-0008-0000-0600-00003AC80C00}"/>
            </a:ext>
          </a:extLst>
        </xdr:cNvPr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7691" name="Line 220">
          <a:extLst>
            <a:ext uri="{FF2B5EF4-FFF2-40B4-BE49-F238E27FC236}">
              <a16:creationId xmlns:a16="http://schemas.microsoft.com/office/drawing/2014/main" id="{00000000-0008-0000-0600-00003BC80C00}"/>
            </a:ext>
          </a:extLst>
        </xdr:cNvPr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7692" name="Line 221">
          <a:extLst>
            <a:ext uri="{FF2B5EF4-FFF2-40B4-BE49-F238E27FC236}">
              <a16:creationId xmlns:a16="http://schemas.microsoft.com/office/drawing/2014/main" id="{00000000-0008-0000-0600-00003CC80C00}"/>
            </a:ext>
          </a:extLst>
        </xdr:cNvPr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7693" name="Line 224">
          <a:extLst>
            <a:ext uri="{FF2B5EF4-FFF2-40B4-BE49-F238E27FC236}">
              <a16:creationId xmlns:a16="http://schemas.microsoft.com/office/drawing/2014/main" id="{00000000-0008-0000-0600-00003DC80C00}"/>
            </a:ext>
          </a:extLst>
        </xdr:cNvPr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7694" name="Line 225">
          <a:extLst>
            <a:ext uri="{FF2B5EF4-FFF2-40B4-BE49-F238E27FC236}">
              <a16:creationId xmlns:a16="http://schemas.microsoft.com/office/drawing/2014/main" id="{00000000-0008-0000-0600-00003EC80C00}"/>
            </a:ext>
          </a:extLst>
        </xdr:cNvPr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7695" name="Line 226">
          <a:extLst>
            <a:ext uri="{FF2B5EF4-FFF2-40B4-BE49-F238E27FC236}">
              <a16:creationId xmlns:a16="http://schemas.microsoft.com/office/drawing/2014/main" id="{00000000-0008-0000-0600-00003FC80C00}"/>
            </a:ext>
          </a:extLst>
        </xdr:cNvPr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7696" name="Line 227">
          <a:extLst>
            <a:ext uri="{FF2B5EF4-FFF2-40B4-BE49-F238E27FC236}">
              <a16:creationId xmlns:a16="http://schemas.microsoft.com/office/drawing/2014/main" id="{00000000-0008-0000-0600-000040C80C00}"/>
            </a:ext>
          </a:extLst>
        </xdr:cNvPr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7697" name="Line 228">
          <a:extLst>
            <a:ext uri="{FF2B5EF4-FFF2-40B4-BE49-F238E27FC236}">
              <a16:creationId xmlns:a16="http://schemas.microsoft.com/office/drawing/2014/main" id="{00000000-0008-0000-0600-000041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7698" name="Line 229">
          <a:extLst>
            <a:ext uri="{FF2B5EF4-FFF2-40B4-BE49-F238E27FC236}">
              <a16:creationId xmlns:a16="http://schemas.microsoft.com/office/drawing/2014/main" id="{00000000-0008-0000-0600-000042C80C00}"/>
            </a:ext>
          </a:extLst>
        </xdr:cNvPr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8</xdr:row>
      <xdr:rowOff>76200</xdr:rowOff>
    </xdr:from>
    <xdr:to>
      <xdr:col>116</xdr:col>
      <xdr:colOff>123825</xdr:colOff>
      <xdr:row>9</xdr:row>
      <xdr:rowOff>142875</xdr:rowOff>
    </xdr:to>
    <xdr:sp macro="" textlink="">
      <xdr:nvSpPr>
        <xdr:cNvPr id="837699" name="Line 230">
          <a:extLst>
            <a:ext uri="{FF2B5EF4-FFF2-40B4-BE49-F238E27FC236}">
              <a16:creationId xmlns:a16="http://schemas.microsoft.com/office/drawing/2014/main" id="{00000000-0008-0000-0600-000043C80C00}"/>
            </a:ext>
          </a:extLst>
        </xdr:cNvPr>
        <xdr:cNvSpPr>
          <a:spLocks noChangeShapeType="1"/>
        </xdr:cNvSpPr>
      </xdr:nvSpPr>
      <xdr:spPr bwMode="auto">
        <a:xfrm>
          <a:off x="612648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8</xdr:row>
      <xdr:rowOff>76200</xdr:rowOff>
    </xdr:from>
    <xdr:to>
      <xdr:col>116</xdr:col>
      <xdr:colOff>123825</xdr:colOff>
      <xdr:row>8</xdr:row>
      <xdr:rowOff>76200</xdr:rowOff>
    </xdr:to>
    <xdr:sp macro="" textlink="">
      <xdr:nvSpPr>
        <xdr:cNvPr id="837700" name="Line 231">
          <a:extLst>
            <a:ext uri="{FF2B5EF4-FFF2-40B4-BE49-F238E27FC236}">
              <a16:creationId xmlns:a16="http://schemas.microsoft.com/office/drawing/2014/main" id="{00000000-0008-0000-0600-000044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9</xdr:row>
      <xdr:rowOff>133350</xdr:rowOff>
    </xdr:from>
    <xdr:to>
      <xdr:col>116</xdr:col>
      <xdr:colOff>123825</xdr:colOff>
      <xdr:row>9</xdr:row>
      <xdr:rowOff>133350</xdr:rowOff>
    </xdr:to>
    <xdr:sp macro="" textlink="">
      <xdr:nvSpPr>
        <xdr:cNvPr id="837701" name="Line 232">
          <a:extLst>
            <a:ext uri="{FF2B5EF4-FFF2-40B4-BE49-F238E27FC236}">
              <a16:creationId xmlns:a16="http://schemas.microsoft.com/office/drawing/2014/main" id="{00000000-0008-0000-0600-000045C80C00}"/>
            </a:ext>
          </a:extLst>
        </xdr:cNvPr>
        <xdr:cNvSpPr>
          <a:spLocks noChangeShapeType="1"/>
        </xdr:cNvSpPr>
      </xdr:nvSpPr>
      <xdr:spPr bwMode="auto">
        <a:xfrm flipH="1">
          <a:off x="611409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12</xdr:row>
      <xdr:rowOff>76200</xdr:rowOff>
    </xdr:from>
    <xdr:to>
      <xdr:col>116</xdr:col>
      <xdr:colOff>123825</xdr:colOff>
      <xdr:row>13</xdr:row>
      <xdr:rowOff>142875</xdr:rowOff>
    </xdr:to>
    <xdr:sp macro="" textlink="">
      <xdr:nvSpPr>
        <xdr:cNvPr id="837702" name="Line 233">
          <a:extLst>
            <a:ext uri="{FF2B5EF4-FFF2-40B4-BE49-F238E27FC236}">
              <a16:creationId xmlns:a16="http://schemas.microsoft.com/office/drawing/2014/main" id="{00000000-0008-0000-0600-000046C80C00}"/>
            </a:ext>
          </a:extLst>
        </xdr:cNvPr>
        <xdr:cNvSpPr>
          <a:spLocks noChangeShapeType="1"/>
        </xdr:cNvSpPr>
      </xdr:nvSpPr>
      <xdr:spPr bwMode="auto">
        <a:xfrm>
          <a:off x="612648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12</xdr:row>
      <xdr:rowOff>76200</xdr:rowOff>
    </xdr:from>
    <xdr:to>
      <xdr:col>116</xdr:col>
      <xdr:colOff>123825</xdr:colOff>
      <xdr:row>12</xdr:row>
      <xdr:rowOff>76200</xdr:rowOff>
    </xdr:to>
    <xdr:sp macro="" textlink="">
      <xdr:nvSpPr>
        <xdr:cNvPr id="837703" name="Line 234">
          <a:extLst>
            <a:ext uri="{FF2B5EF4-FFF2-40B4-BE49-F238E27FC236}">
              <a16:creationId xmlns:a16="http://schemas.microsoft.com/office/drawing/2014/main" id="{00000000-0008-0000-0600-000047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13</xdr:row>
      <xdr:rowOff>133350</xdr:rowOff>
    </xdr:from>
    <xdr:to>
      <xdr:col>116</xdr:col>
      <xdr:colOff>123825</xdr:colOff>
      <xdr:row>13</xdr:row>
      <xdr:rowOff>133350</xdr:rowOff>
    </xdr:to>
    <xdr:sp macro="" textlink="">
      <xdr:nvSpPr>
        <xdr:cNvPr id="837704" name="Line 235">
          <a:extLst>
            <a:ext uri="{FF2B5EF4-FFF2-40B4-BE49-F238E27FC236}">
              <a16:creationId xmlns:a16="http://schemas.microsoft.com/office/drawing/2014/main" id="{00000000-0008-0000-0600-000048C80C00}"/>
            </a:ext>
          </a:extLst>
        </xdr:cNvPr>
        <xdr:cNvSpPr>
          <a:spLocks noChangeShapeType="1"/>
        </xdr:cNvSpPr>
      </xdr:nvSpPr>
      <xdr:spPr bwMode="auto">
        <a:xfrm flipH="1">
          <a:off x="611409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14</xdr:row>
      <xdr:rowOff>76200</xdr:rowOff>
    </xdr:from>
    <xdr:to>
      <xdr:col>116</xdr:col>
      <xdr:colOff>123825</xdr:colOff>
      <xdr:row>15</xdr:row>
      <xdr:rowOff>142875</xdr:rowOff>
    </xdr:to>
    <xdr:sp macro="" textlink="">
      <xdr:nvSpPr>
        <xdr:cNvPr id="837705" name="Line 236">
          <a:extLst>
            <a:ext uri="{FF2B5EF4-FFF2-40B4-BE49-F238E27FC236}">
              <a16:creationId xmlns:a16="http://schemas.microsoft.com/office/drawing/2014/main" id="{00000000-0008-0000-0600-000049C80C00}"/>
            </a:ext>
          </a:extLst>
        </xdr:cNvPr>
        <xdr:cNvSpPr>
          <a:spLocks noChangeShapeType="1"/>
        </xdr:cNvSpPr>
      </xdr:nvSpPr>
      <xdr:spPr bwMode="auto">
        <a:xfrm>
          <a:off x="612648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14</xdr:row>
      <xdr:rowOff>76200</xdr:rowOff>
    </xdr:from>
    <xdr:to>
      <xdr:col>116</xdr:col>
      <xdr:colOff>123825</xdr:colOff>
      <xdr:row>14</xdr:row>
      <xdr:rowOff>76200</xdr:rowOff>
    </xdr:to>
    <xdr:sp macro="" textlink="">
      <xdr:nvSpPr>
        <xdr:cNvPr id="837706" name="Line 237">
          <a:extLst>
            <a:ext uri="{FF2B5EF4-FFF2-40B4-BE49-F238E27FC236}">
              <a16:creationId xmlns:a16="http://schemas.microsoft.com/office/drawing/2014/main" id="{00000000-0008-0000-0600-00004A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15</xdr:row>
      <xdr:rowOff>133350</xdr:rowOff>
    </xdr:from>
    <xdr:to>
      <xdr:col>116</xdr:col>
      <xdr:colOff>123825</xdr:colOff>
      <xdr:row>15</xdr:row>
      <xdr:rowOff>133350</xdr:rowOff>
    </xdr:to>
    <xdr:sp macro="" textlink="">
      <xdr:nvSpPr>
        <xdr:cNvPr id="837707" name="Line 238">
          <a:extLst>
            <a:ext uri="{FF2B5EF4-FFF2-40B4-BE49-F238E27FC236}">
              <a16:creationId xmlns:a16="http://schemas.microsoft.com/office/drawing/2014/main" id="{00000000-0008-0000-0600-00004BC80C00}"/>
            </a:ext>
          </a:extLst>
        </xdr:cNvPr>
        <xdr:cNvSpPr>
          <a:spLocks noChangeShapeType="1"/>
        </xdr:cNvSpPr>
      </xdr:nvSpPr>
      <xdr:spPr bwMode="auto">
        <a:xfrm flipH="1">
          <a:off x="611409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10</xdr:row>
      <xdr:rowOff>76200</xdr:rowOff>
    </xdr:from>
    <xdr:to>
      <xdr:col>116</xdr:col>
      <xdr:colOff>123825</xdr:colOff>
      <xdr:row>11</xdr:row>
      <xdr:rowOff>142875</xdr:rowOff>
    </xdr:to>
    <xdr:sp macro="" textlink="">
      <xdr:nvSpPr>
        <xdr:cNvPr id="837708" name="Line 240">
          <a:extLst>
            <a:ext uri="{FF2B5EF4-FFF2-40B4-BE49-F238E27FC236}">
              <a16:creationId xmlns:a16="http://schemas.microsoft.com/office/drawing/2014/main" id="{00000000-0008-0000-0600-00004CC80C00}"/>
            </a:ext>
          </a:extLst>
        </xdr:cNvPr>
        <xdr:cNvSpPr>
          <a:spLocks noChangeShapeType="1"/>
        </xdr:cNvSpPr>
      </xdr:nvSpPr>
      <xdr:spPr bwMode="auto">
        <a:xfrm>
          <a:off x="612648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10</xdr:row>
      <xdr:rowOff>76200</xdr:rowOff>
    </xdr:from>
    <xdr:to>
      <xdr:col>116</xdr:col>
      <xdr:colOff>123825</xdr:colOff>
      <xdr:row>10</xdr:row>
      <xdr:rowOff>76200</xdr:rowOff>
    </xdr:to>
    <xdr:sp macro="" textlink="">
      <xdr:nvSpPr>
        <xdr:cNvPr id="837709" name="Line 241">
          <a:extLst>
            <a:ext uri="{FF2B5EF4-FFF2-40B4-BE49-F238E27FC236}">
              <a16:creationId xmlns:a16="http://schemas.microsoft.com/office/drawing/2014/main" id="{00000000-0008-0000-0600-00004DC8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11</xdr:row>
      <xdr:rowOff>133350</xdr:rowOff>
    </xdr:from>
    <xdr:to>
      <xdr:col>116</xdr:col>
      <xdr:colOff>123825</xdr:colOff>
      <xdr:row>11</xdr:row>
      <xdr:rowOff>133350</xdr:rowOff>
    </xdr:to>
    <xdr:sp macro="" textlink="">
      <xdr:nvSpPr>
        <xdr:cNvPr id="837710" name="Line 242">
          <a:extLst>
            <a:ext uri="{FF2B5EF4-FFF2-40B4-BE49-F238E27FC236}">
              <a16:creationId xmlns:a16="http://schemas.microsoft.com/office/drawing/2014/main" id="{00000000-0008-0000-0600-00004EC80C00}"/>
            </a:ext>
          </a:extLst>
        </xdr:cNvPr>
        <xdr:cNvSpPr>
          <a:spLocks noChangeShapeType="1"/>
        </xdr:cNvSpPr>
      </xdr:nvSpPr>
      <xdr:spPr bwMode="auto">
        <a:xfrm flipH="1">
          <a:off x="611409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</xdr:row>
      <xdr:rowOff>66675</xdr:rowOff>
    </xdr:from>
    <xdr:to>
      <xdr:col>11</xdr:col>
      <xdr:colOff>114300</xdr:colOff>
      <xdr:row>19</xdr:row>
      <xdr:rowOff>85725</xdr:rowOff>
    </xdr:to>
    <xdr:sp macro="" textlink="">
      <xdr:nvSpPr>
        <xdr:cNvPr id="837711" name="Line 15">
          <a:extLst>
            <a:ext uri="{FF2B5EF4-FFF2-40B4-BE49-F238E27FC236}">
              <a16:creationId xmlns:a16="http://schemas.microsoft.com/office/drawing/2014/main" id="{00000000-0008-0000-0600-00004FC80C00}"/>
            </a:ext>
          </a:extLst>
        </xdr:cNvPr>
        <xdr:cNvSpPr>
          <a:spLocks noChangeShapeType="1"/>
        </xdr:cNvSpPr>
      </xdr:nvSpPr>
      <xdr:spPr bwMode="auto">
        <a:xfrm>
          <a:off x="54006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57150</xdr:rowOff>
    </xdr:from>
    <xdr:to>
      <xdr:col>11</xdr:col>
      <xdr:colOff>123825</xdr:colOff>
      <xdr:row>16</xdr:row>
      <xdr:rowOff>57150</xdr:rowOff>
    </xdr:to>
    <xdr:sp macro="" textlink="">
      <xdr:nvSpPr>
        <xdr:cNvPr id="837712" name="Line 16">
          <a:extLst>
            <a:ext uri="{FF2B5EF4-FFF2-40B4-BE49-F238E27FC236}">
              <a16:creationId xmlns:a16="http://schemas.microsoft.com/office/drawing/2014/main" id="{00000000-0008-0000-0600-000050C80C00}"/>
            </a:ext>
          </a:extLst>
        </xdr:cNvPr>
        <xdr:cNvSpPr>
          <a:spLocks noChangeShapeType="1"/>
        </xdr:cNvSpPr>
      </xdr:nvSpPr>
      <xdr:spPr bwMode="auto">
        <a:xfrm flipH="1">
          <a:off x="52863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114300</xdr:colOff>
      <xdr:row>19</xdr:row>
      <xdr:rowOff>95250</xdr:rowOff>
    </xdr:to>
    <xdr:sp macro="" textlink="">
      <xdr:nvSpPr>
        <xdr:cNvPr id="837713" name="Line 17">
          <a:extLst>
            <a:ext uri="{FF2B5EF4-FFF2-40B4-BE49-F238E27FC236}">
              <a16:creationId xmlns:a16="http://schemas.microsoft.com/office/drawing/2014/main" id="{00000000-0008-0000-0600-000051C80C00}"/>
            </a:ext>
          </a:extLst>
        </xdr:cNvPr>
        <xdr:cNvSpPr>
          <a:spLocks noChangeShapeType="1"/>
        </xdr:cNvSpPr>
      </xdr:nvSpPr>
      <xdr:spPr bwMode="auto">
        <a:xfrm flipH="1">
          <a:off x="52959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6</xdr:row>
      <xdr:rowOff>76200</xdr:rowOff>
    </xdr:from>
    <xdr:to>
      <xdr:col>11</xdr:col>
      <xdr:colOff>123825</xdr:colOff>
      <xdr:row>7</xdr:row>
      <xdr:rowOff>142875</xdr:rowOff>
    </xdr:to>
    <xdr:sp macro="" textlink="">
      <xdr:nvSpPr>
        <xdr:cNvPr id="837714" name="Line 18">
          <a:extLst>
            <a:ext uri="{FF2B5EF4-FFF2-40B4-BE49-F238E27FC236}">
              <a16:creationId xmlns:a16="http://schemas.microsoft.com/office/drawing/2014/main" id="{00000000-0008-0000-0600-000052C80C00}"/>
            </a:ext>
          </a:extLst>
        </xdr:cNvPr>
        <xdr:cNvSpPr>
          <a:spLocks noChangeShapeType="1"/>
        </xdr:cNvSpPr>
      </xdr:nvSpPr>
      <xdr:spPr bwMode="auto">
        <a:xfrm>
          <a:off x="54102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123825</xdr:colOff>
      <xdr:row>6</xdr:row>
      <xdr:rowOff>76200</xdr:rowOff>
    </xdr:to>
    <xdr:sp macro="" textlink="">
      <xdr:nvSpPr>
        <xdr:cNvPr id="837715" name="Line 19">
          <a:extLst>
            <a:ext uri="{FF2B5EF4-FFF2-40B4-BE49-F238E27FC236}">
              <a16:creationId xmlns:a16="http://schemas.microsoft.com/office/drawing/2014/main" id="{00000000-0008-0000-0600-000053C8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123825</xdr:colOff>
      <xdr:row>7</xdr:row>
      <xdr:rowOff>133350</xdr:rowOff>
    </xdr:to>
    <xdr:sp macro="" textlink="">
      <xdr:nvSpPr>
        <xdr:cNvPr id="837716" name="Line 20">
          <a:extLst>
            <a:ext uri="{FF2B5EF4-FFF2-40B4-BE49-F238E27FC236}">
              <a16:creationId xmlns:a16="http://schemas.microsoft.com/office/drawing/2014/main" id="{00000000-0008-0000-0600-000054C80C00}"/>
            </a:ext>
          </a:extLst>
        </xdr:cNvPr>
        <xdr:cNvSpPr>
          <a:spLocks noChangeShapeType="1"/>
        </xdr:cNvSpPr>
      </xdr:nvSpPr>
      <xdr:spPr bwMode="auto">
        <a:xfrm flipH="1">
          <a:off x="52863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717" name="Line 21">
          <a:extLst>
            <a:ext uri="{FF2B5EF4-FFF2-40B4-BE49-F238E27FC236}">
              <a16:creationId xmlns:a16="http://schemas.microsoft.com/office/drawing/2014/main" id="{00000000-0008-0000-0600-000055C80C00}"/>
            </a:ext>
          </a:extLst>
        </xdr:cNvPr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718" name="Line 22">
          <a:extLst>
            <a:ext uri="{FF2B5EF4-FFF2-40B4-BE49-F238E27FC236}">
              <a16:creationId xmlns:a16="http://schemas.microsoft.com/office/drawing/2014/main" id="{00000000-0008-0000-0600-000056C8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719" name="Line 23">
          <a:extLst>
            <a:ext uri="{FF2B5EF4-FFF2-40B4-BE49-F238E27FC236}">
              <a16:creationId xmlns:a16="http://schemas.microsoft.com/office/drawing/2014/main" id="{00000000-0008-0000-0600-000057C80C00}"/>
            </a:ext>
          </a:extLst>
        </xdr:cNvPr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720" name="Line 24">
          <a:extLst>
            <a:ext uri="{FF2B5EF4-FFF2-40B4-BE49-F238E27FC236}">
              <a16:creationId xmlns:a16="http://schemas.microsoft.com/office/drawing/2014/main" id="{00000000-0008-0000-0600-000058C80C00}"/>
            </a:ext>
          </a:extLst>
        </xdr:cNvPr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721" name="Line 25">
          <a:extLst>
            <a:ext uri="{FF2B5EF4-FFF2-40B4-BE49-F238E27FC236}">
              <a16:creationId xmlns:a16="http://schemas.microsoft.com/office/drawing/2014/main" id="{00000000-0008-0000-0600-000059C80C00}"/>
            </a:ext>
          </a:extLst>
        </xdr:cNvPr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722" name="Line 26">
          <a:extLst>
            <a:ext uri="{FF2B5EF4-FFF2-40B4-BE49-F238E27FC236}">
              <a16:creationId xmlns:a16="http://schemas.microsoft.com/office/drawing/2014/main" id="{00000000-0008-0000-0600-00005AC80C00}"/>
            </a:ext>
          </a:extLst>
        </xdr:cNvPr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16</xdr:row>
      <xdr:rowOff>66675</xdr:rowOff>
    </xdr:from>
    <xdr:to>
      <xdr:col>4</xdr:col>
      <xdr:colOff>114300</xdr:colOff>
      <xdr:row>19</xdr:row>
      <xdr:rowOff>85725</xdr:rowOff>
    </xdr:to>
    <xdr:sp macro="" textlink="">
      <xdr:nvSpPr>
        <xdr:cNvPr id="837723" name="Line 27">
          <a:extLst>
            <a:ext uri="{FF2B5EF4-FFF2-40B4-BE49-F238E27FC236}">
              <a16:creationId xmlns:a16="http://schemas.microsoft.com/office/drawing/2014/main" id="{00000000-0008-0000-0600-00005BC80C00}"/>
            </a:ext>
          </a:extLst>
        </xdr:cNvPr>
        <xdr:cNvSpPr>
          <a:spLocks noChangeShapeType="1"/>
        </xdr:cNvSpPr>
      </xdr:nvSpPr>
      <xdr:spPr bwMode="auto">
        <a:xfrm>
          <a:off x="26003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123825</xdr:colOff>
      <xdr:row>16</xdr:row>
      <xdr:rowOff>57150</xdr:rowOff>
    </xdr:to>
    <xdr:sp macro="" textlink="">
      <xdr:nvSpPr>
        <xdr:cNvPr id="837724" name="Line 28">
          <a:extLst>
            <a:ext uri="{FF2B5EF4-FFF2-40B4-BE49-F238E27FC236}">
              <a16:creationId xmlns:a16="http://schemas.microsoft.com/office/drawing/2014/main" id="{00000000-0008-0000-0600-00005CC80C00}"/>
            </a:ext>
          </a:extLst>
        </xdr:cNvPr>
        <xdr:cNvSpPr>
          <a:spLocks noChangeShapeType="1"/>
        </xdr:cNvSpPr>
      </xdr:nvSpPr>
      <xdr:spPr bwMode="auto">
        <a:xfrm flipH="1">
          <a:off x="24860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95250</xdr:rowOff>
    </xdr:from>
    <xdr:to>
      <xdr:col>4</xdr:col>
      <xdr:colOff>114300</xdr:colOff>
      <xdr:row>19</xdr:row>
      <xdr:rowOff>95250</xdr:rowOff>
    </xdr:to>
    <xdr:sp macro="" textlink="">
      <xdr:nvSpPr>
        <xdr:cNvPr id="837725" name="Line 29">
          <a:extLst>
            <a:ext uri="{FF2B5EF4-FFF2-40B4-BE49-F238E27FC236}">
              <a16:creationId xmlns:a16="http://schemas.microsoft.com/office/drawing/2014/main" id="{00000000-0008-0000-0600-00005DC80C00}"/>
            </a:ext>
          </a:extLst>
        </xdr:cNvPr>
        <xdr:cNvSpPr>
          <a:spLocks noChangeShapeType="1"/>
        </xdr:cNvSpPr>
      </xdr:nvSpPr>
      <xdr:spPr bwMode="auto">
        <a:xfrm flipH="1">
          <a:off x="24955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6</xdr:row>
      <xdr:rowOff>76200</xdr:rowOff>
    </xdr:from>
    <xdr:to>
      <xdr:col>4</xdr:col>
      <xdr:colOff>123825</xdr:colOff>
      <xdr:row>7</xdr:row>
      <xdr:rowOff>142875</xdr:rowOff>
    </xdr:to>
    <xdr:sp macro="" textlink="">
      <xdr:nvSpPr>
        <xdr:cNvPr id="837726" name="Line 30">
          <a:extLst>
            <a:ext uri="{FF2B5EF4-FFF2-40B4-BE49-F238E27FC236}">
              <a16:creationId xmlns:a16="http://schemas.microsoft.com/office/drawing/2014/main" id="{00000000-0008-0000-0600-00005EC80C00}"/>
            </a:ext>
          </a:extLst>
        </xdr:cNvPr>
        <xdr:cNvSpPr>
          <a:spLocks noChangeShapeType="1"/>
        </xdr:cNvSpPr>
      </xdr:nvSpPr>
      <xdr:spPr bwMode="auto">
        <a:xfrm>
          <a:off x="26098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76200</xdr:rowOff>
    </xdr:from>
    <xdr:to>
      <xdr:col>4</xdr:col>
      <xdr:colOff>123825</xdr:colOff>
      <xdr:row>6</xdr:row>
      <xdr:rowOff>76200</xdr:rowOff>
    </xdr:to>
    <xdr:sp macro="" textlink="">
      <xdr:nvSpPr>
        <xdr:cNvPr id="837727" name="Line 31">
          <a:extLst>
            <a:ext uri="{FF2B5EF4-FFF2-40B4-BE49-F238E27FC236}">
              <a16:creationId xmlns:a16="http://schemas.microsoft.com/office/drawing/2014/main" id="{00000000-0008-0000-0600-00005FC80C00}"/>
            </a:ext>
          </a:extLst>
        </xdr:cNvPr>
        <xdr:cNvSpPr>
          <a:spLocks noChangeShapeType="1"/>
        </xdr:cNvSpPr>
      </xdr:nvSpPr>
      <xdr:spPr bwMode="auto">
        <a:xfrm flipH="1" flipV="1">
          <a:off x="24860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123825</xdr:colOff>
      <xdr:row>7</xdr:row>
      <xdr:rowOff>133350</xdr:rowOff>
    </xdr:to>
    <xdr:sp macro="" textlink="">
      <xdr:nvSpPr>
        <xdr:cNvPr id="837728" name="Line 32">
          <a:extLst>
            <a:ext uri="{FF2B5EF4-FFF2-40B4-BE49-F238E27FC236}">
              <a16:creationId xmlns:a16="http://schemas.microsoft.com/office/drawing/2014/main" id="{00000000-0008-0000-0600-000060C80C00}"/>
            </a:ext>
          </a:extLst>
        </xdr:cNvPr>
        <xdr:cNvSpPr>
          <a:spLocks noChangeShapeType="1"/>
        </xdr:cNvSpPr>
      </xdr:nvSpPr>
      <xdr:spPr bwMode="auto">
        <a:xfrm flipH="1">
          <a:off x="24860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8</xdr:row>
      <xdr:rowOff>76200</xdr:rowOff>
    </xdr:from>
    <xdr:to>
      <xdr:col>11</xdr:col>
      <xdr:colOff>123825</xdr:colOff>
      <xdr:row>9</xdr:row>
      <xdr:rowOff>142875</xdr:rowOff>
    </xdr:to>
    <xdr:sp macro="" textlink="">
      <xdr:nvSpPr>
        <xdr:cNvPr id="837729" name="Line 37">
          <a:extLst>
            <a:ext uri="{FF2B5EF4-FFF2-40B4-BE49-F238E27FC236}">
              <a16:creationId xmlns:a16="http://schemas.microsoft.com/office/drawing/2014/main" id="{00000000-0008-0000-0600-000061C80C00}"/>
            </a:ext>
          </a:extLst>
        </xdr:cNvPr>
        <xdr:cNvSpPr>
          <a:spLocks noChangeShapeType="1"/>
        </xdr:cNvSpPr>
      </xdr:nvSpPr>
      <xdr:spPr bwMode="auto">
        <a:xfrm>
          <a:off x="54102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76200</xdr:rowOff>
    </xdr:from>
    <xdr:to>
      <xdr:col>11</xdr:col>
      <xdr:colOff>123825</xdr:colOff>
      <xdr:row>8</xdr:row>
      <xdr:rowOff>76200</xdr:rowOff>
    </xdr:to>
    <xdr:sp macro="" textlink="">
      <xdr:nvSpPr>
        <xdr:cNvPr id="837730" name="Line 38">
          <a:extLst>
            <a:ext uri="{FF2B5EF4-FFF2-40B4-BE49-F238E27FC236}">
              <a16:creationId xmlns:a16="http://schemas.microsoft.com/office/drawing/2014/main" id="{00000000-0008-0000-0600-000062C8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133350</xdr:rowOff>
    </xdr:from>
    <xdr:to>
      <xdr:col>11</xdr:col>
      <xdr:colOff>123825</xdr:colOff>
      <xdr:row>9</xdr:row>
      <xdr:rowOff>133350</xdr:rowOff>
    </xdr:to>
    <xdr:sp macro="" textlink="">
      <xdr:nvSpPr>
        <xdr:cNvPr id="837731" name="Line 39">
          <a:extLst>
            <a:ext uri="{FF2B5EF4-FFF2-40B4-BE49-F238E27FC236}">
              <a16:creationId xmlns:a16="http://schemas.microsoft.com/office/drawing/2014/main" id="{00000000-0008-0000-0600-000063C80C00}"/>
            </a:ext>
          </a:extLst>
        </xdr:cNvPr>
        <xdr:cNvSpPr>
          <a:spLocks noChangeShapeType="1"/>
        </xdr:cNvSpPr>
      </xdr:nvSpPr>
      <xdr:spPr bwMode="auto">
        <a:xfrm flipH="1">
          <a:off x="52863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12</xdr:row>
      <xdr:rowOff>76200</xdr:rowOff>
    </xdr:from>
    <xdr:to>
      <xdr:col>11</xdr:col>
      <xdr:colOff>123825</xdr:colOff>
      <xdr:row>13</xdr:row>
      <xdr:rowOff>142875</xdr:rowOff>
    </xdr:to>
    <xdr:sp macro="" textlink="">
      <xdr:nvSpPr>
        <xdr:cNvPr id="837732" name="Line 40">
          <a:extLst>
            <a:ext uri="{FF2B5EF4-FFF2-40B4-BE49-F238E27FC236}">
              <a16:creationId xmlns:a16="http://schemas.microsoft.com/office/drawing/2014/main" id="{00000000-0008-0000-0600-000064C80C00}"/>
            </a:ext>
          </a:extLst>
        </xdr:cNvPr>
        <xdr:cNvSpPr>
          <a:spLocks noChangeShapeType="1"/>
        </xdr:cNvSpPr>
      </xdr:nvSpPr>
      <xdr:spPr bwMode="auto">
        <a:xfrm>
          <a:off x="54102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11</xdr:col>
      <xdr:colOff>123825</xdr:colOff>
      <xdr:row>12</xdr:row>
      <xdr:rowOff>76200</xdr:rowOff>
    </xdr:to>
    <xdr:sp macro="" textlink="">
      <xdr:nvSpPr>
        <xdr:cNvPr id="837733" name="Line 41">
          <a:extLst>
            <a:ext uri="{FF2B5EF4-FFF2-40B4-BE49-F238E27FC236}">
              <a16:creationId xmlns:a16="http://schemas.microsoft.com/office/drawing/2014/main" id="{00000000-0008-0000-0600-000065C8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133350</xdr:rowOff>
    </xdr:from>
    <xdr:to>
      <xdr:col>11</xdr:col>
      <xdr:colOff>123825</xdr:colOff>
      <xdr:row>13</xdr:row>
      <xdr:rowOff>133350</xdr:rowOff>
    </xdr:to>
    <xdr:sp macro="" textlink="">
      <xdr:nvSpPr>
        <xdr:cNvPr id="837734" name="Line 42">
          <a:extLst>
            <a:ext uri="{FF2B5EF4-FFF2-40B4-BE49-F238E27FC236}">
              <a16:creationId xmlns:a16="http://schemas.microsoft.com/office/drawing/2014/main" id="{00000000-0008-0000-0600-000066C80C00}"/>
            </a:ext>
          </a:extLst>
        </xdr:cNvPr>
        <xdr:cNvSpPr>
          <a:spLocks noChangeShapeType="1"/>
        </xdr:cNvSpPr>
      </xdr:nvSpPr>
      <xdr:spPr bwMode="auto">
        <a:xfrm flipH="1">
          <a:off x="52863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14</xdr:row>
      <xdr:rowOff>76200</xdr:rowOff>
    </xdr:from>
    <xdr:to>
      <xdr:col>11</xdr:col>
      <xdr:colOff>123825</xdr:colOff>
      <xdr:row>15</xdr:row>
      <xdr:rowOff>142875</xdr:rowOff>
    </xdr:to>
    <xdr:sp macro="" textlink="">
      <xdr:nvSpPr>
        <xdr:cNvPr id="837735" name="Line 43">
          <a:extLst>
            <a:ext uri="{FF2B5EF4-FFF2-40B4-BE49-F238E27FC236}">
              <a16:creationId xmlns:a16="http://schemas.microsoft.com/office/drawing/2014/main" id="{00000000-0008-0000-0600-000067C80C00}"/>
            </a:ext>
          </a:extLst>
        </xdr:cNvPr>
        <xdr:cNvSpPr>
          <a:spLocks noChangeShapeType="1"/>
        </xdr:cNvSpPr>
      </xdr:nvSpPr>
      <xdr:spPr bwMode="auto">
        <a:xfrm>
          <a:off x="54102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76200</xdr:rowOff>
    </xdr:from>
    <xdr:to>
      <xdr:col>11</xdr:col>
      <xdr:colOff>123825</xdr:colOff>
      <xdr:row>14</xdr:row>
      <xdr:rowOff>76200</xdr:rowOff>
    </xdr:to>
    <xdr:sp macro="" textlink="">
      <xdr:nvSpPr>
        <xdr:cNvPr id="837736" name="Line 44">
          <a:extLst>
            <a:ext uri="{FF2B5EF4-FFF2-40B4-BE49-F238E27FC236}">
              <a16:creationId xmlns:a16="http://schemas.microsoft.com/office/drawing/2014/main" id="{00000000-0008-0000-0600-000068C80C0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133350</xdr:rowOff>
    </xdr:from>
    <xdr:to>
      <xdr:col>11</xdr:col>
      <xdr:colOff>123825</xdr:colOff>
      <xdr:row>15</xdr:row>
      <xdr:rowOff>133350</xdr:rowOff>
    </xdr:to>
    <xdr:sp macro="" textlink="">
      <xdr:nvSpPr>
        <xdr:cNvPr id="837737" name="Line 45">
          <a:extLst>
            <a:ext uri="{FF2B5EF4-FFF2-40B4-BE49-F238E27FC236}">
              <a16:creationId xmlns:a16="http://schemas.microsoft.com/office/drawing/2014/main" id="{00000000-0008-0000-0600-000069C80C00}"/>
            </a:ext>
          </a:extLst>
        </xdr:cNvPr>
        <xdr:cNvSpPr>
          <a:spLocks noChangeShapeType="1"/>
        </xdr:cNvSpPr>
      </xdr:nvSpPr>
      <xdr:spPr bwMode="auto">
        <a:xfrm flipH="1">
          <a:off x="52863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738" name="Line 46">
          <a:extLst>
            <a:ext uri="{FF2B5EF4-FFF2-40B4-BE49-F238E27FC236}">
              <a16:creationId xmlns:a16="http://schemas.microsoft.com/office/drawing/2014/main" id="{00000000-0008-0000-0600-00006AC80C00}"/>
            </a:ext>
          </a:extLst>
        </xdr:cNvPr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739" name="Line 47">
          <a:extLst>
            <a:ext uri="{FF2B5EF4-FFF2-40B4-BE49-F238E27FC236}">
              <a16:creationId xmlns:a16="http://schemas.microsoft.com/office/drawing/2014/main" id="{00000000-0008-0000-0600-00006BC80C00}"/>
            </a:ext>
          </a:extLst>
        </xdr:cNvPr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740" name="Line 48">
          <a:extLst>
            <a:ext uri="{FF2B5EF4-FFF2-40B4-BE49-F238E27FC236}">
              <a16:creationId xmlns:a16="http://schemas.microsoft.com/office/drawing/2014/main" id="{00000000-0008-0000-0600-00006CC80C00}"/>
            </a:ext>
          </a:extLst>
        </xdr:cNvPr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741" name="Line 49">
          <a:extLst>
            <a:ext uri="{FF2B5EF4-FFF2-40B4-BE49-F238E27FC236}">
              <a16:creationId xmlns:a16="http://schemas.microsoft.com/office/drawing/2014/main" id="{00000000-0008-0000-0600-00006DC80C00}"/>
            </a:ext>
          </a:extLst>
        </xdr:cNvPr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742" name="Line 50">
          <a:extLst>
            <a:ext uri="{FF2B5EF4-FFF2-40B4-BE49-F238E27FC236}">
              <a16:creationId xmlns:a16="http://schemas.microsoft.com/office/drawing/2014/main" id="{00000000-0008-0000-0600-00006EC8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743" name="Line 51">
          <a:extLst>
            <a:ext uri="{FF2B5EF4-FFF2-40B4-BE49-F238E27FC236}">
              <a16:creationId xmlns:a16="http://schemas.microsoft.com/office/drawing/2014/main" id="{00000000-0008-0000-0600-00006FC80C00}"/>
            </a:ext>
          </a:extLst>
        </xdr:cNvPr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76200</xdr:rowOff>
    </xdr:from>
    <xdr:to>
      <xdr:col>18</xdr:col>
      <xdr:colOff>123825</xdr:colOff>
      <xdr:row>9</xdr:row>
      <xdr:rowOff>142875</xdr:rowOff>
    </xdr:to>
    <xdr:sp macro="" textlink="">
      <xdr:nvSpPr>
        <xdr:cNvPr id="837744" name="Line 52">
          <a:extLst>
            <a:ext uri="{FF2B5EF4-FFF2-40B4-BE49-F238E27FC236}">
              <a16:creationId xmlns:a16="http://schemas.microsoft.com/office/drawing/2014/main" id="{00000000-0008-0000-0600-000070C80C00}"/>
            </a:ext>
          </a:extLst>
        </xdr:cNvPr>
        <xdr:cNvSpPr>
          <a:spLocks noChangeShapeType="1"/>
        </xdr:cNvSpPr>
      </xdr:nvSpPr>
      <xdr:spPr bwMode="auto">
        <a:xfrm>
          <a:off x="82105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76200</xdr:rowOff>
    </xdr:from>
    <xdr:to>
      <xdr:col>18</xdr:col>
      <xdr:colOff>123825</xdr:colOff>
      <xdr:row>8</xdr:row>
      <xdr:rowOff>76200</xdr:rowOff>
    </xdr:to>
    <xdr:sp macro="" textlink="">
      <xdr:nvSpPr>
        <xdr:cNvPr id="837745" name="Line 53">
          <a:extLst>
            <a:ext uri="{FF2B5EF4-FFF2-40B4-BE49-F238E27FC236}">
              <a16:creationId xmlns:a16="http://schemas.microsoft.com/office/drawing/2014/main" id="{00000000-0008-0000-0600-000071C8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123825</xdr:colOff>
      <xdr:row>9</xdr:row>
      <xdr:rowOff>133350</xdr:rowOff>
    </xdr:to>
    <xdr:sp macro="" textlink="">
      <xdr:nvSpPr>
        <xdr:cNvPr id="837746" name="Line 54">
          <a:extLst>
            <a:ext uri="{FF2B5EF4-FFF2-40B4-BE49-F238E27FC236}">
              <a16:creationId xmlns:a16="http://schemas.microsoft.com/office/drawing/2014/main" id="{00000000-0008-0000-0600-000072C80C00}"/>
            </a:ext>
          </a:extLst>
        </xdr:cNvPr>
        <xdr:cNvSpPr>
          <a:spLocks noChangeShapeType="1"/>
        </xdr:cNvSpPr>
      </xdr:nvSpPr>
      <xdr:spPr bwMode="auto">
        <a:xfrm flipH="1">
          <a:off x="80867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12</xdr:row>
      <xdr:rowOff>76200</xdr:rowOff>
    </xdr:from>
    <xdr:to>
      <xdr:col>18</xdr:col>
      <xdr:colOff>123825</xdr:colOff>
      <xdr:row>13</xdr:row>
      <xdr:rowOff>142875</xdr:rowOff>
    </xdr:to>
    <xdr:sp macro="" textlink="">
      <xdr:nvSpPr>
        <xdr:cNvPr id="837747" name="Line 55">
          <a:extLst>
            <a:ext uri="{FF2B5EF4-FFF2-40B4-BE49-F238E27FC236}">
              <a16:creationId xmlns:a16="http://schemas.microsoft.com/office/drawing/2014/main" id="{00000000-0008-0000-0600-000073C80C00}"/>
            </a:ext>
          </a:extLst>
        </xdr:cNvPr>
        <xdr:cNvSpPr>
          <a:spLocks noChangeShapeType="1"/>
        </xdr:cNvSpPr>
      </xdr:nvSpPr>
      <xdr:spPr bwMode="auto">
        <a:xfrm>
          <a:off x="82105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123825</xdr:colOff>
      <xdr:row>12</xdr:row>
      <xdr:rowOff>76200</xdr:rowOff>
    </xdr:to>
    <xdr:sp macro="" textlink="">
      <xdr:nvSpPr>
        <xdr:cNvPr id="837748" name="Line 56">
          <a:extLst>
            <a:ext uri="{FF2B5EF4-FFF2-40B4-BE49-F238E27FC236}">
              <a16:creationId xmlns:a16="http://schemas.microsoft.com/office/drawing/2014/main" id="{00000000-0008-0000-0600-000074C8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133350</xdr:rowOff>
    </xdr:from>
    <xdr:to>
      <xdr:col>18</xdr:col>
      <xdr:colOff>123825</xdr:colOff>
      <xdr:row>13</xdr:row>
      <xdr:rowOff>133350</xdr:rowOff>
    </xdr:to>
    <xdr:sp macro="" textlink="">
      <xdr:nvSpPr>
        <xdr:cNvPr id="837749" name="Line 57">
          <a:extLst>
            <a:ext uri="{FF2B5EF4-FFF2-40B4-BE49-F238E27FC236}">
              <a16:creationId xmlns:a16="http://schemas.microsoft.com/office/drawing/2014/main" id="{00000000-0008-0000-0600-000075C80C00}"/>
            </a:ext>
          </a:extLst>
        </xdr:cNvPr>
        <xdr:cNvSpPr>
          <a:spLocks noChangeShapeType="1"/>
        </xdr:cNvSpPr>
      </xdr:nvSpPr>
      <xdr:spPr bwMode="auto">
        <a:xfrm flipH="1">
          <a:off x="80867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76200</xdr:rowOff>
    </xdr:from>
    <xdr:to>
      <xdr:col>18</xdr:col>
      <xdr:colOff>123825</xdr:colOff>
      <xdr:row>15</xdr:row>
      <xdr:rowOff>142875</xdr:rowOff>
    </xdr:to>
    <xdr:sp macro="" textlink="">
      <xdr:nvSpPr>
        <xdr:cNvPr id="837750" name="Line 58">
          <a:extLst>
            <a:ext uri="{FF2B5EF4-FFF2-40B4-BE49-F238E27FC236}">
              <a16:creationId xmlns:a16="http://schemas.microsoft.com/office/drawing/2014/main" id="{00000000-0008-0000-0600-000076C80C00}"/>
            </a:ext>
          </a:extLst>
        </xdr:cNvPr>
        <xdr:cNvSpPr>
          <a:spLocks noChangeShapeType="1"/>
        </xdr:cNvSpPr>
      </xdr:nvSpPr>
      <xdr:spPr bwMode="auto">
        <a:xfrm>
          <a:off x="82105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76200</xdr:rowOff>
    </xdr:from>
    <xdr:to>
      <xdr:col>18</xdr:col>
      <xdr:colOff>123825</xdr:colOff>
      <xdr:row>14</xdr:row>
      <xdr:rowOff>76200</xdr:rowOff>
    </xdr:to>
    <xdr:sp macro="" textlink="">
      <xdr:nvSpPr>
        <xdr:cNvPr id="837751" name="Line 59">
          <a:extLst>
            <a:ext uri="{FF2B5EF4-FFF2-40B4-BE49-F238E27FC236}">
              <a16:creationId xmlns:a16="http://schemas.microsoft.com/office/drawing/2014/main" id="{00000000-0008-0000-0600-000077C80C00}"/>
            </a:ext>
          </a:extLst>
        </xdr:cNvPr>
        <xdr:cNvSpPr>
          <a:spLocks noChangeShapeType="1"/>
        </xdr:cNvSpPr>
      </xdr:nvSpPr>
      <xdr:spPr bwMode="auto">
        <a:xfrm flipH="1" flipV="1">
          <a:off x="80867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18</xdr:col>
      <xdr:colOff>123825</xdr:colOff>
      <xdr:row>15</xdr:row>
      <xdr:rowOff>133350</xdr:rowOff>
    </xdr:to>
    <xdr:sp macro="" textlink="">
      <xdr:nvSpPr>
        <xdr:cNvPr id="837752" name="Line 60">
          <a:extLst>
            <a:ext uri="{FF2B5EF4-FFF2-40B4-BE49-F238E27FC236}">
              <a16:creationId xmlns:a16="http://schemas.microsoft.com/office/drawing/2014/main" id="{00000000-0008-0000-0600-000078C80C00}"/>
            </a:ext>
          </a:extLst>
        </xdr:cNvPr>
        <xdr:cNvSpPr>
          <a:spLocks noChangeShapeType="1"/>
        </xdr:cNvSpPr>
      </xdr:nvSpPr>
      <xdr:spPr bwMode="auto">
        <a:xfrm flipH="1">
          <a:off x="80867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753" name="Line 62">
          <a:extLst>
            <a:ext uri="{FF2B5EF4-FFF2-40B4-BE49-F238E27FC236}">
              <a16:creationId xmlns:a16="http://schemas.microsoft.com/office/drawing/2014/main" id="{00000000-0008-0000-0600-000079C80C00}"/>
            </a:ext>
          </a:extLst>
        </xdr:cNvPr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754" name="Line 63">
          <a:extLst>
            <a:ext uri="{FF2B5EF4-FFF2-40B4-BE49-F238E27FC236}">
              <a16:creationId xmlns:a16="http://schemas.microsoft.com/office/drawing/2014/main" id="{00000000-0008-0000-0600-00007AC8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755" name="Line 64">
          <a:extLst>
            <a:ext uri="{FF2B5EF4-FFF2-40B4-BE49-F238E27FC236}">
              <a16:creationId xmlns:a16="http://schemas.microsoft.com/office/drawing/2014/main" id="{00000000-0008-0000-0600-00007BC80C00}"/>
            </a:ext>
          </a:extLst>
        </xdr:cNvPr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756" name="Line 65">
          <a:extLst>
            <a:ext uri="{FF2B5EF4-FFF2-40B4-BE49-F238E27FC236}">
              <a16:creationId xmlns:a16="http://schemas.microsoft.com/office/drawing/2014/main" id="{00000000-0008-0000-0600-00007CC80C00}"/>
            </a:ext>
          </a:extLst>
        </xdr:cNvPr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757" name="Line 66">
          <a:extLst>
            <a:ext uri="{FF2B5EF4-FFF2-40B4-BE49-F238E27FC236}">
              <a16:creationId xmlns:a16="http://schemas.microsoft.com/office/drawing/2014/main" id="{00000000-0008-0000-0600-00007DC80C00}"/>
            </a:ext>
          </a:extLst>
        </xdr:cNvPr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758" name="Line 67">
          <a:extLst>
            <a:ext uri="{FF2B5EF4-FFF2-40B4-BE49-F238E27FC236}">
              <a16:creationId xmlns:a16="http://schemas.microsoft.com/office/drawing/2014/main" id="{00000000-0008-0000-0600-00007EC80C00}"/>
            </a:ext>
          </a:extLst>
        </xdr:cNvPr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759" name="Line 70">
          <a:extLst>
            <a:ext uri="{FF2B5EF4-FFF2-40B4-BE49-F238E27FC236}">
              <a16:creationId xmlns:a16="http://schemas.microsoft.com/office/drawing/2014/main" id="{00000000-0008-0000-0600-00007FC80C00}"/>
            </a:ext>
          </a:extLst>
        </xdr:cNvPr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760" name="Line 71">
          <a:extLst>
            <a:ext uri="{FF2B5EF4-FFF2-40B4-BE49-F238E27FC236}">
              <a16:creationId xmlns:a16="http://schemas.microsoft.com/office/drawing/2014/main" id="{00000000-0008-0000-0600-000080C80C00}"/>
            </a:ext>
          </a:extLst>
        </xdr:cNvPr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761" name="Line 72">
          <a:extLst>
            <a:ext uri="{FF2B5EF4-FFF2-40B4-BE49-F238E27FC236}">
              <a16:creationId xmlns:a16="http://schemas.microsoft.com/office/drawing/2014/main" id="{00000000-0008-0000-0600-000081C80C00}"/>
            </a:ext>
          </a:extLst>
        </xdr:cNvPr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762" name="Line 73">
          <a:extLst>
            <a:ext uri="{FF2B5EF4-FFF2-40B4-BE49-F238E27FC236}">
              <a16:creationId xmlns:a16="http://schemas.microsoft.com/office/drawing/2014/main" id="{00000000-0008-0000-0600-000082C80C00}"/>
            </a:ext>
          </a:extLst>
        </xdr:cNvPr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763" name="Line 74">
          <a:extLst>
            <a:ext uri="{FF2B5EF4-FFF2-40B4-BE49-F238E27FC236}">
              <a16:creationId xmlns:a16="http://schemas.microsoft.com/office/drawing/2014/main" id="{00000000-0008-0000-0600-000083C8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764" name="Line 75">
          <a:extLst>
            <a:ext uri="{FF2B5EF4-FFF2-40B4-BE49-F238E27FC236}">
              <a16:creationId xmlns:a16="http://schemas.microsoft.com/office/drawing/2014/main" id="{00000000-0008-0000-0600-000084C80C00}"/>
            </a:ext>
          </a:extLst>
        </xdr:cNvPr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</xdr:row>
      <xdr:rowOff>76200</xdr:rowOff>
    </xdr:from>
    <xdr:to>
      <xdr:col>25</xdr:col>
      <xdr:colOff>123825</xdr:colOff>
      <xdr:row>9</xdr:row>
      <xdr:rowOff>142875</xdr:rowOff>
    </xdr:to>
    <xdr:sp macro="" textlink="">
      <xdr:nvSpPr>
        <xdr:cNvPr id="837765" name="Line 76">
          <a:extLst>
            <a:ext uri="{FF2B5EF4-FFF2-40B4-BE49-F238E27FC236}">
              <a16:creationId xmlns:a16="http://schemas.microsoft.com/office/drawing/2014/main" id="{00000000-0008-0000-0600-000085C80C00}"/>
            </a:ext>
          </a:extLst>
        </xdr:cNvPr>
        <xdr:cNvSpPr>
          <a:spLocks noChangeShapeType="1"/>
        </xdr:cNvSpPr>
      </xdr:nvSpPr>
      <xdr:spPr bwMode="auto">
        <a:xfrm>
          <a:off x="109823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76200</xdr:rowOff>
    </xdr:from>
    <xdr:to>
      <xdr:col>25</xdr:col>
      <xdr:colOff>123825</xdr:colOff>
      <xdr:row>8</xdr:row>
      <xdr:rowOff>76200</xdr:rowOff>
    </xdr:to>
    <xdr:sp macro="" textlink="">
      <xdr:nvSpPr>
        <xdr:cNvPr id="837766" name="Line 77">
          <a:extLst>
            <a:ext uri="{FF2B5EF4-FFF2-40B4-BE49-F238E27FC236}">
              <a16:creationId xmlns:a16="http://schemas.microsoft.com/office/drawing/2014/main" id="{00000000-0008-0000-0600-000086C8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9</xdr:row>
      <xdr:rowOff>133350</xdr:rowOff>
    </xdr:from>
    <xdr:to>
      <xdr:col>25</xdr:col>
      <xdr:colOff>123825</xdr:colOff>
      <xdr:row>9</xdr:row>
      <xdr:rowOff>133350</xdr:rowOff>
    </xdr:to>
    <xdr:sp macro="" textlink="">
      <xdr:nvSpPr>
        <xdr:cNvPr id="837767" name="Line 78">
          <a:extLst>
            <a:ext uri="{FF2B5EF4-FFF2-40B4-BE49-F238E27FC236}">
              <a16:creationId xmlns:a16="http://schemas.microsoft.com/office/drawing/2014/main" id="{00000000-0008-0000-0600-000087C80C00}"/>
            </a:ext>
          </a:extLst>
        </xdr:cNvPr>
        <xdr:cNvSpPr>
          <a:spLocks noChangeShapeType="1"/>
        </xdr:cNvSpPr>
      </xdr:nvSpPr>
      <xdr:spPr bwMode="auto">
        <a:xfrm flipH="1">
          <a:off x="108585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12</xdr:row>
      <xdr:rowOff>76200</xdr:rowOff>
    </xdr:from>
    <xdr:to>
      <xdr:col>25</xdr:col>
      <xdr:colOff>123825</xdr:colOff>
      <xdr:row>13</xdr:row>
      <xdr:rowOff>142875</xdr:rowOff>
    </xdr:to>
    <xdr:sp macro="" textlink="">
      <xdr:nvSpPr>
        <xdr:cNvPr id="837768" name="Line 79">
          <a:extLst>
            <a:ext uri="{FF2B5EF4-FFF2-40B4-BE49-F238E27FC236}">
              <a16:creationId xmlns:a16="http://schemas.microsoft.com/office/drawing/2014/main" id="{00000000-0008-0000-0600-000088C80C00}"/>
            </a:ext>
          </a:extLst>
        </xdr:cNvPr>
        <xdr:cNvSpPr>
          <a:spLocks noChangeShapeType="1"/>
        </xdr:cNvSpPr>
      </xdr:nvSpPr>
      <xdr:spPr bwMode="auto">
        <a:xfrm>
          <a:off x="109823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76200</xdr:rowOff>
    </xdr:from>
    <xdr:to>
      <xdr:col>25</xdr:col>
      <xdr:colOff>123825</xdr:colOff>
      <xdr:row>12</xdr:row>
      <xdr:rowOff>76200</xdr:rowOff>
    </xdr:to>
    <xdr:sp macro="" textlink="">
      <xdr:nvSpPr>
        <xdr:cNvPr id="837769" name="Line 80">
          <a:extLst>
            <a:ext uri="{FF2B5EF4-FFF2-40B4-BE49-F238E27FC236}">
              <a16:creationId xmlns:a16="http://schemas.microsoft.com/office/drawing/2014/main" id="{00000000-0008-0000-0600-000089C8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133350</xdr:rowOff>
    </xdr:from>
    <xdr:to>
      <xdr:col>25</xdr:col>
      <xdr:colOff>123825</xdr:colOff>
      <xdr:row>13</xdr:row>
      <xdr:rowOff>133350</xdr:rowOff>
    </xdr:to>
    <xdr:sp macro="" textlink="">
      <xdr:nvSpPr>
        <xdr:cNvPr id="837770" name="Line 81">
          <a:extLst>
            <a:ext uri="{FF2B5EF4-FFF2-40B4-BE49-F238E27FC236}">
              <a16:creationId xmlns:a16="http://schemas.microsoft.com/office/drawing/2014/main" id="{00000000-0008-0000-0600-00008AC80C00}"/>
            </a:ext>
          </a:extLst>
        </xdr:cNvPr>
        <xdr:cNvSpPr>
          <a:spLocks noChangeShapeType="1"/>
        </xdr:cNvSpPr>
      </xdr:nvSpPr>
      <xdr:spPr bwMode="auto">
        <a:xfrm flipH="1">
          <a:off x="108585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14</xdr:row>
      <xdr:rowOff>76200</xdr:rowOff>
    </xdr:from>
    <xdr:to>
      <xdr:col>25</xdr:col>
      <xdr:colOff>123825</xdr:colOff>
      <xdr:row>15</xdr:row>
      <xdr:rowOff>142875</xdr:rowOff>
    </xdr:to>
    <xdr:sp macro="" textlink="">
      <xdr:nvSpPr>
        <xdr:cNvPr id="837771" name="Line 82">
          <a:extLst>
            <a:ext uri="{FF2B5EF4-FFF2-40B4-BE49-F238E27FC236}">
              <a16:creationId xmlns:a16="http://schemas.microsoft.com/office/drawing/2014/main" id="{00000000-0008-0000-0600-00008BC80C00}"/>
            </a:ext>
          </a:extLst>
        </xdr:cNvPr>
        <xdr:cNvSpPr>
          <a:spLocks noChangeShapeType="1"/>
        </xdr:cNvSpPr>
      </xdr:nvSpPr>
      <xdr:spPr bwMode="auto">
        <a:xfrm>
          <a:off x="109823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14</xdr:row>
      <xdr:rowOff>76200</xdr:rowOff>
    </xdr:from>
    <xdr:to>
      <xdr:col>25</xdr:col>
      <xdr:colOff>123825</xdr:colOff>
      <xdr:row>14</xdr:row>
      <xdr:rowOff>76200</xdr:rowOff>
    </xdr:to>
    <xdr:sp macro="" textlink="">
      <xdr:nvSpPr>
        <xdr:cNvPr id="837772" name="Line 83">
          <a:extLst>
            <a:ext uri="{FF2B5EF4-FFF2-40B4-BE49-F238E27FC236}">
              <a16:creationId xmlns:a16="http://schemas.microsoft.com/office/drawing/2014/main" id="{00000000-0008-0000-0600-00008CC80C00}"/>
            </a:ext>
          </a:extLst>
        </xdr:cNvPr>
        <xdr:cNvSpPr>
          <a:spLocks noChangeShapeType="1"/>
        </xdr:cNvSpPr>
      </xdr:nvSpPr>
      <xdr:spPr bwMode="auto">
        <a:xfrm flipH="1" flipV="1">
          <a:off x="108585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15</xdr:row>
      <xdr:rowOff>133350</xdr:rowOff>
    </xdr:from>
    <xdr:to>
      <xdr:col>25</xdr:col>
      <xdr:colOff>123825</xdr:colOff>
      <xdr:row>15</xdr:row>
      <xdr:rowOff>133350</xdr:rowOff>
    </xdr:to>
    <xdr:sp macro="" textlink="">
      <xdr:nvSpPr>
        <xdr:cNvPr id="837773" name="Line 84">
          <a:extLst>
            <a:ext uri="{FF2B5EF4-FFF2-40B4-BE49-F238E27FC236}">
              <a16:creationId xmlns:a16="http://schemas.microsoft.com/office/drawing/2014/main" id="{00000000-0008-0000-0600-00008DC80C00}"/>
            </a:ext>
          </a:extLst>
        </xdr:cNvPr>
        <xdr:cNvSpPr>
          <a:spLocks noChangeShapeType="1"/>
        </xdr:cNvSpPr>
      </xdr:nvSpPr>
      <xdr:spPr bwMode="auto">
        <a:xfrm flipH="1">
          <a:off x="108585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774" name="Line 86">
          <a:extLst>
            <a:ext uri="{FF2B5EF4-FFF2-40B4-BE49-F238E27FC236}">
              <a16:creationId xmlns:a16="http://schemas.microsoft.com/office/drawing/2014/main" id="{00000000-0008-0000-0600-00008EC80C00}"/>
            </a:ext>
          </a:extLst>
        </xdr:cNvPr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775" name="Line 87">
          <a:extLst>
            <a:ext uri="{FF2B5EF4-FFF2-40B4-BE49-F238E27FC236}">
              <a16:creationId xmlns:a16="http://schemas.microsoft.com/office/drawing/2014/main" id="{00000000-0008-0000-0600-00008FC8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776" name="Line 88">
          <a:extLst>
            <a:ext uri="{FF2B5EF4-FFF2-40B4-BE49-F238E27FC236}">
              <a16:creationId xmlns:a16="http://schemas.microsoft.com/office/drawing/2014/main" id="{00000000-0008-0000-0600-000090C80C00}"/>
            </a:ext>
          </a:extLst>
        </xdr:cNvPr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777" name="Line 89">
          <a:extLst>
            <a:ext uri="{FF2B5EF4-FFF2-40B4-BE49-F238E27FC236}">
              <a16:creationId xmlns:a16="http://schemas.microsoft.com/office/drawing/2014/main" id="{00000000-0008-0000-0600-000091C80C00}"/>
            </a:ext>
          </a:extLst>
        </xdr:cNvPr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778" name="Line 90">
          <a:extLst>
            <a:ext uri="{FF2B5EF4-FFF2-40B4-BE49-F238E27FC236}">
              <a16:creationId xmlns:a16="http://schemas.microsoft.com/office/drawing/2014/main" id="{00000000-0008-0000-0600-000092C80C00}"/>
            </a:ext>
          </a:extLst>
        </xdr:cNvPr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779" name="Line 91">
          <a:extLst>
            <a:ext uri="{FF2B5EF4-FFF2-40B4-BE49-F238E27FC236}">
              <a16:creationId xmlns:a16="http://schemas.microsoft.com/office/drawing/2014/main" id="{00000000-0008-0000-0600-000093C80C00}"/>
            </a:ext>
          </a:extLst>
        </xdr:cNvPr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780" name="Line 94">
          <a:extLst>
            <a:ext uri="{FF2B5EF4-FFF2-40B4-BE49-F238E27FC236}">
              <a16:creationId xmlns:a16="http://schemas.microsoft.com/office/drawing/2014/main" id="{00000000-0008-0000-0600-000094C80C00}"/>
            </a:ext>
          </a:extLst>
        </xdr:cNvPr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781" name="Line 95">
          <a:extLst>
            <a:ext uri="{FF2B5EF4-FFF2-40B4-BE49-F238E27FC236}">
              <a16:creationId xmlns:a16="http://schemas.microsoft.com/office/drawing/2014/main" id="{00000000-0008-0000-0600-000095C80C00}"/>
            </a:ext>
          </a:extLst>
        </xdr:cNvPr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782" name="Line 96">
          <a:extLst>
            <a:ext uri="{FF2B5EF4-FFF2-40B4-BE49-F238E27FC236}">
              <a16:creationId xmlns:a16="http://schemas.microsoft.com/office/drawing/2014/main" id="{00000000-0008-0000-0600-000096C80C00}"/>
            </a:ext>
          </a:extLst>
        </xdr:cNvPr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783" name="Line 97">
          <a:extLst>
            <a:ext uri="{FF2B5EF4-FFF2-40B4-BE49-F238E27FC236}">
              <a16:creationId xmlns:a16="http://schemas.microsoft.com/office/drawing/2014/main" id="{00000000-0008-0000-0600-000097C80C00}"/>
            </a:ext>
          </a:extLst>
        </xdr:cNvPr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784" name="Line 98">
          <a:extLst>
            <a:ext uri="{FF2B5EF4-FFF2-40B4-BE49-F238E27FC236}">
              <a16:creationId xmlns:a16="http://schemas.microsoft.com/office/drawing/2014/main" id="{00000000-0008-0000-0600-000098C8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785" name="Line 99">
          <a:extLst>
            <a:ext uri="{FF2B5EF4-FFF2-40B4-BE49-F238E27FC236}">
              <a16:creationId xmlns:a16="http://schemas.microsoft.com/office/drawing/2014/main" id="{00000000-0008-0000-0600-000099C80C00}"/>
            </a:ext>
          </a:extLst>
        </xdr:cNvPr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8</xdr:row>
      <xdr:rowOff>76200</xdr:rowOff>
    </xdr:from>
    <xdr:to>
      <xdr:col>32</xdr:col>
      <xdr:colOff>123825</xdr:colOff>
      <xdr:row>9</xdr:row>
      <xdr:rowOff>142875</xdr:rowOff>
    </xdr:to>
    <xdr:sp macro="" textlink="">
      <xdr:nvSpPr>
        <xdr:cNvPr id="837786" name="Line 100">
          <a:extLst>
            <a:ext uri="{FF2B5EF4-FFF2-40B4-BE49-F238E27FC236}">
              <a16:creationId xmlns:a16="http://schemas.microsoft.com/office/drawing/2014/main" id="{00000000-0008-0000-0600-00009AC80C00}"/>
            </a:ext>
          </a:extLst>
        </xdr:cNvPr>
        <xdr:cNvSpPr>
          <a:spLocks noChangeShapeType="1"/>
        </xdr:cNvSpPr>
      </xdr:nvSpPr>
      <xdr:spPr bwMode="auto">
        <a:xfrm>
          <a:off x="13754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</xdr:row>
      <xdr:rowOff>76200</xdr:rowOff>
    </xdr:from>
    <xdr:to>
      <xdr:col>32</xdr:col>
      <xdr:colOff>123825</xdr:colOff>
      <xdr:row>8</xdr:row>
      <xdr:rowOff>76200</xdr:rowOff>
    </xdr:to>
    <xdr:sp macro="" textlink="">
      <xdr:nvSpPr>
        <xdr:cNvPr id="837787" name="Line 101">
          <a:extLst>
            <a:ext uri="{FF2B5EF4-FFF2-40B4-BE49-F238E27FC236}">
              <a16:creationId xmlns:a16="http://schemas.microsoft.com/office/drawing/2014/main" id="{00000000-0008-0000-0600-00009BC8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133350</xdr:rowOff>
    </xdr:from>
    <xdr:to>
      <xdr:col>32</xdr:col>
      <xdr:colOff>123825</xdr:colOff>
      <xdr:row>9</xdr:row>
      <xdr:rowOff>133350</xdr:rowOff>
    </xdr:to>
    <xdr:sp macro="" textlink="">
      <xdr:nvSpPr>
        <xdr:cNvPr id="837788" name="Line 102">
          <a:extLst>
            <a:ext uri="{FF2B5EF4-FFF2-40B4-BE49-F238E27FC236}">
              <a16:creationId xmlns:a16="http://schemas.microsoft.com/office/drawing/2014/main" id="{00000000-0008-0000-0600-00009CC80C00}"/>
            </a:ext>
          </a:extLst>
        </xdr:cNvPr>
        <xdr:cNvSpPr>
          <a:spLocks noChangeShapeType="1"/>
        </xdr:cNvSpPr>
      </xdr:nvSpPr>
      <xdr:spPr bwMode="auto">
        <a:xfrm flipH="1">
          <a:off x="13630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12</xdr:row>
      <xdr:rowOff>76200</xdr:rowOff>
    </xdr:from>
    <xdr:to>
      <xdr:col>32</xdr:col>
      <xdr:colOff>123825</xdr:colOff>
      <xdr:row>13</xdr:row>
      <xdr:rowOff>142875</xdr:rowOff>
    </xdr:to>
    <xdr:sp macro="" textlink="">
      <xdr:nvSpPr>
        <xdr:cNvPr id="837789" name="Line 103">
          <a:extLst>
            <a:ext uri="{FF2B5EF4-FFF2-40B4-BE49-F238E27FC236}">
              <a16:creationId xmlns:a16="http://schemas.microsoft.com/office/drawing/2014/main" id="{00000000-0008-0000-0600-00009DC80C00}"/>
            </a:ext>
          </a:extLst>
        </xdr:cNvPr>
        <xdr:cNvSpPr>
          <a:spLocks noChangeShapeType="1"/>
        </xdr:cNvSpPr>
      </xdr:nvSpPr>
      <xdr:spPr bwMode="auto">
        <a:xfrm>
          <a:off x="13754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12</xdr:row>
      <xdr:rowOff>76200</xdr:rowOff>
    </xdr:from>
    <xdr:to>
      <xdr:col>32</xdr:col>
      <xdr:colOff>123825</xdr:colOff>
      <xdr:row>12</xdr:row>
      <xdr:rowOff>76200</xdr:rowOff>
    </xdr:to>
    <xdr:sp macro="" textlink="">
      <xdr:nvSpPr>
        <xdr:cNvPr id="837790" name="Line 104">
          <a:extLst>
            <a:ext uri="{FF2B5EF4-FFF2-40B4-BE49-F238E27FC236}">
              <a16:creationId xmlns:a16="http://schemas.microsoft.com/office/drawing/2014/main" id="{00000000-0008-0000-0600-00009EC8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123825</xdr:colOff>
      <xdr:row>13</xdr:row>
      <xdr:rowOff>133350</xdr:rowOff>
    </xdr:to>
    <xdr:sp macro="" textlink="">
      <xdr:nvSpPr>
        <xdr:cNvPr id="837791" name="Line 105">
          <a:extLst>
            <a:ext uri="{FF2B5EF4-FFF2-40B4-BE49-F238E27FC236}">
              <a16:creationId xmlns:a16="http://schemas.microsoft.com/office/drawing/2014/main" id="{00000000-0008-0000-0600-00009FC80C00}"/>
            </a:ext>
          </a:extLst>
        </xdr:cNvPr>
        <xdr:cNvSpPr>
          <a:spLocks noChangeShapeType="1"/>
        </xdr:cNvSpPr>
      </xdr:nvSpPr>
      <xdr:spPr bwMode="auto">
        <a:xfrm flipH="1">
          <a:off x="13630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14</xdr:row>
      <xdr:rowOff>76200</xdr:rowOff>
    </xdr:from>
    <xdr:to>
      <xdr:col>32</xdr:col>
      <xdr:colOff>123825</xdr:colOff>
      <xdr:row>15</xdr:row>
      <xdr:rowOff>142875</xdr:rowOff>
    </xdr:to>
    <xdr:sp macro="" textlink="">
      <xdr:nvSpPr>
        <xdr:cNvPr id="837792" name="Line 106">
          <a:extLst>
            <a:ext uri="{FF2B5EF4-FFF2-40B4-BE49-F238E27FC236}">
              <a16:creationId xmlns:a16="http://schemas.microsoft.com/office/drawing/2014/main" id="{00000000-0008-0000-0600-0000A0C80C00}"/>
            </a:ext>
          </a:extLst>
        </xdr:cNvPr>
        <xdr:cNvSpPr>
          <a:spLocks noChangeShapeType="1"/>
        </xdr:cNvSpPr>
      </xdr:nvSpPr>
      <xdr:spPr bwMode="auto">
        <a:xfrm>
          <a:off x="13754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76200</xdr:rowOff>
    </xdr:from>
    <xdr:to>
      <xdr:col>32</xdr:col>
      <xdr:colOff>123825</xdr:colOff>
      <xdr:row>14</xdr:row>
      <xdr:rowOff>76200</xdr:rowOff>
    </xdr:to>
    <xdr:sp macro="" textlink="">
      <xdr:nvSpPr>
        <xdr:cNvPr id="837793" name="Line 107">
          <a:extLst>
            <a:ext uri="{FF2B5EF4-FFF2-40B4-BE49-F238E27FC236}">
              <a16:creationId xmlns:a16="http://schemas.microsoft.com/office/drawing/2014/main" id="{00000000-0008-0000-0600-0000A1C80C00}"/>
            </a:ext>
          </a:extLst>
        </xdr:cNvPr>
        <xdr:cNvSpPr>
          <a:spLocks noChangeShapeType="1"/>
        </xdr:cNvSpPr>
      </xdr:nvSpPr>
      <xdr:spPr bwMode="auto">
        <a:xfrm flipH="1" flipV="1">
          <a:off x="13630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133350</xdr:rowOff>
    </xdr:from>
    <xdr:to>
      <xdr:col>32</xdr:col>
      <xdr:colOff>123825</xdr:colOff>
      <xdr:row>15</xdr:row>
      <xdr:rowOff>133350</xdr:rowOff>
    </xdr:to>
    <xdr:sp macro="" textlink="">
      <xdr:nvSpPr>
        <xdr:cNvPr id="837794" name="Line 108">
          <a:extLst>
            <a:ext uri="{FF2B5EF4-FFF2-40B4-BE49-F238E27FC236}">
              <a16:creationId xmlns:a16="http://schemas.microsoft.com/office/drawing/2014/main" id="{00000000-0008-0000-0600-0000A2C80C00}"/>
            </a:ext>
          </a:extLst>
        </xdr:cNvPr>
        <xdr:cNvSpPr>
          <a:spLocks noChangeShapeType="1"/>
        </xdr:cNvSpPr>
      </xdr:nvSpPr>
      <xdr:spPr bwMode="auto">
        <a:xfrm flipH="1">
          <a:off x="13630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795" name="Line 110">
          <a:extLst>
            <a:ext uri="{FF2B5EF4-FFF2-40B4-BE49-F238E27FC236}">
              <a16:creationId xmlns:a16="http://schemas.microsoft.com/office/drawing/2014/main" id="{00000000-0008-0000-0600-0000A3C80C00}"/>
            </a:ext>
          </a:extLst>
        </xdr:cNvPr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796" name="Line 111">
          <a:extLst>
            <a:ext uri="{FF2B5EF4-FFF2-40B4-BE49-F238E27FC236}">
              <a16:creationId xmlns:a16="http://schemas.microsoft.com/office/drawing/2014/main" id="{00000000-0008-0000-0600-0000A4C8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797" name="Line 112">
          <a:extLst>
            <a:ext uri="{FF2B5EF4-FFF2-40B4-BE49-F238E27FC236}">
              <a16:creationId xmlns:a16="http://schemas.microsoft.com/office/drawing/2014/main" id="{00000000-0008-0000-0600-0000A5C80C00}"/>
            </a:ext>
          </a:extLst>
        </xdr:cNvPr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798" name="Line 113">
          <a:extLst>
            <a:ext uri="{FF2B5EF4-FFF2-40B4-BE49-F238E27FC236}">
              <a16:creationId xmlns:a16="http://schemas.microsoft.com/office/drawing/2014/main" id="{00000000-0008-0000-0600-0000A6C80C00}"/>
            </a:ext>
          </a:extLst>
        </xdr:cNvPr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799" name="Line 114">
          <a:extLst>
            <a:ext uri="{FF2B5EF4-FFF2-40B4-BE49-F238E27FC236}">
              <a16:creationId xmlns:a16="http://schemas.microsoft.com/office/drawing/2014/main" id="{00000000-0008-0000-0600-0000A7C80C00}"/>
            </a:ext>
          </a:extLst>
        </xdr:cNvPr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800" name="Line 115">
          <a:extLst>
            <a:ext uri="{FF2B5EF4-FFF2-40B4-BE49-F238E27FC236}">
              <a16:creationId xmlns:a16="http://schemas.microsoft.com/office/drawing/2014/main" id="{00000000-0008-0000-0600-0000A8C80C00}"/>
            </a:ext>
          </a:extLst>
        </xdr:cNvPr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801" name="Line 118">
          <a:extLst>
            <a:ext uri="{FF2B5EF4-FFF2-40B4-BE49-F238E27FC236}">
              <a16:creationId xmlns:a16="http://schemas.microsoft.com/office/drawing/2014/main" id="{00000000-0008-0000-0600-0000A9C80C00}"/>
            </a:ext>
          </a:extLst>
        </xdr:cNvPr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802" name="Line 119">
          <a:extLst>
            <a:ext uri="{FF2B5EF4-FFF2-40B4-BE49-F238E27FC236}">
              <a16:creationId xmlns:a16="http://schemas.microsoft.com/office/drawing/2014/main" id="{00000000-0008-0000-0600-0000AAC80C00}"/>
            </a:ext>
          </a:extLst>
        </xdr:cNvPr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803" name="Line 120">
          <a:extLst>
            <a:ext uri="{FF2B5EF4-FFF2-40B4-BE49-F238E27FC236}">
              <a16:creationId xmlns:a16="http://schemas.microsoft.com/office/drawing/2014/main" id="{00000000-0008-0000-0600-0000ABC80C00}"/>
            </a:ext>
          </a:extLst>
        </xdr:cNvPr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804" name="Line 121">
          <a:extLst>
            <a:ext uri="{FF2B5EF4-FFF2-40B4-BE49-F238E27FC236}">
              <a16:creationId xmlns:a16="http://schemas.microsoft.com/office/drawing/2014/main" id="{00000000-0008-0000-0600-0000ACC80C00}"/>
            </a:ext>
          </a:extLst>
        </xdr:cNvPr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805" name="Line 122">
          <a:extLst>
            <a:ext uri="{FF2B5EF4-FFF2-40B4-BE49-F238E27FC236}">
              <a16:creationId xmlns:a16="http://schemas.microsoft.com/office/drawing/2014/main" id="{00000000-0008-0000-0600-0000ADC8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806" name="Line 123">
          <a:extLst>
            <a:ext uri="{FF2B5EF4-FFF2-40B4-BE49-F238E27FC236}">
              <a16:creationId xmlns:a16="http://schemas.microsoft.com/office/drawing/2014/main" id="{00000000-0008-0000-0600-0000AEC80C00}"/>
            </a:ext>
          </a:extLst>
        </xdr:cNvPr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8</xdr:row>
      <xdr:rowOff>76200</xdr:rowOff>
    </xdr:from>
    <xdr:to>
      <xdr:col>44</xdr:col>
      <xdr:colOff>123825</xdr:colOff>
      <xdr:row>9</xdr:row>
      <xdr:rowOff>142875</xdr:rowOff>
    </xdr:to>
    <xdr:sp macro="" textlink="">
      <xdr:nvSpPr>
        <xdr:cNvPr id="837807" name="Line 124">
          <a:extLst>
            <a:ext uri="{FF2B5EF4-FFF2-40B4-BE49-F238E27FC236}">
              <a16:creationId xmlns:a16="http://schemas.microsoft.com/office/drawing/2014/main" id="{00000000-0008-0000-0600-0000AFC80C00}"/>
            </a:ext>
          </a:extLst>
        </xdr:cNvPr>
        <xdr:cNvSpPr>
          <a:spLocks noChangeShapeType="1"/>
        </xdr:cNvSpPr>
      </xdr:nvSpPr>
      <xdr:spPr bwMode="auto">
        <a:xfrm>
          <a:off x="200025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76200</xdr:rowOff>
    </xdr:from>
    <xdr:to>
      <xdr:col>44</xdr:col>
      <xdr:colOff>123825</xdr:colOff>
      <xdr:row>8</xdr:row>
      <xdr:rowOff>76200</xdr:rowOff>
    </xdr:to>
    <xdr:sp macro="" textlink="">
      <xdr:nvSpPr>
        <xdr:cNvPr id="837808" name="Line 125">
          <a:extLst>
            <a:ext uri="{FF2B5EF4-FFF2-40B4-BE49-F238E27FC236}">
              <a16:creationId xmlns:a16="http://schemas.microsoft.com/office/drawing/2014/main" id="{00000000-0008-0000-0600-0000B0C8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133350</xdr:rowOff>
    </xdr:from>
    <xdr:to>
      <xdr:col>44</xdr:col>
      <xdr:colOff>123825</xdr:colOff>
      <xdr:row>9</xdr:row>
      <xdr:rowOff>133350</xdr:rowOff>
    </xdr:to>
    <xdr:sp macro="" textlink="">
      <xdr:nvSpPr>
        <xdr:cNvPr id="837809" name="Line 126">
          <a:extLst>
            <a:ext uri="{FF2B5EF4-FFF2-40B4-BE49-F238E27FC236}">
              <a16:creationId xmlns:a16="http://schemas.microsoft.com/office/drawing/2014/main" id="{00000000-0008-0000-0600-0000B1C80C00}"/>
            </a:ext>
          </a:extLst>
        </xdr:cNvPr>
        <xdr:cNvSpPr>
          <a:spLocks noChangeShapeType="1"/>
        </xdr:cNvSpPr>
      </xdr:nvSpPr>
      <xdr:spPr bwMode="auto">
        <a:xfrm flipH="1">
          <a:off x="198786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12</xdr:row>
      <xdr:rowOff>76200</xdr:rowOff>
    </xdr:from>
    <xdr:to>
      <xdr:col>44</xdr:col>
      <xdr:colOff>123825</xdr:colOff>
      <xdr:row>13</xdr:row>
      <xdr:rowOff>142875</xdr:rowOff>
    </xdr:to>
    <xdr:sp macro="" textlink="">
      <xdr:nvSpPr>
        <xdr:cNvPr id="837810" name="Line 127">
          <a:extLst>
            <a:ext uri="{FF2B5EF4-FFF2-40B4-BE49-F238E27FC236}">
              <a16:creationId xmlns:a16="http://schemas.microsoft.com/office/drawing/2014/main" id="{00000000-0008-0000-0600-0000B2C80C00}"/>
            </a:ext>
          </a:extLst>
        </xdr:cNvPr>
        <xdr:cNvSpPr>
          <a:spLocks noChangeShapeType="1"/>
        </xdr:cNvSpPr>
      </xdr:nvSpPr>
      <xdr:spPr bwMode="auto">
        <a:xfrm>
          <a:off x="200025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76200</xdr:rowOff>
    </xdr:from>
    <xdr:to>
      <xdr:col>44</xdr:col>
      <xdr:colOff>123825</xdr:colOff>
      <xdr:row>12</xdr:row>
      <xdr:rowOff>76200</xdr:rowOff>
    </xdr:to>
    <xdr:sp macro="" textlink="">
      <xdr:nvSpPr>
        <xdr:cNvPr id="837811" name="Line 128">
          <a:extLst>
            <a:ext uri="{FF2B5EF4-FFF2-40B4-BE49-F238E27FC236}">
              <a16:creationId xmlns:a16="http://schemas.microsoft.com/office/drawing/2014/main" id="{00000000-0008-0000-0600-0000B3C8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13</xdr:row>
      <xdr:rowOff>133350</xdr:rowOff>
    </xdr:from>
    <xdr:to>
      <xdr:col>44</xdr:col>
      <xdr:colOff>123825</xdr:colOff>
      <xdr:row>13</xdr:row>
      <xdr:rowOff>133350</xdr:rowOff>
    </xdr:to>
    <xdr:sp macro="" textlink="">
      <xdr:nvSpPr>
        <xdr:cNvPr id="837812" name="Line 129">
          <a:extLst>
            <a:ext uri="{FF2B5EF4-FFF2-40B4-BE49-F238E27FC236}">
              <a16:creationId xmlns:a16="http://schemas.microsoft.com/office/drawing/2014/main" id="{00000000-0008-0000-0600-0000B4C80C00}"/>
            </a:ext>
          </a:extLst>
        </xdr:cNvPr>
        <xdr:cNvSpPr>
          <a:spLocks noChangeShapeType="1"/>
        </xdr:cNvSpPr>
      </xdr:nvSpPr>
      <xdr:spPr bwMode="auto">
        <a:xfrm flipH="1">
          <a:off x="198786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14</xdr:row>
      <xdr:rowOff>76200</xdr:rowOff>
    </xdr:from>
    <xdr:to>
      <xdr:col>44</xdr:col>
      <xdr:colOff>123825</xdr:colOff>
      <xdr:row>15</xdr:row>
      <xdr:rowOff>142875</xdr:rowOff>
    </xdr:to>
    <xdr:sp macro="" textlink="">
      <xdr:nvSpPr>
        <xdr:cNvPr id="837813" name="Line 130">
          <a:extLst>
            <a:ext uri="{FF2B5EF4-FFF2-40B4-BE49-F238E27FC236}">
              <a16:creationId xmlns:a16="http://schemas.microsoft.com/office/drawing/2014/main" id="{00000000-0008-0000-0600-0000B5C80C00}"/>
            </a:ext>
          </a:extLst>
        </xdr:cNvPr>
        <xdr:cNvSpPr>
          <a:spLocks noChangeShapeType="1"/>
        </xdr:cNvSpPr>
      </xdr:nvSpPr>
      <xdr:spPr bwMode="auto">
        <a:xfrm>
          <a:off x="200025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14</xdr:row>
      <xdr:rowOff>76200</xdr:rowOff>
    </xdr:from>
    <xdr:to>
      <xdr:col>44</xdr:col>
      <xdr:colOff>123825</xdr:colOff>
      <xdr:row>14</xdr:row>
      <xdr:rowOff>76200</xdr:rowOff>
    </xdr:to>
    <xdr:sp macro="" textlink="">
      <xdr:nvSpPr>
        <xdr:cNvPr id="837814" name="Line 131">
          <a:extLst>
            <a:ext uri="{FF2B5EF4-FFF2-40B4-BE49-F238E27FC236}">
              <a16:creationId xmlns:a16="http://schemas.microsoft.com/office/drawing/2014/main" id="{00000000-0008-0000-0600-0000B6C8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133350</xdr:rowOff>
    </xdr:from>
    <xdr:to>
      <xdr:col>44</xdr:col>
      <xdr:colOff>123825</xdr:colOff>
      <xdr:row>15</xdr:row>
      <xdr:rowOff>133350</xdr:rowOff>
    </xdr:to>
    <xdr:sp macro="" textlink="">
      <xdr:nvSpPr>
        <xdr:cNvPr id="837815" name="Line 132">
          <a:extLst>
            <a:ext uri="{FF2B5EF4-FFF2-40B4-BE49-F238E27FC236}">
              <a16:creationId xmlns:a16="http://schemas.microsoft.com/office/drawing/2014/main" id="{00000000-0008-0000-0600-0000B7C80C00}"/>
            </a:ext>
          </a:extLst>
        </xdr:cNvPr>
        <xdr:cNvSpPr>
          <a:spLocks noChangeShapeType="1"/>
        </xdr:cNvSpPr>
      </xdr:nvSpPr>
      <xdr:spPr bwMode="auto">
        <a:xfrm flipH="1">
          <a:off x="198786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816" name="Line 134">
          <a:extLst>
            <a:ext uri="{FF2B5EF4-FFF2-40B4-BE49-F238E27FC236}">
              <a16:creationId xmlns:a16="http://schemas.microsoft.com/office/drawing/2014/main" id="{00000000-0008-0000-0600-0000B8C80C00}"/>
            </a:ext>
          </a:extLst>
        </xdr:cNvPr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817" name="Line 135">
          <a:extLst>
            <a:ext uri="{FF2B5EF4-FFF2-40B4-BE49-F238E27FC236}">
              <a16:creationId xmlns:a16="http://schemas.microsoft.com/office/drawing/2014/main" id="{00000000-0008-0000-0600-0000B9C8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818" name="Line 136">
          <a:extLst>
            <a:ext uri="{FF2B5EF4-FFF2-40B4-BE49-F238E27FC236}">
              <a16:creationId xmlns:a16="http://schemas.microsoft.com/office/drawing/2014/main" id="{00000000-0008-0000-0600-0000BAC80C00}"/>
            </a:ext>
          </a:extLst>
        </xdr:cNvPr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819" name="Line 137">
          <a:extLst>
            <a:ext uri="{FF2B5EF4-FFF2-40B4-BE49-F238E27FC236}">
              <a16:creationId xmlns:a16="http://schemas.microsoft.com/office/drawing/2014/main" id="{00000000-0008-0000-0600-0000BBC80C00}"/>
            </a:ext>
          </a:extLst>
        </xdr:cNvPr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820" name="Line 138">
          <a:extLst>
            <a:ext uri="{FF2B5EF4-FFF2-40B4-BE49-F238E27FC236}">
              <a16:creationId xmlns:a16="http://schemas.microsoft.com/office/drawing/2014/main" id="{00000000-0008-0000-0600-0000BCC80C00}"/>
            </a:ext>
          </a:extLst>
        </xdr:cNvPr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821" name="Line 139">
          <a:extLst>
            <a:ext uri="{FF2B5EF4-FFF2-40B4-BE49-F238E27FC236}">
              <a16:creationId xmlns:a16="http://schemas.microsoft.com/office/drawing/2014/main" id="{00000000-0008-0000-0600-0000BDC80C00}"/>
            </a:ext>
          </a:extLst>
        </xdr:cNvPr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822" name="Line 142">
          <a:extLst>
            <a:ext uri="{FF2B5EF4-FFF2-40B4-BE49-F238E27FC236}">
              <a16:creationId xmlns:a16="http://schemas.microsoft.com/office/drawing/2014/main" id="{00000000-0008-0000-0600-0000BEC80C00}"/>
            </a:ext>
          </a:extLst>
        </xdr:cNvPr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823" name="Line 143">
          <a:extLst>
            <a:ext uri="{FF2B5EF4-FFF2-40B4-BE49-F238E27FC236}">
              <a16:creationId xmlns:a16="http://schemas.microsoft.com/office/drawing/2014/main" id="{00000000-0008-0000-0600-0000BFC80C00}"/>
            </a:ext>
          </a:extLst>
        </xdr:cNvPr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824" name="Line 144">
          <a:extLst>
            <a:ext uri="{FF2B5EF4-FFF2-40B4-BE49-F238E27FC236}">
              <a16:creationId xmlns:a16="http://schemas.microsoft.com/office/drawing/2014/main" id="{00000000-0008-0000-0600-0000C0C80C00}"/>
            </a:ext>
          </a:extLst>
        </xdr:cNvPr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825" name="Line 145">
          <a:extLst>
            <a:ext uri="{FF2B5EF4-FFF2-40B4-BE49-F238E27FC236}">
              <a16:creationId xmlns:a16="http://schemas.microsoft.com/office/drawing/2014/main" id="{00000000-0008-0000-0600-0000C1C80C00}"/>
            </a:ext>
          </a:extLst>
        </xdr:cNvPr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826" name="Line 146">
          <a:extLst>
            <a:ext uri="{FF2B5EF4-FFF2-40B4-BE49-F238E27FC236}">
              <a16:creationId xmlns:a16="http://schemas.microsoft.com/office/drawing/2014/main" id="{00000000-0008-0000-0600-0000C2C8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827" name="Line 147">
          <a:extLst>
            <a:ext uri="{FF2B5EF4-FFF2-40B4-BE49-F238E27FC236}">
              <a16:creationId xmlns:a16="http://schemas.microsoft.com/office/drawing/2014/main" id="{00000000-0008-0000-0600-0000C3C80C00}"/>
            </a:ext>
          </a:extLst>
        </xdr:cNvPr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8</xdr:row>
      <xdr:rowOff>76200</xdr:rowOff>
    </xdr:from>
    <xdr:to>
      <xdr:col>38</xdr:col>
      <xdr:colOff>123825</xdr:colOff>
      <xdr:row>9</xdr:row>
      <xdr:rowOff>142875</xdr:rowOff>
    </xdr:to>
    <xdr:sp macro="" textlink="">
      <xdr:nvSpPr>
        <xdr:cNvPr id="837828" name="Line 148">
          <a:extLst>
            <a:ext uri="{FF2B5EF4-FFF2-40B4-BE49-F238E27FC236}">
              <a16:creationId xmlns:a16="http://schemas.microsoft.com/office/drawing/2014/main" id="{00000000-0008-0000-0600-0000C4C80C00}"/>
            </a:ext>
          </a:extLst>
        </xdr:cNvPr>
        <xdr:cNvSpPr>
          <a:spLocks noChangeShapeType="1"/>
        </xdr:cNvSpPr>
      </xdr:nvSpPr>
      <xdr:spPr bwMode="auto">
        <a:xfrm>
          <a:off x="16764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123825</xdr:colOff>
      <xdr:row>8</xdr:row>
      <xdr:rowOff>76200</xdr:rowOff>
    </xdr:to>
    <xdr:sp macro="" textlink="">
      <xdr:nvSpPr>
        <xdr:cNvPr id="837829" name="Line 149">
          <a:extLst>
            <a:ext uri="{FF2B5EF4-FFF2-40B4-BE49-F238E27FC236}">
              <a16:creationId xmlns:a16="http://schemas.microsoft.com/office/drawing/2014/main" id="{00000000-0008-0000-0600-0000C5C8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</xdr:row>
      <xdr:rowOff>133350</xdr:rowOff>
    </xdr:from>
    <xdr:to>
      <xdr:col>38</xdr:col>
      <xdr:colOff>123825</xdr:colOff>
      <xdr:row>9</xdr:row>
      <xdr:rowOff>133350</xdr:rowOff>
    </xdr:to>
    <xdr:sp macro="" textlink="">
      <xdr:nvSpPr>
        <xdr:cNvPr id="837830" name="Line 150">
          <a:extLst>
            <a:ext uri="{FF2B5EF4-FFF2-40B4-BE49-F238E27FC236}">
              <a16:creationId xmlns:a16="http://schemas.microsoft.com/office/drawing/2014/main" id="{00000000-0008-0000-0600-0000C6C80C00}"/>
            </a:ext>
          </a:extLst>
        </xdr:cNvPr>
        <xdr:cNvSpPr>
          <a:spLocks noChangeShapeType="1"/>
        </xdr:cNvSpPr>
      </xdr:nvSpPr>
      <xdr:spPr bwMode="auto">
        <a:xfrm flipH="1">
          <a:off x="16640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12</xdr:row>
      <xdr:rowOff>76200</xdr:rowOff>
    </xdr:from>
    <xdr:to>
      <xdr:col>38</xdr:col>
      <xdr:colOff>123825</xdr:colOff>
      <xdr:row>13</xdr:row>
      <xdr:rowOff>142875</xdr:rowOff>
    </xdr:to>
    <xdr:sp macro="" textlink="">
      <xdr:nvSpPr>
        <xdr:cNvPr id="837831" name="Line 151">
          <a:extLst>
            <a:ext uri="{FF2B5EF4-FFF2-40B4-BE49-F238E27FC236}">
              <a16:creationId xmlns:a16="http://schemas.microsoft.com/office/drawing/2014/main" id="{00000000-0008-0000-0600-0000C7C80C00}"/>
            </a:ext>
          </a:extLst>
        </xdr:cNvPr>
        <xdr:cNvSpPr>
          <a:spLocks noChangeShapeType="1"/>
        </xdr:cNvSpPr>
      </xdr:nvSpPr>
      <xdr:spPr bwMode="auto">
        <a:xfrm>
          <a:off x="16764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12</xdr:row>
      <xdr:rowOff>76200</xdr:rowOff>
    </xdr:from>
    <xdr:to>
      <xdr:col>38</xdr:col>
      <xdr:colOff>123825</xdr:colOff>
      <xdr:row>12</xdr:row>
      <xdr:rowOff>76200</xdr:rowOff>
    </xdr:to>
    <xdr:sp macro="" textlink="">
      <xdr:nvSpPr>
        <xdr:cNvPr id="837832" name="Line 152">
          <a:extLst>
            <a:ext uri="{FF2B5EF4-FFF2-40B4-BE49-F238E27FC236}">
              <a16:creationId xmlns:a16="http://schemas.microsoft.com/office/drawing/2014/main" id="{00000000-0008-0000-0600-0000C8C8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133350</xdr:rowOff>
    </xdr:from>
    <xdr:to>
      <xdr:col>38</xdr:col>
      <xdr:colOff>123825</xdr:colOff>
      <xdr:row>13</xdr:row>
      <xdr:rowOff>133350</xdr:rowOff>
    </xdr:to>
    <xdr:sp macro="" textlink="">
      <xdr:nvSpPr>
        <xdr:cNvPr id="837833" name="Line 153">
          <a:extLst>
            <a:ext uri="{FF2B5EF4-FFF2-40B4-BE49-F238E27FC236}">
              <a16:creationId xmlns:a16="http://schemas.microsoft.com/office/drawing/2014/main" id="{00000000-0008-0000-0600-0000C9C80C00}"/>
            </a:ext>
          </a:extLst>
        </xdr:cNvPr>
        <xdr:cNvSpPr>
          <a:spLocks noChangeShapeType="1"/>
        </xdr:cNvSpPr>
      </xdr:nvSpPr>
      <xdr:spPr bwMode="auto">
        <a:xfrm flipH="1">
          <a:off x="16640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14</xdr:row>
      <xdr:rowOff>76200</xdr:rowOff>
    </xdr:from>
    <xdr:to>
      <xdr:col>38</xdr:col>
      <xdr:colOff>123825</xdr:colOff>
      <xdr:row>15</xdr:row>
      <xdr:rowOff>142875</xdr:rowOff>
    </xdr:to>
    <xdr:sp macro="" textlink="">
      <xdr:nvSpPr>
        <xdr:cNvPr id="837834" name="Line 154">
          <a:extLst>
            <a:ext uri="{FF2B5EF4-FFF2-40B4-BE49-F238E27FC236}">
              <a16:creationId xmlns:a16="http://schemas.microsoft.com/office/drawing/2014/main" id="{00000000-0008-0000-0600-0000CAC80C00}"/>
            </a:ext>
          </a:extLst>
        </xdr:cNvPr>
        <xdr:cNvSpPr>
          <a:spLocks noChangeShapeType="1"/>
        </xdr:cNvSpPr>
      </xdr:nvSpPr>
      <xdr:spPr bwMode="auto">
        <a:xfrm>
          <a:off x="16764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14</xdr:row>
      <xdr:rowOff>76200</xdr:rowOff>
    </xdr:from>
    <xdr:to>
      <xdr:col>38</xdr:col>
      <xdr:colOff>123825</xdr:colOff>
      <xdr:row>14</xdr:row>
      <xdr:rowOff>76200</xdr:rowOff>
    </xdr:to>
    <xdr:sp macro="" textlink="">
      <xdr:nvSpPr>
        <xdr:cNvPr id="837835" name="Line 155">
          <a:extLst>
            <a:ext uri="{FF2B5EF4-FFF2-40B4-BE49-F238E27FC236}">
              <a16:creationId xmlns:a16="http://schemas.microsoft.com/office/drawing/2014/main" id="{00000000-0008-0000-0600-0000CBC80C00}"/>
            </a:ext>
          </a:extLst>
        </xdr:cNvPr>
        <xdr:cNvSpPr>
          <a:spLocks noChangeShapeType="1"/>
        </xdr:cNvSpPr>
      </xdr:nvSpPr>
      <xdr:spPr bwMode="auto">
        <a:xfrm flipH="1" flipV="1">
          <a:off x="16640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133350</xdr:rowOff>
    </xdr:from>
    <xdr:to>
      <xdr:col>38</xdr:col>
      <xdr:colOff>123825</xdr:colOff>
      <xdr:row>15</xdr:row>
      <xdr:rowOff>133350</xdr:rowOff>
    </xdr:to>
    <xdr:sp macro="" textlink="">
      <xdr:nvSpPr>
        <xdr:cNvPr id="837836" name="Line 156">
          <a:extLst>
            <a:ext uri="{FF2B5EF4-FFF2-40B4-BE49-F238E27FC236}">
              <a16:creationId xmlns:a16="http://schemas.microsoft.com/office/drawing/2014/main" id="{00000000-0008-0000-0600-0000CCC80C00}"/>
            </a:ext>
          </a:extLst>
        </xdr:cNvPr>
        <xdr:cNvSpPr>
          <a:spLocks noChangeShapeType="1"/>
        </xdr:cNvSpPr>
      </xdr:nvSpPr>
      <xdr:spPr bwMode="auto">
        <a:xfrm flipH="1">
          <a:off x="16640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837" name="Line 158">
          <a:extLst>
            <a:ext uri="{FF2B5EF4-FFF2-40B4-BE49-F238E27FC236}">
              <a16:creationId xmlns:a16="http://schemas.microsoft.com/office/drawing/2014/main" id="{00000000-0008-0000-0600-0000CDC80C00}"/>
            </a:ext>
          </a:extLst>
        </xdr:cNvPr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838" name="Line 159">
          <a:extLst>
            <a:ext uri="{FF2B5EF4-FFF2-40B4-BE49-F238E27FC236}">
              <a16:creationId xmlns:a16="http://schemas.microsoft.com/office/drawing/2014/main" id="{00000000-0008-0000-0600-0000CEC8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839" name="Line 160">
          <a:extLst>
            <a:ext uri="{FF2B5EF4-FFF2-40B4-BE49-F238E27FC236}">
              <a16:creationId xmlns:a16="http://schemas.microsoft.com/office/drawing/2014/main" id="{00000000-0008-0000-0600-0000CFC80C00}"/>
            </a:ext>
          </a:extLst>
        </xdr:cNvPr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840" name="Line 161">
          <a:extLst>
            <a:ext uri="{FF2B5EF4-FFF2-40B4-BE49-F238E27FC236}">
              <a16:creationId xmlns:a16="http://schemas.microsoft.com/office/drawing/2014/main" id="{00000000-0008-0000-0600-0000D0C80C00}"/>
            </a:ext>
          </a:extLst>
        </xdr:cNvPr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841" name="Line 162">
          <a:extLst>
            <a:ext uri="{FF2B5EF4-FFF2-40B4-BE49-F238E27FC236}">
              <a16:creationId xmlns:a16="http://schemas.microsoft.com/office/drawing/2014/main" id="{00000000-0008-0000-0600-0000D1C80C00}"/>
            </a:ext>
          </a:extLst>
        </xdr:cNvPr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842" name="Line 163">
          <a:extLst>
            <a:ext uri="{FF2B5EF4-FFF2-40B4-BE49-F238E27FC236}">
              <a16:creationId xmlns:a16="http://schemas.microsoft.com/office/drawing/2014/main" id="{00000000-0008-0000-0600-0000D2C80C00}"/>
            </a:ext>
          </a:extLst>
        </xdr:cNvPr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843" name="Line 166">
          <a:extLst>
            <a:ext uri="{FF2B5EF4-FFF2-40B4-BE49-F238E27FC236}">
              <a16:creationId xmlns:a16="http://schemas.microsoft.com/office/drawing/2014/main" id="{00000000-0008-0000-0600-0000D3C80C00}"/>
            </a:ext>
          </a:extLst>
        </xdr:cNvPr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844" name="Line 167">
          <a:extLst>
            <a:ext uri="{FF2B5EF4-FFF2-40B4-BE49-F238E27FC236}">
              <a16:creationId xmlns:a16="http://schemas.microsoft.com/office/drawing/2014/main" id="{00000000-0008-0000-0600-0000D4C80C00}"/>
            </a:ext>
          </a:extLst>
        </xdr:cNvPr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845" name="Line 168">
          <a:extLst>
            <a:ext uri="{FF2B5EF4-FFF2-40B4-BE49-F238E27FC236}">
              <a16:creationId xmlns:a16="http://schemas.microsoft.com/office/drawing/2014/main" id="{00000000-0008-0000-0600-0000D5C80C00}"/>
            </a:ext>
          </a:extLst>
        </xdr:cNvPr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846" name="Line 169">
          <a:extLst>
            <a:ext uri="{FF2B5EF4-FFF2-40B4-BE49-F238E27FC236}">
              <a16:creationId xmlns:a16="http://schemas.microsoft.com/office/drawing/2014/main" id="{00000000-0008-0000-0600-0000D6C80C00}"/>
            </a:ext>
          </a:extLst>
        </xdr:cNvPr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847" name="Line 170">
          <a:extLst>
            <a:ext uri="{FF2B5EF4-FFF2-40B4-BE49-F238E27FC236}">
              <a16:creationId xmlns:a16="http://schemas.microsoft.com/office/drawing/2014/main" id="{00000000-0008-0000-0600-0000D7C8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848" name="Line 171">
          <a:extLst>
            <a:ext uri="{FF2B5EF4-FFF2-40B4-BE49-F238E27FC236}">
              <a16:creationId xmlns:a16="http://schemas.microsoft.com/office/drawing/2014/main" id="{00000000-0008-0000-0600-0000D8C80C00}"/>
            </a:ext>
          </a:extLst>
        </xdr:cNvPr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8</xdr:row>
      <xdr:rowOff>76200</xdr:rowOff>
    </xdr:from>
    <xdr:to>
      <xdr:col>50</xdr:col>
      <xdr:colOff>123825</xdr:colOff>
      <xdr:row>9</xdr:row>
      <xdr:rowOff>142875</xdr:rowOff>
    </xdr:to>
    <xdr:sp macro="" textlink="">
      <xdr:nvSpPr>
        <xdr:cNvPr id="837849" name="Line 172">
          <a:extLst>
            <a:ext uri="{FF2B5EF4-FFF2-40B4-BE49-F238E27FC236}">
              <a16:creationId xmlns:a16="http://schemas.microsoft.com/office/drawing/2014/main" id="{00000000-0008-0000-0600-0000D9C80C00}"/>
            </a:ext>
          </a:extLst>
        </xdr:cNvPr>
        <xdr:cNvSpPr>
          <a:spLocks noChangeShapeType="1"/>
        </xdr:cNvSpPr>
      </xdr:nvSpPr>
      <xdr:spPr bwMode="auto">
        <a:xfrm>
          <a:off x="23145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76200</xdr:rowOff>
    </xdr:from>
    <xdr:to>
      <xdr:col>50</xdr:col>
      <xdr:colOff>123825</xdr:colOff>
      <xdr:row>8</xdr:row>
      <xdr:rowOff>76200</xdr:rowOff>
    </xdr:to>
    <xdr:sp macro="" textlink="">
      <xdr:nvSpPr>
        <xdr:cNvPr id="837850" name="Line 173">
          <a:extLst>
            <a:ext uri="{FF2B5EF4-FFF2-40B4-BE49-F238E27FC236}">
              <a16:creationId xmlns:a16="http://schemas.microsoft.com/office/drawing/2014/main" id="{00000000-0008-0000-0600-0000DAC8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133350</xdr:rowOff>
    </xdr:from>
    <xdr:to>
      <xdr:col>50</xdr:col>
      <xdr:colOff>123825</xdr:colOff>
      <xdr:row>9</xdr:row>
      <xdr:rowOff>133350</xdr:rowOff>
    </xdr:to>
    <xdr:sp macro="" textlink="">
      <xdr:nvSpPr>
        <xdr:cNvPr id="837851" name="Line 174">
          <a:extLst>
            <a:ext uri="{FF2B5EF4-FFF2-40B4-BE49-F238E27FC236}">
              <a16:creationId xmlns:a16="http://schemas.microsoft.com/office/drawing/2014/main" id="{00000000-0008-0000-0600-0000DBC80C00}"/>
            </a:ext>
          </a:extLst>
        </xdr:cNvPr>
        <xdr:cNvSpPr>
          <a:spLocks noChangeShapeType="1"/>
        </xdr:cNvSpPr>
      </xdr:nvSpPr>
      <xdr:spPr bwMode="auto">
        <a:xfrm flipH="1">
          <a:off x="23021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12</xdr:row>
      <xdr:rowOff>76200</xdr:rowOff>
    </xdr:from>
    <xdr:to>
      <xdr:col>50</xdr:col>
      <xdr:colOff>123825</xdr:colOff>
      <xdr:row>13</xdr:row>
      <xdr:rowOff>142875</xdr:rowOff>
    </xdr:to>
    <xdr:sp macro="" textlink="">
      <xdr:nvSpPr>
        <xdr:cNvPr id="837852" name="Line 175">
          <a:extLst>
            <a:ext uri="{FF2B5EF4-FFF2-40B4-BE49-F238E27FC236}">
              <a16:creationId xmlns:a16="http://schemas.microsoft.com/office/drawing/2014/main" id="{00000000-0008-0000-0600-0000DCC80C00}"/>
            </a:ext>
          </a:extLst>
        </xdr:cNvPr>
        <xdr:cNvSpPr>
          <a:spLocks noChangeShapeType="1"/>
        </xdr:cNvSpPr>
      </xdr:nvSpPr>
      <xdr:spPr bwMode="auto">
        <a:xfrm>
          <a:off x="23145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12</xdr:row>
      <xdr:rowOff>76200</xdr:rowOff>
    </xdr:from>
    <xdr:to>
      <xdr:col>50</xdr:col>
      <xdr:colOff>123825</xdr:colOff>
      <xdr:row>12</xdr:row>
      <xdr:rowOff>76200</xdr:rowOff>
    </xdr:to>
    <xdr:sp macro="" textlink="">
      <xdr:nvSpPr>
        <xdr:cNvPr id="837853" name="Line 176">
          <a:extLst>
            <a:ext uri="{FF2B5EF4-FFF2-40B4-BE49-F238E27FC236}">
              <a16:creationId xmlns:a16="http://schemas.microsoft.com/office/drawing/2014/main" id="{00000000-0008-0000-0600-0000DDC8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133350</xdr:rowOff>
    </xdr:from>
    <xdr:to>
      <xdr:col>50</xdr:col>
      <xdr:colOff>123825</xdr:colOff>
      <xdr:row>13</xdr:row>
      <xdr:rowOff>133350</xdr:rowOff>
    </xdr:to>
    <xdr:sp macro="" textlink="">
      <xdr:nvSpPr>
        <xdr:cNvPr id="837854" name="Line 177">
          <a:extLst>
            <a:ext uri="{FF2B5EF4-FFF2-40B4-BE49-F238E27FC236}">
              <a16:creationId xmlns:a16="http://schemas.microsoft.com/office/drawing/2014/main" id="{00000000-0008-0000-0600-0000DEC80C00}"/>
            </a:ext>
          </a:extLst>
        </xdr:cNvPr>
        <xdr:cNvSpPr>
          <a:spLocks noChangeShapeType="1"/>
        </xdr:cNvSpPr>
      </xdr:nvSpPr>
      <xdr:spPr bwMode="auto">
        <a:xfrm flipH="1">
          <a:off x="23021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14</xdr:row>
      <xdr:rowOff>76200</xdr:rowOff>
    </xdr:from>
    <xdr:to>
      <xdr:col>50</xdr:col>
      <xdr:colOff>123825</xdr:colOff>
      <xdr:row>15</xdr:row>
      <xdr:rowOff>142875</xdr:rowOff>
    </xdr:to>
    <xdr:sp macro="" textlink="">
      <xdr:nvSpPr>
        <xdr:cNvPr id="837855" name="Line 178">
          <a:extLst>
            <a:ext uri="{FF2B5EF4-FFF2-40B4-BE49-F238E27FC236}">
              <a16:creationId xmlns:a16="http://schemas.microsoft.com/office/drawing/2014/main" id="{00000000-0008-0000-0600-0000DFC80C00}"/>
            </a:ext>
          </a:extLst>
        </xdr:cNvPr>
        <xdr:cNvSpPr>
          <a:spLocks noChangeShapeType="1"/>
        </xdr:cNvSpPr>
      </xdr:nvSpPr>
      <xdr:spPr bwMode="auto">
        <a:xfrm>
          <a:off x="23145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76200</xdr:rowOff>
    </xdr:from>
    <xdr:to>
      <xdr:col>50</xdr:col>
      <xdr:colOff>123825</xdr:colOff>
      <xdr:row>14</xdr:row>
      <xdr:rowOff>76200</xdr:rowOff>
    </xdr:to>
    <xdr:sp macro="" textlink="">
      <xdr:nvSpPr>
        <xdr:cNvPr id="837856" name="Line 179">
          <a:extLst>
            <a:ext uri="{FF2B5EF4-FFF2-40B4-BE49-F238E27FC236}">
              <a16:creationId xmlns:a16="http://schemas.microsoft.com/office/drawing/2014/main" id="{00000000-0008-0000-0600-0000E0C8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15</xdr:row>
      <xdr:rowOff>133350</xdr:rowOff>
    </xdr:from>
    <xdr:to>
      <xdr:col>50</xdr:col>
      <xdr:colOff>123825</xdr:colOff>
      <xdr:row>15</xdr:row>
      <xdr:rowOff>133350</xdr:rowOff>
    </xdr:to>
    <xdr:sp macro="" textlink="">
      <xdr:nvSpPr>
        <xdr:cNvPr id="837857" name="Line 180">
          <a:extLst>
            <a:ext uri="{FF2B5EF4-FFF2-40B4-BE49-F238E27FC236}">
              <a16:creationId xmlns:a16="http://schemas.microsoft.com/office/drawing/2014/main" id="{00000000-0008-0000-0600-0000E1C80C00}"/>
            </a:ext>
          </a:extLst>
        </xdr:cNvPr>
        <xdr:cNvSpPr>
          <a:spLocks noChangeShapeType="1"/>
        </xdr:cNvSpPr>
      </xdr:nvSpPr>
      <xdr:spPr bwMode="auto">
        <a:xfrm flipH="1">
          <a:off x="23021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858" name="Line 192">
          <a:extLst>
            <a:ext uri="{FF2B5EF4-FFF2-40B4-BE49-F238E27FC236}">
              <a16:creationId xmlns:a16="http://schemas.microsoft.com/office/drawing/2014/main" id="{00000000-0008-0000-0600-0000E2C80C00}"/>
            </a:ext>
          </a:extLst>
        </xdr:cNvPr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859" name="Line 193">
          <a:extLst>
            <a:ext uri="{FF2B5EF4-FFF2-40B4-BE49-F238E27FC236}">
              <a16:creationId xmlns:a16="http://schemas.microsoft.com/office/drawing/2014/main" id="{00000000-0008-0000-0600-0000E3C8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860" name="Line 194">
          <a:extLst>
            <a:ext uri="{FF2B5EF4-FFF2-40B4-BE49-F238E27FC236}">
              <a16:creationId xmlns:a16="http://schemas.microsoft.com/office/drawing/2014/main" id="{00000000-0008-0000-0600-0000E4C80C00}"/>
            </a:ext>
          </a:extLst>
        </xdr:cNvPr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861" name="Line 195">
          <a:extLst>
            <a:ext uri="{FF2B5EF4-FFF2-40B4-BE49-F238E27FC236}">
              <a16:creationId xmlns:a16="http://schemas.microsoft.com/office/drawing/2014/main" id="{00000000-0008-0000-0600-0000E5C80C00}"/>
            </a:ext>
          </a:extLst>
        </xdr:cNvPr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862" name="Line 196">
          <a:extLst>
            <a:ext uri="{FF2B5EF4-FFF2-40B4-BE49-F238E27FC236}">
              <a16:creationId xmlns:a16="http://schemas.microsoft.com/office/drawing/2014/main" id="{00000000-0008-0000-0600-0000E6C80C00}"/>
            </a:ext>
          </a:extLst>
        </xdr:cNvPr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863" name="Line 197">
          <a:extLst>
            <a:ext uri="{FF2B5EF4-FFF2-40B4-BE49-F238E27FC236}">
              <a16:creationId xmlns:a16="http://schemas.microsoft.com/office/drawing/2014/main" id="{00000000-0008-0000-0600-0000E7C80C00}"/>
            </a:ext>
          </a:extLst>
        </xdr:cNvPr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864" name="Line 200">
          <a:extLst>
            <a:ext uri="{FF2B5EF4-FFF2-40B4-BE49-F238E27FC236}">
              <a16:creationId xmlns:a16="http://schemas.microsoft.com/office/drawing/2014/main" id="{00000000-0008-0000-0600-0000E8C80C00}"/>
            </a:ext>
          </a:extLst>
        </xdr:cNvPr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865" name="Line 201">
          <a:extLst>
            <a:ext uri="{FF2B5EF4-FFF2-40B4-BE49-F238E27FC236}">
              <a16:creationId xmlns:a16="http://schemas.microsoft.com/office/drawing/2014/main" id="{00000000-0008-0000-0600-0000E9C80C00}"/>
            </a:ext>
          </a:extLst>
        </xdr:cNvPr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866" name="Line 202">
          <a:extLst>
            <a:ext uri="{FF2B5EF4-FFF2-40B4-BE49-F238E27FC236}">
              <a16:creationId xmlns:a16="http://schemas.microsoft.com/office/drawing/2014/main" id="{00000000-0008-0000-0600-0000EAC80C00}"/>
            </a:ext>
          </a:extLst>
        </xdr:cNvPr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867" name="Line 203">
          <a:extLst>
            <a:ext uri="{FF2B5EF4-FFF2-40B4-BE49-F238E27FC236}">
              <a16:creationId xmlns:a16="http://schemas.microsoft.com/office/drawing/2014/main" id="{00000000-0008-0000-0600-0000EBC80C00}"/>
            </a:ext>
          </a:extLst>
        </xdr:cNvPr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868" name="Line 204">
          <a:extLst>
            <a:ext uri="{FF2B5EF4-FFF2-40B4-BE49-F238E27FC236}">
              <a16:creationId xmlns:a16="http://schemas.microsoft.com/office/drawing/2014/main" id="{00000000-0008-0000-0600-0000ECC8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869" name="Line 205">
          <a:extLst>
            <a:ext uri="{FF2B5EF4-FFF2-40B4-BE49-F238E27FC236}">
              <a16:creationId xmlns:a16="http://schemas.microsoft.com/office/drawing/2014/main" id="{00000000-0008-0000-0600-0000EDC80C00}"/>
            </a:ext>
          </a:extLst>
        </xdr:cNvPr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8</xdr:row>
      <xdr:rowOff>76200</xdr:rowOff>
    </xdr:from>
    <xdr:to>
      <xdr:col>56</xdr:col>
      <xdr:colOff>123825</xdr:colOff>
      <xdr:row>9</xdr:row>
      <xdr:rowOff>142875</xdr:rowOff>
    </xdr:to>
    <xdr:sp macro="" textlink="">
      <xdr:nvSpPr>
        <xdr:cNvPr id="837870" name="Line 206">
          <a:extLst>
            <a:ext uri="{FF2B5EF4-FFF2-40B4-BE49-F238E27FC236}">
              <a16:creationId xmlns:a16="http://schemas.microsoft.com/office/drawing/2014/main" id="{00000000-0008-0000-0600-0000EEC80C00}"/>
            </a:ext>
          </a:extLst>
        </xdr:cNvPr>
        <xdr:cNvSpPr>
          <a:spLocks noChangeShapeType="1"/>
        </xdr:cNvSpPr>
      </xdr:nvSpPr>
      <xdr:spPr bwMode="auto">
        <a:xfrm>
          <a:off x="264318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8</xdr:row>
      <xdr:rowOff>76200</xdr:rowOff>
    </xdr:from>
    <xdr:to>
      <xdr:col>56</xdr:col>
      <xdr:colOff>123825</xdr:colOff>
      <xdr:row>8</xdr:row>
      <xdr:rowOff>76200</xdr:rowOff>
    </xdr:to>
    <xdr:sp macro="" textlink="">
      <xdr:nvSpPr>
        <xdr:cNvPr id="837871" name="Line 207">
          <a:extLst>
            <a:ext uri="{FF2B5EF4-FFF2-40B4-BE49-F238E27FC236}">
              <a16:creationId xmlns:a16="http://schemas.microsoft.com/office/drawing/2014/main" id="{00000000-0008-0000-0600-0000EFC8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</xdr:row>
      <xdr:rowOff>133350</xdr:rowOff>
    </xdr:from>
    <xdr:to>
      <xdr:col>56</xdr:col>
      <xdr:colOff>123825</xdr:colOff>
      <xdr:row>9</xdr:row>
      <xdr:rowOff>133350</xdr:rowOff>
    </xdr:to>
    <xdr:sp macro="" textlink="">
      <xdr:nvSpPr>
        <xdr:cNvPr id="837872" name="Line 208">
          <a:extLst>
            <a:ext uri="{FF2B5EF4-FFF2-40B4-BE49-F238E27FC236}">
              <a16:creationId xmlns:a16="http://schemas.microsoft.com/office/drawing/2014/main" id="{00000000-0008-0000-0600-0000F0C80C00}"/>
            </a:ext>
          </a:extLst>
        </xdr:cNvPr>
        <xdr:cNvSpPr>
          <a:spLocks noChangeShapeType="1"/>
        </xdr:cNvSpPr>
      </xdr:nvSpPr>
      <xdr:spPr bwMode="auto">
        <a:xfrm flipH="1">
          <a:off x="263080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12</xdr:row>
      <xdr:rowOff>76200</xdr:rowOff>
    </xdr:from>
    <xdr:to>
      <xdr:col>56</xdr:col>
      <xdr:colOff>123825</xdr:colOff>
      <xdr:row>13</xdr:row>
      <xdr:rowOff>142875</xdr:rowOff>
    </xdr:to>
    <xdr:sp macro="" textlink="">
      <xdr:nvSpPr>
        <xdr:cNvPr id="837873" name="Line 209">
          <a:extLst>
            <a:ext uri="{FF2B5EF4-FFF2-40B4-BE49-F238E27FC236}">
              <a16:creationId xmlns:a16="http://schemas.microsoft.com/office/drawing/2014/main" id="{00000000-0008-0000-0600-0000F1C80C00}"/>
            </a:ext>
          </a:extLst>
        </xdr:cNvPr>
        <xdr:cNvSpPr>
          <a:spLocks noChangeShapeType="1"/>
        </xdr:cNvSpPr>
      </xdr:nvSpPr>
      <xdr:spPr bwMode="auto">
        <a:xfrm>
          <a:off x="264318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76200</xdr:rowOff>
    </xdr:from>
    <xdr:to>
      <xdr:col>56</xdr:col>
      <xdr:colOff>123825</xdr:colOff>
      <xdr:row>12</xdr:row>
      <xdr:rowOff>76200</xdr:rowOff>
    </xdr:to>
    <xdr:sp macro="" textlink="">
      <xdr:nvSpPr>
        <xdr:cNvPr id="837874" name="Line 210">
          <a:extLst>
            <a:ext uri="{FF2B5EF4-FFF2-40B4-BE49-F238E27FC236}">
              <a16:creationId xmlns:a16="http://schemas.microsoft.com/office/drawing/2014/main" id="{00000000-0008-0000-0600-0000F2C8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13</xdr:row>
      <xdr:rowOff>133350</xdr:rowOff>
    </xdr:from>
    <xdr:to>
      <xdr:col>56</xdr:col>
      <xdr:colOff>123825</xdr:colOff>
      <xdr:row>13</xdr:row>
      <xdr:rowOff>133350</xdr:rowOff>
    </xdr:to>
    <xdr:sp macro="" textlink="">
      <xdr:nvSpPr>
        <xdr:cNvPr id="837875" name="Line 211">
          <a:extLst>
            <a:ext uri="{FF2B5EF4-FFF2-40B4-BE49-F238E27FC236}">
              <a16:creationId xmlns:a16="http://schemas.microsoft.com/office/drawing/2014/main" id="{00000000-0008-0000-0600-0000F3C80C00}"/>
            </a:ext>
          </a:extLst>
        </xdr:cNvPr>
        <xdr:cNvSpPr>
          <a:spLocks noChangeShapeType="1"/>
        </xdr:cNvSpPr>
      </xdr:nvSpPr>
      <xdr:spPr bwMode="auto">
        <a:xfrm flipH="1">
          <a:off x="263080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14</xdr:row>
      <xdr:rowOff>76200</xdr:rowOff>
    </xdr:from>
    <xdr:to>
      <xdr:col>56</xdr:col>
      <xdr:colOff>123825</xdr:colOff>
      <xdr:row>15</xdr:row>
      <xdr:rowOff>142875</xdr:rowOff>
    </xdr:to>
    <xdr:sp macro="" textlink="">
      <xdr:nvSpPr>
        <xdr:cNvPr id="837876" name="Line 212">
          <a:extLst>
            <a:ext uri="{FF2B5EF4-FFF2-40B4-BE49-F238E27FC236}">
              <a16:creationId xmlns:a16="http://schemas.microsoft.com/office/drawing/2014/main" id="{00000000-0008-0000-0600-0000F4C80C00}"/>
            </a:ext>
          </a:extLst>
        </xdr:cNvPr>
        <xdr:cNvSpPr>
          <a:spLocks noChangeShapeType="1"/>
        </xdr:cNvSpPr>
      </xdr:nvSpPr>
      <xdr:spPr bwMode="auto">
        <a:xfrm>
          <a:off x="264318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</xdr:row>
      <xdr:rowOff>76200</xdr:rowOff>
    </xdr:from>
    <xdr:to>
      <xdr:col>56</xdr:col>
      <xdr:colOff>123825</xdr:colOff>
      <xdr:row>14</xdr:row>
      <xdr:rowOff>76200</xdr:rowOff>
    </xdr:to>
    <xdr:sp macro="" textlink="">
      <xdr:nvSpPr>
        <xdr:cNvPr id="837877" name="Line 213">
          <a:extLst>
            <a:ext uri="{FF2B5EF4-FFF2-40B4-BE49-F238E27FC236}">
              <a16:creationId xmlns:a16="http://schemas.microsoft.com/office/drawing/2014/main" id="{00000000-0008-0000-0600-0000F5C8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133350</xdr:rowOff>
    </xdr:from>
    <xdr:to>
      <xdr:col>56</xdr:col>
      <xdr:colOff>123825</xdr:colOff>
      <xdr:row>15</xdr:row>
      <xdr:rowOff>133350</xdr:rowOff>
    </xdr:to>
    <xdr:sp macro="" textlink="">
      <xdr:nvSpPr>
        <xdr:cNvPr id="837878" name="Line 214">
          <a:extLst>
            <a:ext uri="{FF2B5EF4-FFF2-40B4-BE49-F238E27FC236}">
              <a16:creationId xmlns:a16="http://schemas.microsoft.com/office/drawing/2014/main" id="{00000000-0008-0000-0600-0000F6C80C00}"/>
            </a:ext>
          </a:extLst>
        </xdr:cNvPr>
        <xdr:cNvSpPr>
          <a:spLocks noChangeShapeType="1"/>
        </xdr:cNvSpPr>
      </xdr:nvSpPr>
      <xdr:spPr bwMode="auto">
        <a:xfrm flipH="1">
          <a:off x="263080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879" name="Line 216">
          <a:extLst>
            <a:ext uri="{FF2B5EF4-FFF2-40B4-BE49-F238E27FC236}">
              <a16:creationId xmlns:a16="http://schemas.microsoft.com/office/drawing/2014/main" id="{00000000-0008-0000-0600-0000F7C80C00}"/>
            </a:ext>
          </a:extLst>
        </xdr:cNvPr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880" name="Line 217">
          <a:extLst>
            <a:ext uri="{FF2B5EF4-FFF2-40B4-BE49-F238E27FC236}">
              <a16:creationId xmlns:a16="http://schemas.microsoft.com/office/drawing/2014/main" id="{00000000-0008-0000-0600-0000F8C8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881" name="Line 218">
          <a:extLst>
            <a:ext uri="{FF2B5EF4-FFF2-40B4-BE49-F238E27FC236}">
              <a16:creationId xmlns:a16="http://schemas.microsoft.com/office/drawing/2014/main" id="{00000000-0008-0000-0600-0000F9C80C00}"/>
            </a:ext>
          </a:extLst>
        </xdr:cNvPr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882" name="Line 219">
          <a:extLst>
            <a:ext uri="{FF2B5EF4-FFF2-40B4-BE49-F238E27FC236}">
              <a16:creationId xmlns:a16="http://schemas.microsoft.com/office/drawing/2014/main" id="{00000000-0008-0000-0600-0000FAC80C00}"/>
            </a:ext>
          </a:extLst>
        </xdr:cNvPr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883" name="Line 220">
          <a:extLst>
            <a:ext uri="{FF2B5EF4-FFF2-40B4-BE49-F238E27FC236}">
              <a16:creationId xmlns:a16="http://schemas.microsoft.com/office/drawing/2014/main" id="{00000000-0008-0000-0600-0000FBC80C00}"/>
            </a:ext>
          </a:extLst>
        </xdr:cNvPr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884" name="Line 221">
          <a:extLst>
            <a:ext uri="{FF2B5EF4-FFF2-40B4-BE49-F238E27FC236}">
              <a16:creationId xmlns:a16="http://schemas.microsoft.com/office/drawing/2014/main" id="{00000000-0008-0000-0600-0000FCC80C00}"/>
            </a:ext>
          </a:extLst>
        </xdr:cNvPr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885" name="Line 224">
          <a:extLst>
            <a:ext uri="{FF2B5EF4-FFF2-40B4-BE49-F238E27FC236}">
              <a16:creationId xmlns:a16="http://schemas.microsoft.com/office/drawing/2014/main" id="{00000000-0008-0000-0600-0000FDC80C00}"/>
            </a:ext>
          </a:extLst>
        </xdr:cNvPr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886" name="Line 225">
          <a:extLst>
            <a:ext uri="{FF2B5EF4-FFF2-40B4-BE49-F238E27FC236}">
              <a16:creationId xmlns:a16="http://schemas.microsoft.com/office/drawing/2014/main" id="{00000000-0008-0000-0600-0000FEC80C00}"/>
            </a:ext>
          </a:extLst>
        </xdr:cNvPr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887" name="Line 226">
          <a:extLst>
            <a:ext uri="{FF2B5EF4-FFF2-40B4-BE49-F238E27FC236}">
              <a16:creationId xmlns:a16="http://schemas.microsoft.com/office/drawing/2014/main" id="{00000000-0008-0000-0600-0000FFC80C00}"/>
            </a:ext>
          </a:extLst>
        </xdr:cNvPr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888" name="Line 227">
          <a:extLst>
            <a:ext uri="{FF2B5EF4-FFF2-40B4-BE49-F238E27FC236}">
              <a16:creationId xmlns:a16="http://schemas.microsoft.com/office/drawing/2014/main" id="{00000000-0008-0000-0600-000000C90C00}"/>
            </a:ext>
          </a:extLst>
        </xdr:cNvPr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889" name="Line 228">
          <a:extLst>
            <a:ext uri="{FF2B5EF4-FFF2-40B4-BE49-F238E27FC236}">
              <a16:creationId xmlns:a16="http://schemas.microsoft.com/office/drawing/2014/main" id="{00000000-0008-0000-0600-000001C9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890" name="Line 229">
          <a:extLst>
            <a:ext uri="{FF2B5EF4-FFF2-40B4-BE49-F238E27FC236}">
              <a16:creationId xmlns:a16="http://schemas.microsoft.com/office/drawing/2014/main" id="{00000000-0008-0000-0600-000002C90C00}"/>
            </a:ext>
          </a:extLst>
        </xdr:cNvPr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8</xdr:row>
      <xdr:rowOff>76200</xdr:rowOff>
    </xdr:from>
    <xdr:to>
      <xdr:col>86</xdr:col>
      <xdr:colOff>123825</xdr:colOff>
      <xdr:row>9</xdr:row>
      <xdr:rowOff>142875</xdr:rowOff>
    </xdr:to>
    <xdr:sp macro="" textlink="">
      <xdr:nvSpPr>
        <xdr:cNvPr id="837891" name="Line 230">
          <a:extLst>
            <a:ext uri="{FF2B5EF4-FFF2-40B4-BE49-F238E27FC236}">
              <a16:creationId xmlns:a16="http://schemas.microsoft.com/office/drawing/2014/main" id="{00000000-0008-0000-0600-000003C90C00}"/>
            </a:ext>
          </a:extLst>
        </xdr:cNvPr>
        <xdr:cNvSpPr>
          <a:spLocks noChangeShapeType="1"/>
        </xdr:cNvSpPr>
      </xdr:nvSpPr>
      <xdr:spPr bwMode="auto">
        <a:xfrm>
          <a:off x="4416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8</xdr:row>
      <xdr:rowOff>76200</xdr:rowOff>
    </xdr:from>
    <xdr:to>
      <xdr:col>86</xdr:col>
      <xdr:colOff>123825</xdr:colOff>
      <xdr:row>8</xdr:row>
      <xdr:rowOff>76200</xdr:rowOff>
    </xdr:to>
    <xdr:sp macro="" textlink="">
      <xdr:nvSpPr>
        <xdr:cNvPr id="837892" name="Line 231">
          <a:extLst>
            <a:ext uri="{FF2B5EF4-FFF2-40B4-BE49-F238E27FC236}">
              <a16:creationId xmlns:a16="http://schemas.microsoft.com/office/drawing/2014/main" id="{00000000-0008-0000-0600-000004C9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9</xdr:row>
      <xdr:rowOff>133350</xdr:rowOff>
    </xdr:from>
    <xdr:to>
      <xdr:col>86</xdr:col>
      <xdr:colOff>123825</xdr:colOff>
      <xdr:row>9</xdr:row>
      <xdr:rowOff>133350</xdr:rowOff>
    </xdr:to>
    <xdr:sp macro="" textlink="">
      <xdr:nvSpPr>
        <xdr:cNvPr id="837893" name="Line 232">
          <a:extLst>
            <a:ext uri="{FF2B5EF4-FFF2-40B4-BE49-F238E27FC236}">
              <a16:creationId xmlns:a16="http://schemas.microsoft.com/office/drawing/2014/main" id="{00000000-0008-0000-0600-000005C90C00}"/>
            </a:ext>
          </a:extLst>
        </xdr:cNvPr>
        <xdr:cNvSpPr>
          <a:spLocks noChangeShapeType="1"/>
        </xdr:cNvSpPr>
      </xdr:nvSpPr>
      <xdr:spPr bwMode="auto">
        <a:xfrm flipH="1">
          <a:off x="4404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12</xdr:row>
      <xdr:rowOff>76200</xdr:rowOff>
    </xdr:from>
    <xdr:to>
      <xdr:col>86</xdr:col>
      <xdr:colOff>123825</xdr:colOff>
      <xdr:row>13</xdr:row>
      <xdr:rowOff>142875</xdr:rowOff>
    </xdr:to>
    <xdr:sp macro="" textlink="">
      <xdr:nvSpPr>
        <xdr:cNvPr id="837894" name="Line 233">
          <a:extLst>
            <a:ext uri="{FF2B5EF4-FFF2-40B4-BE49-F238E27FC236}">
              <a16:creationId xmlns:a16="http://schemas.microsoft.com/office/drawing/2014/main" id="{00000000-0008-0000-0600-000006C90C00}"/>
            </a:ext>
          </a:extLst>
        </xdr:cNvPr>
        <xdr:cNvSpPr>
          <a:spLocks noChangeShapeType="1"/>
        </xdr:cNvSpPr>
      </xdr:nvSpPr>
      <xdr:spPr bwMode="auto">
        <a:xfrm>
          <a:off x="4416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12</xdr:row>
      <xdr:rowOff>76200</xdr:rowOff>
    </xdr:from>
    <xdr:to>
      <xdr:col>86</xdr:col>
      <xdr:colOff>123825</xdr:colOff>
      <xdr:row>12</xdr:row>
      <xdr:rowOff>76200</xdr:rowOff>
    </xdr:to>
    <xdr:sp macro="" textlink="">
      <xdr:nvSpPr>
        <xdr:cNvPr id="837895" name="Line 234">
          <a:extLst>
            <a:ext uri="{FF2B5EF4-FFF2-40B4-BE49-F238E27FC236}">
              <a16:creationId xmlns:a16="http://schemas.microsoft.com/office/drawing/2014/main" id="{00000000-0008-0000-0600-000007C9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13</xdr:row>
      <xdr:rowOff>133350</xdr:rowOff>
    </xdr:from>
    <xdr:to>
      <xdr:col>86</xdr:col>
      <xdr:colOff>123825</xdr:colOff>
      <xdr:row>13</xdr:row>
      <xdr:rowOff>133350</xdr:rowOff>
    </xdr:to>
    <xdr:sp macro="" textlink="">
      <xdr:nvSpPr>
        <xdr:cNvPr id="837896" name="Line 235">
          <a:extLst>
            <a:ext uri="{FF2B5EF4-FFF2-40B4-BE49-F238E27FC236}">
              <a16:creationId xmlns:a16="http://schemas.microsoft.com/office/drawing/2014/main" id="{00000000-0008-0000-0600-000008C90C00}"/>
            </a:ext>
          </a:extLst>
        </xdr:cNvPr>
        <xdr:cNvSpPr>
          <a:spLocks noChangeShapeType="1"/>
        </xdr:cNvSpPr>
      </xdr:nvSpPr>
      <xdr:spPr bwMode="auto">
        <a:xfrm flipH="1">
          <a:off x="4404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14</xdr:row>
      <xdr:rowOff>76200</xdr:rowOff>
    </xdr:from>
    <xdr:to>
      <xdr:col>86</xdr:col>
      <xdr:colOff>123825</xdr:colOff>
      <xdr:row>15</xdr:row>
      <xdr:rowOff>142875</xdr:rowOff>
    </xdr:to>
    <xdr:sp macro="" textlink="">
      <xdr:nvSpPr>
        <xdr:cNvPr id="837897" name="Line 236">
          <a:extLst>
            <a:ext uri="{FF2B5EF4-FFF2-40B4-BE49-F238E27FC236}">
              <a16:creationId xmlns:a16="http://schemas.microsoft.com/office/drawing/2014/main" id="{00000000-0008-0000-0600-000009C90C00}"/>
            </a:ext>
          </a:extLst>
        </xdr:cNvPr>
        <xdr:cNvSpPr>
          <a:spLocks noChangeShapeType="1"/>
        </xdr:cNvSpPr>
      </xdr:nvSpPr>
      <xdr:spPr bwMode="auto">
        <a:xfrm>
          <a:off x="4416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</xdr:row>
      <xdr:rowOff>76200</xdr:rowOff>
    </xdr:from>
    <xdr:to>
      <xdr:col>86</xdr:col>
      <xdr:colOff>123825</xdr:colOff>
      <xdr:row>14</xdr:row>
      <xdr:rowOff>76200</xdr:rowOff>
    </xdr:to>
    <xdr:sp macro="" textlink="">
      <xdr:nvSpPr>
        <xdr:cNvPr id="837898" name="Line 237">
          <a:extLst>
            <a:ext uri="{FF2B5EF4-FFF2-40B4-BE49-F238E27FC236}">
              <a16:creationId xmlns:a16="http://schemas.microsoft.com/office/drawing/2014/main" id="{00000000-0008-0000-0600-00000AC9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15</xdr:row>
      <xdr:rowOff>133350</xdr:rowOff>
    </xdr:from>
    <xdr:to>
      <xdr:col>86</xdr:col>
      <xdr:colOff>123825</xdr:colOff>
      <xdr:row>15</xdr:row>
      <xdr:rowOff>133350</xdr:rowOff>
    </xdr:to>
    <xdr:sp macro="" textlink="">
      <xdr:nvSpPr>
        <xdr:cNvPr id="837899" name="Line 238">
          <a:extLst>
            <a:ext uri="{FF2B5EF4-FFF2-40B4-BE49-F238E27FC236}">
              <a16:creationId xmlns:a16="http://schemas.microsoft.com/office/drawing/2014/main" id="{00000000-0008-0000-0600-00000BC90C00}"/>
            </a:ext>
          </a:extLst>
        </xdr:cNvPr>
        <xdr:cNvSpPr>
          <a:spLocks noChangeShapeType="1"/>
        </xdr:cNvSpPr>
      </xdr:nvSpPr>
      <xdr:spPr bwMode="auto">
        <a:xfrm flipH="1">
          <a:off x="4404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10</xdr:row>
      <xdr:rowOff>76200</xdr:rowOff>
    </xdr:from>
    <xdr:to>
      <xdr:col>86</xdr:col>
      <xdr:colOff>123825</xdr:colOff>
      <xdr:row>11</xdr:row>
      <xdr:rowOff>142875</xdr:rowOff>
    </xdr:to>
    <xdr:sp macro="" textlink="">
      <xdr:nvSpPr>
        <xdr:cNvPr id="837900" name="Line 240">
          <a:extLst>
            <a:ext uri="{FF2B5EF4-FFF2-40B4-BE49-F238E27FC236}">
              <a16:creationId xmlns:a16="http://schemas.microsoft.com/office/drawing/2014/main" id="{00000000-0008-0000-0600-00000CC90C00}"/>
            </a:ext>
          </a:extLst>
        </xdr:cNvPr>
        <xdr:cNvSpPr>
          <a:spLocks noChangeShapeType="1"/>
        </xdr:cNvSpPr>
      </xdr:nvSpPr>
      <xdr:spPr bwMode="auto">
        <a:xfrm>
          <a:off x="4416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10</xdr:row>
      <xdr:rowOff>76200</xdr:rowOff>
    </xdr:from>
    <xdr:to>
      <xdr:col>86</xdr:col>
      <xdr:colOff>123825</xdr:colOff>
      <xdr:row>10</xdr:row>
      <xdr:rowOff>76200</xdr:rowOff>
    </xdr:to>
    <xdr:sp macro="" textlink="">
      <xdr:nvSpPr>
        <xdr:cNvPr id="837901" name="Line 241">
          <a:extLst>
            <a:ext uri="{FF2B5EF4-FFF2-40B4-BE49-F238E27FC236}">
              <a16:creationId xmlns:a16="http://schemas.microsoft.com/office/drawing/2014/main" id="{00000000-0008-0000-0600-00000DC90C00}"/>
            </a:ext>
          </a:extLst>
        </xdr:cNvPr>
        <xdr:cNvSpPr>
          <a:spLocks noChangeShapeType="1"/>
        </xdr:cNvSpPr>
      </xdr:nvSpPr>
      <xdr:spPr bwMode="auto">
        <a:xfrm flipH="1" flipV="1">
          <a:off x="4404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133350</xdr:rowOff>
    </xdr:from>
    <xdr:to>
      <xdr:col>86</xdr:col>
      <xdr:colOff>123825</xdr:colOff>
      <xdr:row>11</xdr:row>
      <xdr:rowOff>133350</xdr:rowOff>
    </xdr:to>
    <xdr:sp macro="" textlink="">
      <xdr:nvSpPr>
        <xdr:cNvPr id="837902" name="Line 242">
          <a:extLst>
            <a:ext uri="{FF2B5EF4-FFF2-40B4-BE49-F238E27FC236}">
              <a16:creationId xmlns:a16="http://schemas.microsoft.com/office/drawing/2014/main" id="{00000000-0008-0000-0600-00000EC90C00}"/>
            </a:ext>
          </a:extLst>
        </xdr:cNvPr>
        <xdr:cNvSpPr>
          <a:spLocks noChangeShapeType="1"/>
        </xdr:cNvSpPr>
      </xdr:nvSpPr>
      <xdr:spPr bwMode="auto">
        <a:xfrm flipH="1">
          <a:off x="4404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10</xdr:row>
      <xdr:rowOff>76200</xdr:rowOff>
    </xdr:from>
    <xdr:to>
      <xdr:col>56</xdr:col>
      <xdr:colOff>123825</xdr:colOff>
      <xdr:row>11</xdr:row>
      <xdr:rowOff>142875</xdr:rowOff>
    </xdr:to>
    <xdr:sp macro="" textlink="">
      <xdr:nvSpPr>
        <xdr:cNvPr id="837903" name="Line 243">
          <a:extLst>
            <a:ext uri="{FF2B5EF4-FFF2-40B4-BE49-F238E27FC236}">
              <a16:creationId xmlns:a16="http://schemas.microsoft.com/office/drawing/2014/main" id="{00000000-0008-0000-0600-00000FC90C00}"/>
            </a:ext>
          </a:extLst>
        </xdr:cNvPr>
        <xdr:cNvSpPr>
          <a:spLocks noChangeShapeType="1"/>
        </xdr:cNvSpPr>
      </xdr:nvSpPr>
      <xdr:spPr bwMode="auto">
        <a:xfrm>
          <a:off x="264318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10</xdr:row>
      <xdr:rowOff>76200</xdr:rowOff>
    </xdr:from>
    <xdr:to>
      <xdr:col>56</xdr:col>
      <xdr:colOff>123825</xdr:colOff>
      <xdr:row>10</xdr:row>
      <xdr:rowOff>76200</xdr:rowOff>
    </xdr:to>
    <xdr:sp macro="" textlink="">
      <xdr:nvSpPr>
        <xdr:cNvPr id="837904" name="Line 244">
          <a:extLst>
            <a:ext uri="{FF2B5EF4-FFF2-40B4-BE49-F238E27FC236}">
              <a16:creationId xmlns:a16="http://schemas.microsoft.com/office/drawing/2014/main" id="{00000000-0008-0000-0600-000010C90C00}"/>
            </a:ext>
          </a:extLst>
        </xdr:cNvPr>
        <xdr:cNvSpPr>
          <a:spLocks noChangeShapeType="1"/>
        </xdr:cNvSpPr>
      </xdr:nvSpPr>
      <xdr:spPr bwMode="auto">
        <a:xfrm flipH="1" flipV="1">
          <a:off x="263080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11</xdr:row>
      <xdr:rowOff>133350</xdr:rowOff>
    </xdr:from>
    <xdr:to>
      <xdr:col>56</xdr:col>
      <xdr:colOff>123825</xdr:colOff>
      <xdr:row>11</xdr:row>
      <xdr:rowOff>133350</xdr:rowOff>
    </xdr:to>
    <xdr:sp macro="" textlink="">
      <xdr:nvSpPr>
        <xdr:cNvPr id="837905" name="Line 245">
          <a:extLst>
            <a:ext uri="{FF2B5EF4-FFF2-40B4-BE49-F238E27FC236}">
              <a16:creationId xmlns:a16="http://schemas.microsoft.com/office/drawing/2014/main" id="{00000000-0008-0000-0600-000011C90C00}"/>
            </a:ext>
          </a:extLst>
        </xdr:cNvPr>
        <xdr:cNvSpPr>
          <a:spLocks noChangeShapeType="1"/>
        </xdr:cNvSpPr>
      </xdr:nvSpPr>
      <xdr:spPr bwMode="auto">
        <a:xfrm flipH="1">
          <a:off x="263080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10</xdr:row>
      <xdr:rowOff>76200</xdr:rowOff>
    </xdr:from>
    <xdr:to>
      <xdr:col>50</xdr:col>
      <xdr:colOff>123825</xdr:colOff>
      <xdr:row>11</xdr:row>
      <xdr:rowOff>142875</xdr:rowOff>
    </xdr:to>
    <xdr:sp macro="" textlink="">
      <xdr:nvSpPr>
        <xdr:cNvPr id="837906" name="Line 246">
          <a:extLst>
            <a:ext uri="{FF2B5EF4-FFF2-40B4-BE49-F238E27FC236}">
              <a16:creationId xmlns:a16="http://schemas.microsoft.com/office/drawing/2014/main" id="{00000000-0008-0000-0600-000012C90C00}"/>
            </a:ext>
          </a:extLst>
        </xdr:cNvPr>
        <xdr:cNvSpPr>
          <a:spLocks noChangeShapeType="1"/>
        </xdr:cNvSpPr>
      </xdr:nvSpPr>
      <xdr:spPr bwMode="auto">
        <a:xfrm>
          <a:off x="23145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76200</xdr:rowOff>
    </xdr:from>
    <xdr:to>
      <xdr:col>50</xdr:col>
      <xdr:colOff>123825</xdr:colOff>
      <xdr:row>10</xdr:row>
      <xdr:rowOff>76200</xdr:rowOff>
    </xdr:to>
    <xdr:sp macro="" textlink="">
      <xdr:nvSpPr>
        <xdr:cNvPr id="837907" name="Line 247">
          <a:extLst>
            <a:ext uri="{FF2B5EF4-FFF2-40B4-BE49-F238E27FC236}">
              <a16:creationId xmlns:a16="http://schemas.microsoft.com/office/drawing/2014/main" id="{00000000-0008-0000-0600-000013C90C00}"/>
            </a:ext>
          </a:extLst>
        </xdr:cNvPr>
        <xdr:cNvSpPr>
          <a:spLocks noChangeShapeType="1"/>
        </xdr:cNvSpPr>
      </xdr:nvSpPr>
      <xdr:spPr bwMode="auto">
        <a:xfrm flipH="1" flipV="1">
          <a:off x="23021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133350</xdr:rowOff>
    </xdr:from>
    <xdr:to>
      <xdr:col>50</xdr:col>
      <xdr:colOff>123825</xdr:colOff>
      <xdr:row>11</xdr:row>
      <xdr:rowOff>133350</xdr:rowOff>
    </xdr:to>
    <xdr:sp macro="" textlink="">
      <xdr:nvSpPr>
        <xdr:cNvPr id="837908" name="Line 248">
          <a:extLst>
            <a:ext uri="{FF2B5EF4-FFF2-40B4-BE49-F238E27FC236}">
              <a16:creationId xmlns:a16="http://schemas.microsoft.com/office/drawing/2014/main" id="{00000000-0008-0000-0600-000014C90C00}"/>
            </a:ext>
          </a:extLst>
        </xdr:cNvPr>
        <xdr:cNvSpPr>
          <a:spLocks noChangeShapeType="1"/>
        </xdr:cNvSpPr>
      </xdr:nvSpPr>
      <xdr:spPr bwMode="auto">
        <a:xfrm flipH="1">
          <a:off x="23021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10</xdr:row>
      <xdr:rowOff>76200</xdr:rowOff>
    </xdr:from>
    <xdr:to>
      <xdr:col>44</xdr:col>
      <xdr:colOff>123825</xdr:colOff>
      <xdr:row>11</xdr:row>
      <xdr:rowOff>142875</xdr:rowOff>
    </xdr:to>
    <xdr:sp macro="" textlink="">
      <xdr:nvSpPr>
        <xdr:cNvPr id="837909" name="Line 249">
          <a:extLst>
            <a:ext uri="{FF2B5EF4-FFF2-40B4-BE49-F238E27FC236}">
              <a16:creationId xmlns:a16="http://schemas.microsoft.com/office/drawing/2014/main" id="{00000000-0008-0000-0600-000015C90C00}"/>
            </a:ext>
          </a:extLst>
        </xdr:cNvPr>
        <xdr:cNvSpPr>
          <a:spLocks noChangeShapeType="1"/>
        </xdr:cNvSpPr>
      </xdr:nvSpPr>
      <xdr:spPr bwMode="auto">
        <a:xfrm>
          <a:off x="200025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10</xdr:row>
      <xdr:rowOff>76200</xdr:rowOff>
    </xdr:from>
    <xdr:to>
      <xdr:col>44</xdr:col>
      <xdr:colOff>123825</xdr:colOff>
      <xdr:row>10</xdr:row>
      <xdr:rowOff>76200</xdr:rowOff>
    </xdr:to>
    <xdr:sp macro="" textlink="">
      <xdr:nvSpPr>
        <xdr:cNvPr id="837910" name="Line 250">
          <a:extLst>
            <a:ext uri="{FF2B5EF4-FFF2-40B4-BE49-F238E27FC236}">
              <a16:creationId xmlns:a16="http://schemas.microsoft.com/office/drawing/2014/main" id="{00000000-0008-0000-0600-000016C90C00}"/>
            </a:ext>
          </a:extLst>
        </xdr:cNvPr>
        <xdr:cNvSpPr>
          <a:spLocks noChangeShapeType="1"/>
        </xdr:cNvSpPr>
      </xdr:nvSpPr>
      <xdr:spPr bwMode="auto">
        <a:xfrm flipH="1" flipV="1">
          <a:off x="198786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11</xdr:row>
      <xdr:rowOff>133350</xdr:rowOff>
    </xdr:from>
    <xdr:to>
      <xdr:col>44</xdr:col>
      <xdr:colOff>123825</xdr:colOff>
      <xdr:row>11</xdr:row>
      <xdr:rowOff>133350</xdr:rowOff>
    </xdr:to>
    <xdr:sp macro="" textlink="">
      <xdr:nvSpPr>
        <xdr:cNvPr id="837911" name="Line 251">
          <a:extLst>
            <a:ext uri="{FF2B5EF4-FFF2-40B4-BE49-F238E27FC236}">
              <a16:creationId xmlns:a16="http://schemas.microsoft.com/office/drawing/2014/main" id="{00000000-0008-0000-0600-000017C90C00}"/>
            </a:ext>
          </a:extLst>
        </xdr:cNvPr>
        <xdr:cNvSpPr>
          <a:spLocks noChangeShapeType="1"/>
        </xdr:cNvSpPr>
      </xdr:nvSpPr>
      <xdr:spPr bwMode="auto">
        <a:xfrm flipH="1">
          <a:off x="198786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912" name="Line 264">
          <a:extLst>
            <a:ext uri="{FF2B5EF4-FFF2-40B4-BE49-F238E27FC236}">
              <a16:creationId xmlns:a16="http://schemas.microsoft.com/office/drawing/2014/main" id="{00000000-0008-0000-0600-000018C90C00}"/>
            </a:ext>
          </a:extLst>
        </xdr:cNvPr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913" name="Line 265">
          <a:extLst>
            <a:ext uri="{FF2B5EF4-FFF2-40B4-BE49-F238E27FC236}">
              <a16:creationId xmlns:a16="http://schemas.microsoft.com/office/drawing/2014/main" id="{00000000-0008-0000-0600-000019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914" name="Line 266">
          <a:extLst>
            <a:ext uri="{FF2B5EF4-FFF2-40B4-BE49-F238E27FC236}">
              <a16:creationId xmlns:a16="http://schemas.microsoft.com/office/drawing/2014/main" id="{00000000-0008-0000-0600-00001AC90C00}"/>
            </a:ext>
          </a:extLst>
        </xdr:cNvPr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915" name="Line 267">
          <a:extLst>
            <a:ext uri="{FF2B5EF4-FFF2-40B4-BE49-F238E27FC236}">
              <a16:creationId xmlns:a16="http://schemas.microsoft.com/office/drawing/2014/main" id="{00000000-0008-0000-0600-00001BC90C00}"/>
            </a:ext>
          </a:extLst>
        </xdr:cNvPr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916" name="Line 268">
          <a:extLst>
            <a:ext uri="{FF2B5EF4-FFF2-40B4-BE49-F238E27FC236}">
              <a16:creationId xmlns:a16="http://schemas.microsoft.com/office/drawing/2014/main" id="{00000000-0008-0000-0600-00001CC90C00}"/>
            </a:ext>
          </a:extLst>
        </xdr:cNvPr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917" name="Line 269">
          <a:extLst>
            <a:ext uri="{FF2B5EF4-FFF2-40B4-BE49-F238E27FC236}">
              <a16:creationId xmlns:a16="http://schemas.microsoft.com/office/drawing/2014/main" id="{00000000-0008-0000-0600-00001DC90C00}"/>
            </a:ext>
          </a:extLst>
        </xdr:cNvPr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918" name="Line 272">
          <a:extLst>
            <a:ext uri="{FF2B5EF4-FFF2-40B4-BE49-F238E27FC236}">
              <a16:creationId xmlns:a16="http://schemas.microsoft.com/office/drawing/2014/main" id="{00000000-0008-0000-0600-00001EC90C00}"/>
            </a:ext>
          </a:extLst>
        </xdr:cNvPr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919" name="Line 273">
          <a:extLst>
            <a:ext uri="{FF2B5EF4-FFF2-40B4-BE49-F238E27FC236}">
              <a16:creationId xmlns:a16="http://schemas.microsoft.com/office/drawing/2014/main" id="{00000000-0008-0000-0600-00001FC90C00}"/>
            </a:ext>
          </a:extLst>
        </xdr:cNvPr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920" name="Line 274">
          <a:extLst>
            <a:ext uri="{FF2B5EF4-FFF2-40B4-BE49-F238E27FC236}">
              <a16:creationId xmlns:a16="http://schemas.microsoft.com/office/drawing/2014/main" id="{00000000-0008-0000-0600-000020C90C00}"/>
            </a:ext>
          </a:extLst>
        </xdr:cNvPr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921" name="Line 275">
          <a:extLst>
            <a:ext uri="{FF2B5EF4-FFF2-40B4-BE49-F238E27FC236}">
              <a16:creationId xmlns:a16="http://schemas.microsoft.com/office/drawing/2014/main" id="{00000000-0008-0000-0600-000021C90C00}"/>
            </a:ext>
          </a:extLst>
        </xdr:cNvPr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922" name="Line 276">
          <a:extLst>
            <a:ext uri="{FF2B5EF4-FFF2-40B4-BE49-F238E27FC236}">
              <a16:creationId xmlns:a16="http://schemas.microsoft.com/office/drawing/2014/main" id="{00000000-0008-0000-0600-000022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923" name="Line 277">
          <a:extLst>
            <a:ext uri="{FF2B5EF4-FFF2-40B4-BE49-F238E27FC236}">
              <a16:creationId xmlns:a16="http://schemas.microsoft.com/office/drawing/2014/main" id="{00000000-0008-0000-0600-000023C90C00}"/>
            </a:ext>
          </a:extLst>
        </xdr:cNvPr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8</xdr:row>
      <xdr:rowOff>76200</xdr:rowOff>
    </xdr:from>
    <xdr:to>
      <xdr:col>62</xdr:col>
      <xdr:colOff>123825</xdr:colOff>
      <xdr:row>9</xdr:row>
      <xdr:rowOff>142875</xdr:rowOff>
    </xdr:to>
    <xdr:sp macro="" textlink="">
      <xdr:nvSpPr>
        <xdr:cNvPr id="837924" name="Line 278">
          <a:extLst>
            <a:ext uri="{FF2B5EF4-FFF2-40B4-BE49-F238E27FC236}">
              <a16:creationId xmlns:a16="http://schemas.microsoft.com/office/drawing/2014/main" id="{00000000-0008-0000-0600-000024C90C00}"/>
            </a:ext>
          </a:extLst>
        </xdr:cNvPr>
        <xdr:cNvSpPr>
          <a:spLocks noChangeShapeType="1"/>
        </xdr:cNvSpPr>
      </xdr:nvSpPr>
      <xdr:spPr bwMode="auto">
        <a:xfrm>
          <a:off x="297275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76200</xdr:rowOff>
    </xdr:from>
    <xdr:to>
      <xdr:col>62</xdr:col>
      <xdr:colOff>123825</xdr:colOff>
      <xdr:row>8</xdr:row>
      <xdr:rowOff>76200</xdr:rowOff>
    </xdr:to>
    <xdr:sp macro="" textlink="">
      <xdr:nvSpPr>
        <xdr:cNvPr id="837925" name="Line 279">
          <a:extLst>
            <a:ext uri="{FF2B5EF4-FFF2-40B4-BE49-F238E27FC236}">
              <a16:creationId xmlns:a16="http://schemas.microsoft.com/office/drawing/2014/main" id="{00000000-0008-0000-0600-000025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9</xdr:row>
      <xdr:rowOff>133350</xdr:rowOff>
    </xdr:from>
    <xdr:to>
      <xdr:col>62</xdr:col>
      <xdr:colOff>123825</xdr:colOff>
      <xdr:row>9</xdr:row>
      <xdr:rowOff>133350</xdr:rowOff>
    </xdr:to>
    <xdr:sp macro="" textlink="">
      <xdr:nvSpPr>
        <xdr:cNvPr id="837926" name="Line 280">
          <a:extLst>
            <a:ext uri="{FF2B5EF4-FFF2-40B4-BE49-F238E27FC236}">
              <a16:creationId xmlns:a16="http://schemas.microsoft.com/office/drawing/2014/main" id="{00000000-0008-0000-0600-000026C90C00}"/>
            </a:ext>
          </a:extLst>
        </xdr:cNvPr>
        <xdr:cNvSpPr>
          <a:spLocks noChangeShapeType="1"/>
        </xdr:cNvSpPr>
      </xdr:nvSpPr>
      <xdr:spPr bwMode="auto">
        <a:xfrm flipH="1">
          <a:off x="296037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12</xdr:row>
      <xdr:rowOff>76200</xdr:rowOff>
    </xdr:from>
    <xdr:to>
      <xdr:col>62</xdr:col>
      <xdr:colOff>123825</xdr:colOff>
      <xdr:row>13</xdr:row>
      <xdr:rowOff>142875</xdr:rowOff>
    </xdr:to>
    <xdr:sp macro="" textlink="">
      <xdr:nvSpPr>
        <xdr:cNvPr id="837927" name="Line 281">
          <a:extLst>
            <a:ext uri="{FF2B5EF4-FFF2-40B4-BE49-F238E27FC236}">
              <a16:creationId xmlns:a16="http://schemas.microsoft.com/office/drawing/2014/main" id="{00000000-0008-0000-0600-000027C90C00}"/>
            </a:ext>
          </a:extLst>
        </xdr:cNvPr>
        <xdr:cNvSpPr>
          <a:spLocks noChangeShapeType="1"/>
        </xdr:cNvSpPr>
      </xdr:nvSpPr>
      <xdr:spPr bwMode="auto">
        <a:xfrm>
          <a:off x="297275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12</xdr:row>
      <xdr:rowOff>76200</xdr:rowOff>
    </xdr:from>
    <xdr:to>
      <xdr:col>62</xdr:col>
      <xdr:colOff>123825</xdr:colOff>
      <xdr:row>12</xdr:row>
      <xdr:rowOff>76200</xdr:rowOff>
    </xdr:to>
    <xdr:sp macro="" textlink="">
      <xdr:nvSpPr>
        <xdr:cNvPr id="837928" name="Line 282">
          <a:extLst>
            <a:ext uri="{FF2B5EF4-FFF2-40B4-BE49-F238E27FC236}">
              <a16:creationId xmlns:a16="http://schemas.microsoft.com/office/drawing/2014/main" id="{00000000-0008-0000-0600-000028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13</xdr:row>
      <xdr:rowOff>133350</xdr:rowOff>
    </xdr:from>
    <xdr:to>
      <xdr:col>62</xdr:col>
      <xdr:colOff>123825</xdr:colOff>
      <xdr:row>13</xdr:row>
      <xdr:rowOff>133350</xdr:rowOff>
    </xdr:to>
    <xdr:sp macro="" textlink="">
      <xdr:nvSpPr>
        <xdr:cNvPr id="837929" name="Line 283">
          <a:extLst>
            <a:ext uri="{FF2B5EF4-FFF2-40B4-BE49-F238E27FC236}">
              <a16:creationId xmlns:a16="http://schemas.microsoft.com/office/drawing/2014/main" id="{00000000-0008-0000-0600-000029C90C00}"/>
            </a:ext>
          </a:extLst>
        </xdr:cNvPr>
        <xdr:cNvSpPr>
          <a:spLocks noChangeShapeType="1"/>
        </xdr:cNvSpPr>
      </xdr:nvSpPr>
      <xdr:spPr bwMode="auto">
        <a:xfrm flipH="1">
          <a:off x="296037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14</xdr:row>
      <xdr:rowOff>76200</xdr:rowOff>
    </xdr:from>
    <xdr:to>
      <xdr:col>62</xdr:col>
      <xdr:colOff>123825</xdr:colOff>
      <xdr:row>15</xdr:row>
      <xdr:rowOff>142875</xdr:rowOff>
    </xdr:to>
    <xdr:sp macro="" textlink="">
      <xdr:nvSpPr>
        <xdr:cNvPr id="837930" name="Line 284">
          <a:extLst>
            <a:ext uri="{FF2B5EF4-FFF2-40B4-BE49-F238E27FC236}">
              <a16:creationId xmlns:a16="http://schemas.microsoft.com/office/drawing/2014/main" id="{00000000-0008-0000-0600-00002AC90C00}"/>
            </a:ext>
          </a:extLst>
        </xdr:cNvPr>
        <xdr:cNvSpPr>
          <a:spLocks noChangeShapeType="1"/>
        </xdr:cNvSpPr>
      </xdr:nvSpPr>
      <xdr:spPr bwMode="auto">
        <a:xfrm>
          <a:off x="297275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14</xdr:row>
      <xdr:rowOff>76200</xdr:rowOff>
    </xdr:from>
    <xdr:to>
      <xdr:col>62</xdr:col>
      <xdr:colOff>123825</xdr:colOff>
      <xdr:row>14</xdr:row>
      <xdr:rowOff>76200</xdr:rowOff>
    </xdr:to>
    <xdr:sp macro="" textlink="">
      <xdr:nvSpPr>
        <xdr:cNvPr id="837931" name="Line 285">
          <a:extLst>
            <a:ext uri="{FF2B5EF4-FFF2-40B4-BE49-F238E27FC236}">
              <a16:creationId xmlns:a16="http://schemas.microsoft.com/office/drawing/2014/main" id="{00000000-0008-0000-0600-00002B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15</xdr:row>
      <xdr:rowOff>133350</xdr:rowOff>
    </xdr:from>
    <xdr:to>
      <xdr:col>62</xdr:col>
      <xdr:colOff>123825</xdr:colOff>
      <xdr:row>15</xdr:row>
      <xdr:rowOff>133350</xdr:rowOff>
    </xdr:to>
    <xdr:sp macro="" textlink="">
      <xdr:nvSpPr>
        <xdr:cNvPr id="837932" name="Line 286">
          <a:extLst>
            <a:ext uri="{FF2B5EF4-FFF2-40B4-BE49-F238E27FC236}">
              <a16:creationId xmlns:a16="http://schemas.microsoft.com/office/drawing/2014/main" id="{00000000-0008-0000-0600-00002CC90C00}"/>
            </a:ext>
          </a:extLst>
        </xdr:cNvPr>
        <xdr:cNvSpPr>
          <a:spLocks noChangeShapeType="1"/>
        </xdr:cNvSpPr>
      </xdr:nvSpPr>
      <xdr:spPr bwMode="auto">
        <a:xfrm flipH="1">
          <a:off x="296037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10</xdr:row>
      <xdr:rowOff>76200</xdr:rowOff>
    </xdr:from>
    <xdr:to>
      <xdr:col>62</xdr:col>
      <xdr:colOff>123825</xdr:colOff>
      <xdr:row>11</xdr:row>
      <xdr:rowOff>142875</xdr:rowOff>
    </xdr:to>
    <xdr:sp macro="" textlink="">
      <xdr:nvSpPr>
        <xdr:cNvPr id="837933" name="Line 288">
          <a:extLst>
            <a:ext uri="{FF2B5EF4-FFF2-40B4-BE49-F238E27FC236}">
              <a16:creationId xmlns:a16="http://schemas.microsoft.com/office/drawing/2014/main" id="{00000000-0008-0000-0600-00002DC90C00}"/>
            </a:ext>
          </a:extLst>
        </xdr:cNvPr>
        <xdr:cNvSpPr>
          <a:spLocks noChangeShapeType="1"/>
        </xdr:cNvSpPr>
      </xdr:nvSpPr>
      <xdr:spPr bwMode="auto">
        <a:xfrm>
          <a:off x="297275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10</xdr:row>
      <xdr:rowOff>76200</xdr:rowOff>
    </xdr:from>
    <xdr:to>
      <xdr:col>62</xdr:col>
      <xdr:colOff>123825</xdr:colOff>
      <xdr:row>10</xdr:row>
      <xdr:rowOff>76200</xdr:rowOff>
    </xdr:to>
    <xdr:sp macro="" textlink="">
      <xdr:nvSpPr>
        <xdr:cNvPr id="837934" name="Line 289">
          <a:extLst>
            <a:ext uri="{FF2B5EF4-FFF2-40B4-BE49-F238E27FC236}">
              <a16:creationId xmlns:a16="http://schemas.microsoft.com/office/drawing/2014/main" id="{00000000-0008-0000-0600-00002EC90C00}"/>
            </a:ext>
          </a:extLst>
        </xdr:cNvPr>
        <xdr:cNvSpPr>
          <a:spLocks noChangeShapeType="1"/>
        </xdr:cNvSpPr>
      </xdr:nvSpPr>
      <xdr:spPr bwMode="auto">
        <a:xfrm flipH="1" flipV="1">
          <a:off x="296037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11</xdr:row>
      <xdr:rowOff>133350</xdr:rowOff>
    </xdr:from>
    <xdr:to>
      <xdr:col>62</xdr:col>
      <xdr:colOff>123825</xdr:colOff>
      <xdr:row>11</xdr:row>
      <xdr:rowOff>133350</xdr:rowOff>
    </xdr:to>
    <xdr:sp macro="" textlink="">
      <xdr:nvSpPr>
        <xdr:cNvPr id="837935" name="Line 290">
          <a:extLst>
            <a:ext uri="{FF2B5EF4-FFF2-40B4-BE49-F238E27FC236}">
              <a16:creationId xmlns:a16="http://schemas.microsoft.com/office/drawing/2014/main" id="{00000000-0008-0000-0600-00002FC90C00}"/>
            </a:ext>
          </a:extLst>
        </xdr:cNvPr>
        <xdr:cNvSpPr>
          <a:spLocks noChangeShapeType="1"/>
        </xdr:cNvSpPr>
      </xdr:nvSpPr>
      <xdr:spPr bwMode="auto">
        <a:xfrm flipH="1">
          <a:off x="296037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936" name="Line 291">
          <a:extLst>
            <a:ext uri="{FF2B5EF4-FFF2-40B4-BE49-F238E27FC236}">
              <a16:creationId xmlns:a16="http://schemas.microsoft.com/office/drawing/2014/main" id="{00000000-0008-0000-0600-000030C90C00}"/>
            </a:ext>
          </a:extLst>
        </xdr:cNvPr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937" name="Line 292">
          <a:extLst>
            <a:ext uri="{FF2B5EF4-FFF2-40B4-BE49-F238E27FC236}">
              <a16:creationId xmlns:a16="http://schemas.microsoft.com/office/drawing/2014/main" id="{00000000-0008-0000-0600-000031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938" name="Line 293">
          <a:extLst>
            <a:ext uri="{FF2B5EF4-FFF2-40B4-BE49-F238E27FC236}">
              <a16:creationId xmlns:a16="http://schemas.microsoft.com/office/drawing/2014/main" id="{00000000-0008-0000-0600-000032C90C00}"/>
            </a:ext>
          </a:extLst>
        </xdr:cNvPr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939" name="Line 294">
          <a:extLst>
            <a:ext uri="{FF2B5EF4-FFF2-40B4-BE49-F238E27FC236}">
              <a16:creationId xmlns:a16="http://schemas.microsoft.com/office/drawing/2014/main" id="{00000000-0008-0000-0600-000033C90C00}"/>
            </a:ext>
          </a:extLst>
        </xdr:cNvPr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940" name="Line 295">
          <a:extLst>
            <a:ext uri="{FF2B5EF4-FFF2-40B4-BE49-F238E27FC236}">
              <a16:creationId xmlns:a16="http://schemas.microsoft.com/office/drawing/2014/main" id="{00000000-0008-0000-0600-000034C90C00}"/>
            </a:ext>
          </a:extLst>
        </xdr:cNvPr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941" name="Line 296">
          <a:extLst>
            <a:ext uri="{FF2B5EF4-FFF2-40B4-BE49-F238E27FC236}">
              <a16:creationId xmlns:a16="http://schemas.microsoft.com/office/drawing/2014/main" id="{00000000-0008-0000-0600-000035C90C00}"/>
            </a:ext>
          </a:extLst>
        </xdr:cNvPr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942" name="Line 299">
          <a:extLst>
            <a:ext uri="{FF2B5EF4-FFF2-40B4-BE49-F238E27FC236}">
              <a16:creationId xmlns:a16="http://schemas.microsoft.com/office/drawing/2014/main" id="{00000000-0008-0000-0600-000036C90C00}"/>
            </a:ext>
          </a:extLst>
        </xdr:cNvPr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943" name="Line 300">
          <a:extLst>
            <a:ext uri="{FF2B5EF4-FFF2-40B4-BE49-F238E27FC236}">
              <a16:creationId xmlns:a16="http://schemas.microsoft.com/office/drawing/2014/main" id="{00000000-0008-0000-0600-000037C90C00}"/>
            </a:ext>
          </a:extLst>
        </xdr:cNvPr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944" name="Line 301">
          <a:extLst>
            <a:ext uri="{FF2B5EF4-FFF2-40B4-BE49-F238E27FC236}">
              <a16:creationId xmlns:a16="http://schemas.microsoft.com/office/drawing/2014/main" id="{00000000-0008-0000-0600-000038C90C00}"/>
            </a:ext>
          </a:extLst>
        </xdr:cNvPr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945" name="Line 302">
          <a:extLst>
            <a:ext uri="{FF2B5EF4-FFF2-40B4-BE49-F238E27FC236}">
              <a16:creationId xmlns:a16="http://schemas.microsoft.com/office/drawing/2014/main" id="{00000000-0008-0000-0600-000039C90C00}"/>
            </a:ext>
          </a:extLst>
        </xdr:cNvPr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946" name="Line 303">
          <a:extLst>
            <a:ext uri="{FF2B5EF4-FFF2-40B4-BE49-F238E27FC236}">
              <a16:creationId xmlns:a16="http://schemas.microsoft.com/office/drawing/2014/main" id="{00000000-0008-0000-0600-00003A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947" name="Line 304">
          <a:extLst>
            <a:ext uri="{FF2B5EF4-FFF2-40B4-BE49-F238E27FC236}">
              <a16:creationId xmlns:a16="http://schemas.microsoft.com/office/drawing/2014/main" id="{00000000-0008-0000-0600-00003BC90C00}"/>
            </a:ext>
          </a:extLst>
        </xdr:cNvPr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8</xdr:row>
      <xdr:rowOff>76200</xdr:rowOff>
    </xdr:from>
    <xdr:to>
      <xdr:col>68</xdr:col>
      <xdr:colOff>123825</xdr:colOff>
      <xdr:row>9</xdr:row>
      <xdr:rowOff>142875</xdr:rowOff>
    </xdr:to>
    <xdr:sp macro="" textlink="">
      <xdr:nvSpPr>
        <xdr:cNvPr id="837948" name="Line 305">
          <a:extLst>
            <a:ext uri="{FF2B5EF4-FFF2-40B4-BE49-F238E27FC236}">
              <a16:creationId xmlns:a16="http://schemas.microsoft.com/office/drawing/2014/main" id="{00000000-0008-0000-0600-00003CC90C00}"/>
            </a:ext>
          </a:extLst>
        </xdr:cNvPr>
        <xdr:cNvSpPr>
          <a:spLocks noChangeShapeType="1"/>
        </xdr:cNvSpPr>
      </xdr:nvSpPr>
      <xdr:spPr bwMode="auto">
        <a:xfrm>
          <a:off x="332041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8</xdr:row>
      <xdr:rowOff>76200</xdr:rowOff>
    </xdr:from>
    <xdr:to>
      <xdr:col>68</xdr:col>
      <xdr:colOff>123825</xdr:colOff>
      <xdr:row>8</xdr:row>
      <xdr:rowOff>76200</xdr:rowOff>
    </xdr:to>
    <xdr:sp macro="" textlink="">
      <xdr:nvSpPr>
        <xdr:cNvPr id="837949" name="Line 306">
          <a:extLst>
            <a:ext uri="{FF2B5EF4-FFF2-40B4-BE49-F238E27FC236}">
              <a16:creationId xmlns:a16="http://schemas.microsoft.com/office/drawing/2014/main" id="{00000000-0008-0000-0600-00003D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9</xdr:row>
      <xdr:rowOff>133350</xdr:rowOff>
    </xdr:from>
    <xdr:to>
      <xdr:col>68</xdr:col>
      <xdr:colOff>123825</xdr:colOff>
      <xdr:row>9</xdr:row>
      <xdr:rowOff>133350</xdr:rowOff>
    </xdr:to>
    <xdr:sp macro="" textlink="">
      <xdr:nvSpPr>
        <xdr:cNvPr id="837950" name="Line 307">
          <a:extLst>
            <a:ext uri="{FF2B5EF4-FFF2-40B4-BE49-F238E27FC236}">
              <a16:creationId xmlns:a16="http://schemas.microsoft.com/office/drawing/2014/main" id="{00000000-0008-0000-0600-00003EC90C00}"/>
            </a:ext>
          </a:extLst>
        </xdr:cNvPr>
        <xdr:cNvSpPr>
          <a:spLocks noChangeShapeType="1"/>
        </xdr:cNvSpPr>
      </xdr:nvSpPr>
      <xdr:spPr bwMode="auto">
        <a:xfrm flipH="1">
          <a:off x="330803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12</xdr:row>
      <xdr:rowOff>76200</xdr:rowOff>
    </xdr:from>
    <xdr:to>
      <xdr:col>68</xdr:col>
      <xdr:colOff>123825</xdr:colOff>
      <xdr:row>13</xdr:row>
      <xdr:rowOff>142875</xdr:rowOff>
    </xdr:to>
    <xdr:sp macro="" textlink="">
      <xdr:nvSpPr>
        <xdr:cNvPr id="837951" name="Line 308">
          <a:extLst>
            <a:ext uri="{FF2B5EF4-FFF2-40B4-BE49-F238E27FC236}">
              <a16:creationId xmlns:a16="http://schemas.microsoft.com/office/drawing/2014/main" id="{00000000-0008-0000-0600-00003FC90C00}"/>
            </a:ext>
          </a:extLst>
        </xdr:cNvPr>
        <xdr:cNvSpPr>
          <a:spLocks noChangeShapeType="1"/>
        </xdr:cNvSpPr>
      </xdr:nvSpPr>
      <xdr:spPr bwMode="auto">
        <a:xfrm>
          <a:off x="332041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76200</xdr:rowOff>
    </xdr:from>
    <xdr:to>
      <xdr:col>68</xdr:col>
      <xdr:colOff>123825</xdr:colOff>
      <xdr:row>12</xdr:row>
      <xdr:rowOff>76200</xdr:rowOff>
    </xdr:to>
    <xdr:sp macro="" textlink="">
      <xdr:nvSpPr>
        <xdr:cNvPr id="837952" name="Line 309">
          <a:extLst>
            <a:ext uri="{FF2B5EF4-FFF2-40B4-BE49-F238E27FC236}">
              <a16:creationId xmlns:a16="http://schemas.microsoft.com/office/drawing/2014/main" id="{00000000-0008-0000-0600-000040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13</xdr:row>
      <xdr:rowOff>133350</xdr:rowOff>
    </xdr:from>
    <xdr:to>
      <xdr:col>68</xdr:col>
      <xdr:colOff>123825</xdr:colOff>
      <xdr:row>13</xdr:row>
      <xdr:rowOff>133350</xdr:rowOff>
    </xdr:to>
    <xdr:sp macro="" textlink="">
      <xdr:nvSpPr>
        <xdr:cNvPr id="837953" name="Line 310">
          <a:extLst>
            <a:ext uri="{FF2B5EF4-FFF2-40B4-BE49-F238E27FC236}">
              <a16:creationId xmlns:a16="http://schemas.microsoft.com/office/drawing/2014/main" id="{00000000-0008-0000-0600-000041C90C00}"/>
            </a:ext>
          </a:extLst>
        </xdr:cNvPr>
        <xdr:cNvSpPr>
          <a:spLocks noChangeShapeType="1"/>
        </xdr:cNvSpPr>
      </xdr:nvSpPr>
      <xdr:spPr bwMode="auto">
        <a:xfrm flipH="1">
          <a:off x="330803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14</xdr:row>
      <xdr:rowOff>76200</xdr:rowOff>
    </xdr:from>
    <xdr:to>
      <xdr:col>68</xdr:col>
      <xdr:colOff>123825</xdr:colOff>
      <xdr:row>15</xdr:row>
      <xdr:rowOff>142875</xdr:rowOff>
    </xdr:to>
    <xdr:sp macro="" textlink="">
      <xdr:nvSpPr>
        <xdr:cNvPr id="837954" name="Line 311">
          <a:extLst>
            <a:ext uri="{FF2B5EF4-FFF2-40B4-BE49-F238E27FC236}">
              <a16:creationId xmlns:a16="http://schemas.microsoft.com/office/drawing/2014/main" id="{00000000-0008-0000-0600-000042C90C00}"/>
            </a:ext>
          </a:extLst>
        </xdr:cNvPr>
        <xdr:cNvSpPr>
          <a:spLocks noChangeShapeType="1"/>
        </xdr:cNvSpPr>
      </xdr:nvSpPr>
      <xdr:spPr bwMode="auto">
        <a:xfrm>
          <a:off x="332041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76200</xdr:rowOff>
    </xdr:from>
    <xdr:to>
      <xdr:col>68</xdr:col>
      <xdr:colOff>123825</xdr:colOff>
      <xdr:row>14</xdr:row>
      <xdr:rowOff>76200</xdr:rowOff>
    </xdr:to>
    <xdr:sp macro="" textlink="">
      <xdr:nvSpPr>
        <xdr:cNvPr id="837955" name="Line 312">
          <a:extLst>
            <a:ext uri="{FF2B5EF4-FFF2-40B4-BE49-F238E27FC236}">
              <a16:creationId xmlns:a16="http://schemas.microsoft.com/office/drawing/2014/main" id="{00000000-0008-0000-0600-000043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15</xdr:row>
      <xdr:rowOff>133350</xdr:rowOff>
    </xdr:from>
    <xdr:to>
      <xdr:col>68</xdr:col>
      <xdr:colOff>123825</xdr:colOff>
      <xdr:row>15</xdr:row>
      <xdr:rowOff>133350</xdr:rowOff>
    </xdr:to>
    <xdr:sp macro="" textlink="">
      <xdr:nvSpPr>
        <xdr:cNvPr id="837956" name="Line 313">
          <a:extLst>
            <a:ext uri="{FF2B5EF4-FFF2-40B4-BE49-F238E27FC236}">
              <a16:creationId xmlns:a16="http://schemas.microsoft.com/office/drawing/2014/main" id="{00000000-0008-0000-0600-000044C90C00}"/>
            </a:ext>
          </a:extLst>
        </xdr:cNvPr>
        <xdr:cNvSpPr>
          <a:spLocks noChangeShapeType="1"/>
        </xdr:cNvSpPr>
      </xdr:nvSpPr>
      <xdr:spPr bwMode="auto">
        <a:xfrm flipH="1">
          <a:off x="330803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10</xdr:row>
      <xdr:rowOff>76200</xdr:rowOff>
    </xdr:from>
    <xdr:to>
      <xdr:col>68</xdr:col>
      <xdr:colOff>123825</xdr:colOff>
      <xdr:row>11</xdr:row>
      <xdr:rowOff>142875</xdr:rowOff>
    </xdr:to>
    <xdr:sp macro="" textlink="">
      <xdr:nvSpPr>
        <xdr:cNvPr id="837957" name="Line 315">
          <a:extLst>
            <a:ext uri="{FF2B5EF4-FFF2-40B4-BE49-F238E27FC236}">
              <a16:creationId xmlns:a16="http://schemas.microsoft.com/office/drawing/2014/main" id="{00000000-0008-0000-0600-000045C90C00}"/>
            </a:ext>
          </a:extLst>
        </xdr:cNvPr>
        <xdr:cNvSpPr>
          <a:spLocks noChangeShapeType="1"/>
        </xdr:cNvSpPr>
      </xdr:nvSpPr>
      <xdr:spPr bwMode="auto">
        <a:xfrm>
          <a:off x="332041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76200</xdr:rowOff>
    </xdr:from>
    <xdr:to>
      <xdr:col>68</xdr:col>
      <xdr:colOff>123825</xdr:colOff>
      <xdr:row>10</xdr:row>
      <xdr:rowOff>76200</xdr:rowOff>
    </xdr:to>
    <xdr:sp macro="" textlink="">
      <xdr:nvSpPr>
        <xdr:cNvPr id="837958" name="Line 316">
          <a:extLst>
            <a:ext uri="{FF2B5EF4-FFF2-40B4-BE49-F238E27FC236}">
              <a16:creationId xmlns:a16="http://schemas.microsoft.com/office/drawing/2014/main" id="{00000000-0008-0000-0600-000046C90C00}"/>
            </a:ext>
          </a:extLst>
        </xdr:cNvPr>
        <xdr:cNvSpPr>
          <a:spLocks noChangeShapeType="1"/>
        </xdr:cNvSpPr>
      </xdr:nvSpPr>
      <xdr:spPr bwMode="auto">
        <a:xfrm flipH="1" flipV="1">
          <a:off x="330803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11</xdr:row>
      <xdr:rowOff>133350</xdr:rowOff>
    </xdr:from>
    <xdr:to>
      <xdr:col>68</xdr:col>
      <xdr:colOff>123825</xdr:colOff>
      <xdr:row>11</xdr:row>
      <xdr:rowOff>133350</xdr:rowOff>
    </xdr:to>
    <xdr:sp macro="" textlink="">
      <xdr:nvSpPr>
        <xdr:cNvPr id="837959" name="Line 317">
          <a:extLst>
            <a:ext uri="{FF2B5EF4-FFF2-40B4-BE49-F238E27FC236}">
              <a16:creationId xmlns:a16="http://schemas.microsoft.com/office/drawing/2014/main" id="{00000000-0008-0000-0600-000047C90C00}"/>
            </a:ext>
          </a:extLst>
        </xdr:cNvPr>
        <xdr:cNvSpPr>
          <a:spLocks noChangeShapeType="1"/>
        </xdr:cNvSpPr>
      </xdr:nvSpPr>
      <xdr:spPr bwMode="auto">
        <a:xfrm flipH="1">
          <a:off x="330803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960" name="Line 318">
          <a:extLst>
            <a:ext uri="{FF2B5EF4-FFF2-40B4-BE49-F238E27FC236}">
              <a16:creationId xmlns:a16="http://schemas.microsoft.com/office/drawing/2014/main" id="{00000000-0008-0000-0600-000048C90C00}"/>
            </a:ext>
          </a:extLst>
        </xdr:cNvPr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961" name="Line 319">
          <a:extLst>
            <a:ext uri="{FF2B5EF4-FFF2-40B4-BE49-F238E27FC236}">
              <a16:creationId xmlns:a16="http://schemas.microsoft.com/office/drawing/2014/main" id="{00000000-0008-0000-0600-000049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962" name="Line 320">
          <a:extLst>
            <a:ext uri="{FF2B5EF4-FFF2-40B4-BE49-F238E27FC236}">
              <a16:creationId xmlns:a16="http://schemas.microsoft.com/office/drawing/2014/main" id="{00000000-0008-0000-0600-00004AC90C00}"/>
            </a:ext>
          </a:extLst>
        </xdr:cNvPr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963" name="Line 321">
          <a:extLst>
            <a:ext uri="{FF2B5EF4-FFF2-40B4-BE49-F238E27FC236}">
              <a16:creationId xmlns:a16="http://schemas.microsoft.com/office/drawing/2014/main" id="{00000000-0008-0000-0600-00004BC90C00}"/>
            </a:ext>
          </a:extLst>
        </xdr:cNvPr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964" name="Line 322">
          <a:extLst>
            <a:ext uri="{FF2B5EF4-FFF2-40B4-BE49-F238E27FC236}">
              <a16:creationId xmlns:a16="http://schemas.microsoft.com/office/drawing/2014/main" id="{00000000-0008-0000-0600-00004CC90C00}"/>
            </a:ext>
          </a:extLst>
        </xdr:cNvPr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965" name="Line 323">
          <a:extLst>
            <a:ext uri="{FF2B5EF4-FFF2-40B4-BE49-F238E27FC236}">
              <a16:creationId xmlns:a16="http://schemas.microsoft.com/office/drawing/2014/main" id="{00000000-0008-0000-0600-00004DC90C00}"/>
            </a:ext>
          </a:extLst>
        </xdr:cNvPr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966" name="Line 326">
          <a:extLst>
            <a:ext uri="{FF2B5EF4-FFF2-40B4-BE49-F238E27FC236}">
              <a16:creationId xmlns:a16="http://schemas.microsoft.com/office/drawing/2014/main" id="{00000000-0008-0000-0600-00004EC90C00}"/>
            </a:ext>
          </a:extLst>
        </xdr:cNvPr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967" name="Line 327">
          <a:extLst>
            <a:ext uri="{FF2B5EF4-FFF2-40B4-BE49-F238E27FC236}">
              <a16:creationId xmlns:a16="http://schemas.microsoft.com/office/drawing/2014/main" id="{00000000-0008-0000-0600-00004FC90C00}"/>
            </a:ext>
          </a:extLst>
        </xdr:cNvPr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968" name="Line 328">
          <a:extLst>
            <a:ext uri="{FF2B5EF4-FFF2-40B4-BE49-F238E27FC236}">
              <a16:creationId xmlns:a16="http://schemas.microsoft.com/office/drawing/2014/main" id="{00000000-0008-0000-0600-000050C90C00}"/>
            </a:ext>
          </a:extLst>
        </xdr:cNvPr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969" name="Line 329">
          <a:extLst>
            <a:ext uri="{FF2B5EF4-FFF2-40B4-BE49-F238E27FC236}">
              <a16:creationId xmlns:a16="http://schemas.microsoft.com/office/drawing/2014/main" id="{00000000-0008-0000-0600-000051C90C00}"/>
            </a:ext>
          </a:extLst>
        </xdr:cNvPr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970" name="Line 330">
          <a:extLst>
            <a:ext uri="{FF2B5EF4-FFF2-40B4-BE49-F238E27FC236}">
              <a16:creationId xmlns:a16="http://schemas.microsoft.com/office/drawing/2014/main" id="{00000000-0008-0000-0600-000052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971" name="Line 331">
          <a:extLst>
            <a:ext uri="{FF2B5EF4-FFF2-40B4-BE49-F238E27FC236}">
              <a16:creationId xmlns:a16="http://schemas.microsoft.com/office/drawing/2014/main" id="{00000000-0008-0000-0600-000053C90C00}"/>
            </a:ext>
          </a:extLst>
        </xdr:cNvPr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8</xdr:row>
      <xdr:rowOff>76200</xdr:rowOff>
    </xdr:from>
    <xdr:to>
      <xdr:col>74</xdr:col>
      <xdr:colOff>123825</xdr:colOff>
      <xdr:row>9</xdr:row>
      <xdr:rowOff>142875</xdr:rowOff>
    </xdr:to>
    <xdr:sp macro="" textlink="">
      <xdr:nvSpPr>
        <xdr:cNvPr id="837972" name="Line 332">
          <a:extLst>
            <a:ext uri="{FF2B5EF4-FFF2-40B4-BE49-F238E27FC236}">
              <a16:creationId xmlns:a16="http://schemas.microsoft.com/office/drawing/2014/main" id="{00000000-0008-0000-0600-000054C90C00}"/>
            </a:ext>
          </a:extLst>
        </xdr:cNvPr>
        <xdr:cNvSpPr>
          <a:spLocks noChangeShapeType="1"/>
        </xdr:cNvSpPr>
      </xdr:nvSpPr>
      <xdr:spPr bwMode="auto">
        <a:xfrm>
          <a:off x="366426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8</xdr:row>
      <xdr:rowOff>76200</xdr:rowOff>
    </xdr:from>
    <xdr:to>
      <xdr:col>74</xdr:col>
      <xdr:colOff>123825</xdr:colOff>
      <xdr:row>8</xdr:row>
      <xdr:rowOff>76200</xdr:rowOff>
    </xdr:to>
    <xdr:sp macro="" textlink="">
      <xdr:nvSpPr>
        <xdr:cNvPr id="837973" name="Line 333">
          <a:extLst>
            <a:ext uri="{FF2B5EF4-FFF2-40B4-BE49-F238E27FC236}">
              <a16:creationId xmlns:a16="http://schemas.microsoft.com/office/drawing/2014/main" id="{00000000-0008-0000-0600-000055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9</xdr:row>
      <xdr:rowOff>133350</xdr:rowOff>
    </xdr:from>
    <xdr:to>
      <xdr:col>74</xdr:col>
      <xdr:colOff>123825</xdr:colOff>
      <xdr:row>9</xdr:row>
      <xdr:rowOff>133350</xdr:rowOff>
    </xdr:to>
    <xdr:sp macro="" textlink="">
      <xdr:nvSpPr>
        <xdr:cNvPr id="837974" name="Line 334">
          <a:extLst>
            <a:ext uri="{FF2B5EF4-FFF2-40B4-BE49-F238E27FC236}">
              <a16:creationId xmlns:a16="http://schemas.microsoft.com/office/drawing/2014/main" id="{00000000-0008-0000-0600-000056C90C00}"/>
            </a:ext>
          </a:extLst>
        </xdr:cNvPr>
        <xdr:cNvSpPr>
          <a:spLocks noChangeShapeType="1"/>
        </xdr:cNvSpPr>
      </xdr:nvSpPr>
      <xdr:spPr bwMode="auto">
        <a:xfrm flipH="1">
          <a:off x="365188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12</xdr:row>
      <xdr:rowOff>76200</xdr:rowOff>
    </xdr:from>
    <xdr:to>
      <xdr:col>74</xdr:col>
      <xdr:colOff>123825</xdr:colOff>
      <xdr:row>13</xdr:row>
      <xdr:rowOff>142875</xdr:rowOff>
    </xdr:to>
    <xdr:sp macro="" textlink="">
      <xdr:nvSpPr>
        <xdr:cNvPr id="837975" name="Line 335">
          <a:extLst>
            <a:ext uri="{FF2B5EF4-FFF2-40B4-BE49-F238E27FC236}">
              <a16:creationId xmlns:a16="http://schemas.microsoft.com/office/drawing/2014/main" id="{00000000-0008-0000-0600-000057C90C00}"/>
            </a:ext>
          </a:extLst>
        </xdr:cNvPr>
        <xdr:cNvSpPr>
          <a:spLocks noChangeShapeType="1"/>
        </xdr:cNvSpPr>
      </xdr:nvSpPr>
      <xdr:spPr bwMode="auto">
        <a:xfrm>
          <a:off x="366426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12</xdr:row>
      <xdr:rowOff>76200</xdr:rowOff>
    </xdr:from>
    <xdr:to>
      <xdr:col>74</xdr:col>
      <xdr:colOff>123825</xdr:colOff>
      <xdr:row>12</xdr:row>
      <xdr:rowOff>76200</xdr:rowOff>
    </xdr:to>
    <xdr:sp macro="" textlink="">
      <xdr:nvSpPr>
        <xdr:cNvPr id="837976" name="Line 336">
          <a:extLst>
            <a:ext uri="{FF2B5EF4-FFF2-40B4-BE49-F238E27FC236}">
              <a16:creationId xmlns:a16="http://schemas.microsoft.com/office/drawing/2014/main" id="{00000000-0008-0000-0600-000058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13</xdr:row>
      <xdr:rowOff>133350</xdr:rowOff>
    </xdr:from>
    <xdr:to>
      <xdr:col>74</xdr:col>
      <xdr:colOff>123825</xdr:colOff>
      <xdr:row>13</xdr:row>
      <xdr:rowOff>133350</xdr:rowOff>
    </xdr:to>
    <xdr:sp macro="" textlink="">
      <xdr:nvSpPr>
        <xdr:cNvPr id="837977" name="Line 337">
          <a:extLst>
            <a:ext uri="{FF2B5EF4-FFF2-40B4-BE49-F238E27FC236}">
              <a16:creationId xmlns:a16="http://schemas.microsoft.com/office/drawing/2014/main" id="{00000000-0008-0000-0600-000059C90C00}"/>
            </a:ext>
          </a:extLst>
        </xdr:cNvPr>
        <xdr:cNvSpPr>
          <a:spLocks noChangeShapeType="1"/>
        </xdr:cNvSpPr>
      </xdr:nvSpPr>
      <xdr:spPr bwMode="auto">
        <a:xfrm flipH="1">
          <a:off x="365188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14</xdr:row>
      <xdr:rowOff>76200</xdr:rowOff>
    </xdr:from>
    <xdr:to>
      <xdr:col>74</xdr:col>
      <xdr:colOff>123825</xdr:colOff>
      <xdr:row>15</xdr:row>
      <xdr:rowOff>142875</xdr:rowOff>
    </xdr:to>
    <xdr:sp macro="" textlink="">
      <xdr:nvSpPr>
        <xdr:cNvPr id="837978" name="Line 338">
          <a:extLst>
            <a:ext uri="{FF2B5EF4-FFF2-40B4-BE49-F238E27FC236}">
              <a16:creationId xmlns:a16="http://schemas.microsoft.com/office/drawing/2014/main" id="{00000000-0008-0000-0600-00005AC90C00}"/>
            </a:ext>
          </a:extLst>
        </xdr:cNvPr>
        <xdr:cNvSpPr>
          <a:spLocks noChangeShapeType="1"/>
        </xdr:cNvSpPr>
      </xdr:nvSpPr>
      <xdr:spPr bwMode="auto">
        <a:xfrm>
          <a:off x="366426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14</xdr:row>
      <xdr:rowOff>76200</xdr:rowOff>
    </xdr:from>
    <xdr:to>
      <xdr:col>74</xdr:col>
      <xdr:colOff>123825</xdr:colOff>
      <xdr:row>14</xdr:row>
      <xdr:rowOff>76200</xdr:rowOff>
    </xdr:to>
    <xdr:sp macro="" textlink="">
      <xdr:nvSpPr>
        <xdr:cNvPr id="837979" name="Line 339">
          <a:extLst>
            <a:ext uri="{FF2B5EF4-FFF2-40B4-BE49-F238E27FC236}">
              <a16:creationId xmlns:a16="http://schemas.microsoft.com/office/drawing/2014/main" id="{00000000-0008-0000-0600-00005B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15</xdr:row>
      <xdr:rowOff>133350</xdr:rowOff>
    </xdr:from>
    <xdr:to>
      <xdr:col>74</xdr:col>
      <xdr:colOff>123825</xdr:colOff>
      <xdr:row>15</xdr:row>
      <xdr:rowOff>133350</xdr:rowOff>
    </xdr:to>
    <xdr:sp macro="" textlink="">
      <xdr:nvSpPr>
        <xdr:cNvPr id="837980" name="Line 340">
          <a:extLst>
            <a:ext uri="{FF2B5EF4-FFF2-40B4-BE49-F238E27FC236}">
              <a16:creationId xmlns:a16="http://schemas.microsoft.com/office/drawing/2014/main" id="{00000000-0008-0000-0600-00005CC90C00}"/>
            </a:ext>
          </a:extLst>
        </xdr:cNvPr>
        <xdr:cNvSpPr>
          <a:spLocks noChangeShapeType="1"/>
        </xdr:cNvSpPr>
      </xdr:nvSpPr>
      <xdr:spPr bwMode="auto">
        <a:xfrm flipH="1">
          <a:off x="365188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10</xdr:row>
      <xdr:rowOff>76200</xdr:rowOff>
    </xdr:from>
    <xdr:to>
      <xdr:col>74</xdr:col>
      <xdr:colOff>123825</xdr:colOff>
      <xdr:row>11</xdr:row>
      <xdr:rowOff>142875</xdr:rowOff>
    </xdr:to>
    <xdr:sp macro="" textlink="">
      <xdr:nvSpPr>
        <xdr:cNvPr id="837981" name="Line 342">
          <a:extLst>
            <a:ext uri="{FF2B5EF4-FFF2-40B4-BE49-F238E27FC236}">
              <a16:creationId xmlns:a16="http://schemas.microsoft.com/office/drawing/2014/main" id="{00000000-0008-0000-0600-00005DC90C00}"/>
            </a:ext>
          </a:extLst>
        </xdr:cNvPr>
        <xdr:cNvSpPr>
          <a:spLocks noChangeShapeType="1"/>
        </xdr:cNvSpPr>
      </xdr:nvSpPr>
      <xdr:spPr bwMode="auto">
        <a:xfrm>
          <a:off x="366426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10</xdr:row>
      <xdr:rowOff>76200</xdr:rowOff>
    </xdr:from>
    <xdr:to>
      <xdr:col>74</xdr:col>
      <xdr:colOff>123825</xdr:colOff>
      <xdr:row>10</xdr:row>
      <xdr:rowOff>76200</xdr:rowOff>
    </xdr:to>
    <xdr:sp macro="" textlink="">
      <xdr:nvSpPr>
        <xdr:cNvPr id="837982" name="Line 343">
          <a:extLst>
            <a:ext uri="{FF2B5EF4-FFF2-40B4-BE49-F238E27FC236}">
              <a16:creationId xmlns:a16="http://schemas.microsoft.com/office/drawing/2014/main" id="{00000000-0008-0000-0600-00005EC90C00}"/>
            </a:ext>
          </a:extLst>
        </xdr:cNvPr>
        <xdr:cNvSpPr>
          <a:spLocks noChangeShapeType="1"/>
        </xdr:cNvSpPr>
      </xdr:nvSpPr>
      <xdr:spPr bwMode="auto">
        <a:xfrm flipH="1" flipV="1">
          <a:off x="365188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11</xdr:row>
      <xdr:rowOff>133350</xdr:rowOff>
    </xdr:from>
    <xdr:to>
      <xdr:col>74</xdr:col>
      <xdr:colOff>123825</xdr:colOff>
      <xdr:row>11</xdr:row>
      <xdr:rowOff>133350</xdr:rowOff>
    </xdr:to>
    <xdr:sp macro="" textlink="">
      <xdr:nvSpPr>
        <xdr:cNvPr id="837983" name="Line 344">
          <a:extLst>
            <a:ext uri="{FF2B5EF4-FFF2-40B4-BE49-F238E27FC236}">
              <a16:creationId xmlns:a16="http://schemas.microsoft.com/office/drawing/2014/main" id="{00000000-0008-0000-0600-00005FC90C00}"/>
            </a:ext>
          </a:extLst>
        </xdr:cNvPr>
        <xdr:cNvSpPr>
          <a:spLocks noChangeShapeType="1"/>
        </xdr:cNvSpPr>
      </xdr:nvSpPr>
      <xdr:spPr bwMode="auto">
        <a:xfrm flipH="1">
          <a:off x="365188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984" name="Line 345">
          <a:extLst>
            <a:ext uri="{FF2B5EF4-FFF2-40B4-BE49-F238E27FC236}">
              <a16:creationId xmlns:a16="http://schemas.microsoft.com/office/drawing/2014/main" id="{00000000-0008-0000-0600-000060C90C00}"/>
            </a:ext>
          </a:extLst>
        </xdr:cNvPr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985" name="Line 346">
          <a:extLst>
            <a:ext uri="{FF2B5EF4-FFF2-40B4-BE49-F238E27FC236}">
              <a16:creationId xmlns:a16="http://schemas.microsoft.com/office/drawing/2014/main" id="{00000000-0008-0000-0600-000061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986" name="Line 347">
          <a:extLst>
            <a:ext uri="{FF2B5EF4-FFF2-40B4-BE49-F238E27FC236}">
              <a16:creationId xmlns:a16="http://schemas.microsoft.com/office/drawing/2014/main" id="{00000000-0008-0000-0600-000062C90C00}"/>
            </a:ext>
          </a:extLst>
        </xdr:cNvPr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987" name="Line 348">
          <a:extLst>
            <a:ext uri="{FF2B5EF4-FFF2-40B4-BE49-F238E27FC236}">
              <a16:creationId xmlns:a16="http://schemas.microsoft.com/office/drawing/2014/main" id="{00000000-0008-0000-0600-000063C90C00}"/>
            </a:ext>
          </a:extLst>
        </xdr:cNvPr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988" name="Line 349">
          <a:extLst>
            <a:ext uri="{FF2B5EF4-FFF2-40B4-BE49-F238E27FC236}">
              <a16:creationId xmlns:a16="http://schemas.microsoft.com/office/drawing/2014/main" id="{00000000-0008-0000-0600-000064C90C00}"/>
            </a:ext>
          </a:extLst>
        </xdr:cNvPr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989" name="Line 350">
          <a:extLst>
            <a:ext uri="{FF2B5EF4-FFF2-40B4-BE49-F238E27FC236}">
              <a16:creationId xmlns:a16="http://schemas.microsoft.com/office/drawing/2014/main" id="{00000000-0008-0000-0600-000065C90C00}"/>
            </a:ext>
          </a:extLst>
        </xdr:cNvPr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990" name="Line 353">
          <a:extLst>
            <a:ext uri="{FF2B5EF4-FFF2-40B4-BE49-F238E27FC236}">
              <a16:creationId xmlns:a16="http://schemas.microsoft.com/office/drawing/2014/main" id="{00000000-0008-0000-0600-000066C90C00}"/>
            </a:ext>
          </a:extLst>
        </xdr:cNvPr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991" name="Line 354">
          <a:extLst>
            <a:ext uri="{FF2B5EF4-FFF2-40B4-BE49-F238E27FC236}">
              <a16:creationId xmlns:a16="http://schemas.microsoft.com/office/drawing/2014/main" id="{00000000-0008-0000-0600-000067C90C00}"/>
            </a:ext>
          </a:extLst>
        </xdr:cNvPr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992" name="Line 355">
          <a:extLst>
            <a:ext uri="{FF2B5EF4-FFF2-40B4-BE49-F238E27FC236}">
              <a16:creationId xmlns:a16="http://schemas.microsoft.com/office/drawing/2014/main" id="{00000000-0008-0000-0600-000068C90C00}"/>
            </a:ext>
          </a:extLst>
        </xdr:cNvPr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993" name="Line 356">
          <a:extLst>
            <a:ext uri="{FF2B5EF4-FFF2-40B4-BE49-F238E27FC236}">
              <a16:creationId xmlns:a16="http://schemas.microsoft.com/office/drawing/2014/main" id="{00000000-0008-0000-0600-000069C90C00}"/>
            </a:ext>
          </a:extLst>
        </xdr:cNvPr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994" name="Line 357">
          <a:extLst>
            <a:ext uri="{FF2B5EF4-FFF2-40B4-BE49-F238E27FC236}">
              <a16:creationId xmlns:a16="http://schemas.microsoft.com/office/drawing/2014/main" id="{00000000-0008-0000-0600-00006A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995" name="Line 358">
          <a:extLst>
            <a:ext uri="{FF2B5EF4-FFF2-40B4-BE49-F238E27FC236}">
              <a16:creationId xmlns:a16="http://schemas.microsoft.com/office/drawing/2014/main" id="{00000000-0008-0000-0600-00006BC90C00}"/>
            </a:ext>
          </a:extLst>
        </xdr:cNvPr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8</xdr:row>
      <xdr:rowOff>76200</xdr:rowOff>
    </xdr:from>
    <xdr:to>
      <xdr:col>80</xdr:col>
      <xdr:colOff>123825</xdr:colOff>
      <xdr:row>9</xdr:row>
      <xdr:rowOff>142875</xdr:rowOff>
    </xdr:to>
    <xdr:sp macro="" textlink="">
      <xdr:nvSpPr>
        <xdr:cNvPr id="837996" name="Line 359">
          <a:extLst>
            <a:ext uri="{FF2B5EF4-FFF2-40B4-BE49-F238E27FC236}">
              <a16:creationId xmlns:a16="http://schemas.microsoft.com/office/drawing/2014/main" id="{00000000-0008-0000-0600-00006CC90C00}"/>
            </a:ext>
          </a:extLst>
        </xdr:cNvPr>
        <xdr:cNvSpPr>
          <a:spLocks noChangeShapeType="1"/>
        </xdr:cNvSpPr>
      </xdr:nvSpPr>
      <xdr:spPr bwMode="auto">
        <a:xfrm>
          <a:off x="404145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8</xdr:row>
      <xdr:rowOff>76200</xdr:rowOff>
    </xdr:from>
    <xdr:to>
      <xdr:col>80</xdr:col>
      <xdr:colOff>123825</xdr:colOff>
      <xdr:row>8</xdr:row>
      <xdr:rowOff>76200</xdr:rowOff>
    </xdr:to>
    <xdr:sp macro="" textlink="">
      <xdr:nvSpPr>
        <xdr:cNvPr id="837997" name="Line 360">
          <a:extLst>
            <a:ext uri="{FF2B5EF4-FFF2-40B4-BE49-F238E27FC236}">
              <a16:creationId xmlns:a16="http://schemas.microsoft.com/office/drawing/2014/main" id="{00000000-0008-0000-0600-00006D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9</xdr:row>
      <xdr:rowOff>133350</xdr:rowOff>
    </xdr:from>
    <xdr:to>
      <xdr:col>80</xdr:col>
      <xdr:colOff>123825</xdr:colOff>
      <xdr:row>9</xdr:row>
      <xdr:rowOff>133350</xdr:rowOff>
    </xdr:to>
    <xdr:sp macro="" textlink="">
      <xdr:nvSpPr>
        <xdr:cNvPr id="837998" name="Line 361">
          <a:extLst>
            <a:ext uri="{FF2B5EF4-FFF2-40B4-BE49-F238E27FC236}">
              <a16:creationId xmlns:a16="http://schemas.microsoft.com/office/drawing/2014/main" id="{00000000-0008-0000-0600-00006EC90C00}"/>
            </a:ext>
          </a:extLst>
        </xdr:cNvPr>
        <xdr:cNvSpPr>
          <a:spLocks noChangeShapeType="1"/>
        </xdr:cNvSpPr>
      </xdr:nvSpPr>
      <xdr:spPr bwMode="auto">
        <a:xfrm flipH="1">
          <a:off x="402907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12</xdr:row>
      <xdr:rowOff>76200</xdr:rowOff>
    </xdr:from>
    <xdr:to>
      <xdr:col>80</xdr:col>
      <xdr:colOff>123825</xdr:colOff>
      <xdr:row>13</xdr:row>
      <xdr:rowOff>142875</xdr:rowOff>
    </xdr:to>
    <xdr:sp macro="" textlink="">
      <xdr:nvSpPr>
        <xdr:cNvPr id="837999" name="Line 362">
          <a:extLst>
            <a:ext uri="{FF2B5EF4-FFF2-40B4-BE49-F238E27FC236}">
              <a16:creationId xmlns:a16="http://schemas.microsoft.com/office/drawing/2014/main" id="{00000000-0008-0000-0600-00006FC90C00}"/>
            </a:ext>
          </a:extLst>
        </xdr:cNvPr>
        <xdr:cNvSpPr>
          <a:spLocks noChangeShapeType="1"/>
        </xdr:cNvSpPr>
      </xdr:nvSpPr>
      <xdr:spPr bwMode="auto">
        <a:xfrm>
          <a:off x="404145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12</xdr:row>
      <xdr:rowOff>76200</xdr:rowOff>
    </xdr:from>
    <xdr:to>
      <xdr:col>80</xdr:col>
      <xdr:colOff>123825</xdr:colOff>
      <xdr:row>12</xdr:row>
      <xdr:rowOff>76200</xdr:rowOff>
    </xdr:to>
    <xdr:sp macro="" textlink="">
      <xdr:nvSpPr>
        <xdr:cNvPr id="838000" name="Line 363">
          <a:extLst>
            <a:ext uri="{FF2B5EF4-FFF2-40B4-BE49-F238E27FC236}">
              <a16:creationId xmlns:a16="http://schemas.microsoft.com/office/drawing/2014/main" id="{00000000-0008-0000-0600-000070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13</xdr:row>
      <xdr:rowOff>133350</xdr:rowOff>
    </xdr:from>
    <xdr:to>
      <xdr:col>80</xdr:col>
      <xdr:colOff>123825</xdr:colOff>
      <xdr:row>13</xdr:row>
      <xdr:rowOff>133350</xdr:rowOff>
    </xdr:to>
    <xdr:sp macro="" textlink="">
      <xdr:nvSpPr>
        <xdr:cNvPr id="838001" name="Line 364">
          <a:extLst>
            <a:ext uri="{FF2B5EF4-FFF2-40B4-BE49-F238E27FC236}">
              <a16:creationId xmlns:a16="http://schemas.microsoft.com/office/drawing/2014/main" id="{00000000-0008-0000-0600-000071C90C00}"/>
            </a:ext>
          </a:extLst>
        </xdr:cNvPr>
        <xdr:cNvSpPr>
          <a:spLocks noChangeShapeType="1"/>
        </xdr:cNvSpPr>
      </xdr:nvSpPr>
      <xdr:spPr bwMode="auto">
        <a:xfrm flipH="1">
          <a:off x="402907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14</xdr:row>
      <xdr:rowOff>76200</xdr:rowOff>
    </xdr:from>
    <xdr:to>
      <xdr:col>80</xdr:col>
      <xdr:colOff>123825</xdr:colOff>
      <xdr:row>15</xdr:row>
      <xdr:rowOff>142875</xdr:rowOff>
    </xdr:to>
    <xdr:sp macro="" textlink="">
      <xdr:nvSpPr>
        <xdr:cNvPr id="838002" name="Line 365">
          <a:extLst>
            <a:ext uri="{FF2B5EF4-FFF2-40B4-BE49-F238E27FC236}">
              <a16:creationId xmlns:a16="http://schemas.microsoft.com/office/drawing/2014/main" id="{00000000-0008-0000-0600-000072C90C00}"/>
            </a:ext>
          </a:extLst>
        </xdr:cNvPr>
        <xdr:cNvSpPr>
          <a:spLocks noChangeShapeType="1"/>
        </xdr:cNvSpPr>
      </xdr:nvSpPr>
      <xdr:spPr bwMode="auto">
        <a:xfrm>
          <a:off x="404145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14</xdr:row>
      <xdr:rowOff>76200</xdr:rowOff>
    </xdr:from>
    <xdr:to>
      <xdr:col>80</xdr:col>
      <xdr:colOff>123825</xdr:colOff>
      <xdr:row>14</xdr:row>
      <xdr:rowOff>76200</xdr:rowOff>
    </xdr:to>
    <xdr:sp macro="" textlink="">
      <xdr:nvSpPr>
        <xdr:cNvPr id="838003" name="Line 366">
          <a:extLst>
            <a:ext uri="{FF2B5EF4-FFF2-40B4-BE49-F238E27FC236}">
              <a16:creationId xmlns:a16="http://schemas.microsoft.com/office/drawing/2014/main" id="{00000000-0008-0000-0600-000073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15</xdr:row>
      <xdr:rowOff>133350</xdr:rowOff>
    </xdr:from>
    <xdr:to>
      <xdr:col>80</xdr:col>
      <xdr:colOff>123825</xdr:colOff>
      <xdr:row>15</xdr:row>
      <xdr:rowOff>133350</xdr:rowOff>
    </xdr:to>
    <xdr:sp macro="" textlink="">
      <xdr:nvSpPr>
        <xdr:cNvPr id="838004" name="Line 367">
          <a:extLst>
            <a:ext uri="{FF2B5EF4-FFF2-40B4-BE49-F238E27FC236}">
              <a16:creationId xmlns:a16="http://schemas.microsoft.com/office/drawing/2014/main" id="{00000000-0008-0000-0600-000074C90C00}"/>
            </a:ext>
          </a:extLst>
        </xdr:cNvPr>
        <xdr:cNvSpPr>
          <a:spLocks noChangeShapeType="1"/>
        </xdr:cNvSpPr>
      </xdr:nvSpPr>
      <xdr:spPr bwMode="auto">
        <a:xfrm flipH="1">
          <a:off x="402907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10</xdr:row>
      <xdr:rowOff>76200</xdr:rowOff>
    </xdr:from>
    <xdr:to>
      <xdr:col>80</xdr:col>
      <xdr:colOff>123825</xdr:colOff>
      <xdr:row>11</xdr:row>
      <xdr:rowOff>142875</xdr:rowOff>
    </xdr:to>
    <xdr:sp macro="" textlink="">
      <xdr:nvSpPr>
        <xdr:cNvPr id="838005" name="Line 369">
          <a:extLst>
            <a:ext uri="{FF2B5EF4-FFF2-40B4-BE49-F238E27FC236}">
              <a16:creationId xmlns:a16="http://schemas.microsoft.com/office/drawing/2014/main" id="{00000000-0008-0000-0600-000075C90C00}"/>
            </a:ext>
          </a:extLst>
        </xdr:cNvPr>
        <xdr:cNvSpPr>
          <a:spLocks noChangeShapeType="1"/>
        </xdr:cNvSpPr>
      </xdr:nvSpPr>
      <xdr:spPr bwMode="auto">
        <a:xfrm>
          <a:off x="404145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10</xdr:row>
      <xdr:rowOff>76200</xdr:rowOff>
    </xdr:from>
    <xdr:to>
      <xdr:col>80</xdr:col>
      <xdr:colOff>123825</xdr:colOff>
      <xdr:row>10</xdr:row>
      <xdr:rowOff>76200</xdr:rowOff>
    </xdr:to>
    <xdr:sp macro="" textlink="">
      <xdr:nvSpPr>
        <xdr:cNvPr id="838006" name="Line 370">
          <a:extLst>
            <a:ext uri="{FF2B5EF4-FFF2-40B4-BE49-F238E27FC236}">
              <a16:creationId xmlns:a16="http://schemas.microsoft.com/office/drawing/2014/main" id="{00000000-0008-0000-0600-000076C90C00}"/>
            </a:ext>
          </a:extLst>
        </xdr:cNvPr>
        <xdr:cNvSpPr>
          <a:spLocks noChangeShapeType="1"/>
        </xdr:cNvSpPr>
      </xdr:nvSpPr>
      <xdr:spPr bwMode="auto">
        <a:xfrm flipH="1" flipV="1">
          <a:off x="402907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11</xdr:row>
      <xdr:rowOff>133350</xdr:rowOff>
    </xdr:from>
    <xdr:to>
      <xdr:col>80</xdr:col>
      <xdr:colOff>123825</xdr:colOff>
      <xdr:row>11</xdr:row>
      <xdr:rowOff>133350</xdr:rowOff>
    </xdr:to>
    <xdr:sp macro="" textlink="">
      <xdr:nvSpPr>
        <xdr:cNvPr id="838007" name="Line 371">
          <a:extLst>
            <a:ext uri="{FF2B5EF4-FFF2-40B4-BE49-F238E27FC236}">
              <a16:creationId xmlns:a16="http://schemas.microsoft.com/office/drawing/2014/main" id="{00000000-0008-0000-0600-000077C90C00}"/>
            </a:ext>
          </a:extLst>
        </xdr:cNvPr>
        <xdr:cNvSpPr>
          <a:spLocks noChangeShapeType="1"/>
        </xdr:cNvSpPr>
      </xdr:nvSpPr>
      <xdr:spPr bwMode="auto">
        <a:xfrm flipH="1">
          <a:off x="402907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8008" name="Line 216">
          <a:extLst>
            <a:ext uri="{FF2B5EF4-FFF2-40B4-BE49-F238E27FC236}">
              <a16:creationId xmlns:a16="http://schemas.microsoft.com/office/drawing/2014/main" id="{00000000-0008-0000-0600-000078C90C00}"/>
            </a:ext>
          </a:extLst>
        </xdr:cNvPr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8009" name="Line 217">
          <a:extLst>
            <a:ext uri="{FF2B5EF4-FFF2-40B4-BE49-F238E27FC236}">
              <a16:creationId xmlns:a16="http://schemas.microsoft.com/office/drawing/2014/main" id="{00000000-0008-0000-0600-000079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8010" name="Line 218">
          <a:extLst>
            <a:ext uri="{FF2B5EF4-FFF2-40B4-BE49-F238E27FC236}">
              <a16:creationId xmlns:a16="http://schemas.microsoft.com/office/drawing/2014/main" id="{00000000-0008-0000-0600-00007AC90C00}"/>
            </a:ext>
          </a:extLst>
        </xdr:cNvPr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8011" name="Line 219">
          <a:extLst>
            <a:ext uri="{FF2B5EF4-FFF2-40B4-BE49-F238E27FC236}">
              <a16:creationId xmlns:a16="http://schemas.microsoft.com/office/drawing/2014/main" id="{00000000-0008-0000-0600-00007BC90C00}"/>
            </a:ext>
          </a:extLst>
        </xdr:cNvPr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8012" name="Line 220">
          <a:extLst>
            <a:ext uri="{FF2B5EF4-FFF2-40B4-BE49-F238E27FC236}">
              <a16:creationId xmlns:a16="http://schemas.microsoft.com/office/drawing/2014/main" id="{00000000-0008-0000-0600-00007CC90C00}"/>
            </a:ext>
          </a:extLst>
        </xdr:cNvPr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8013" name="Line 221">
          <a:extLst>
            <a:ext uri="{FF2B5EF4-FFF2-40B4-BE49-F238E27FC236}">
              <a16:creationId xmlns:a16="http://schemas.microsoft.com/office/drawing/2014/main" id="{00000000-0008-0000-0600-00007DC90C00}"/>
            </a:ext>
          </a:extLst>
        </xdr:cNvPr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8014" name="Line 224">
          <a:extLst>
            <a:ext uri="{FF2B5EF4-FFF2-40B4-BE49-F238E27FC236}">
              <a16:creationId xmlns:a16="http://schemas.microsoft.com/office/drawing/2014/main" id="{00000000-0008-0000-0600-00007EC90C00}"/>
            </a:ext>
          </a:extLst>
        </xdr:cNvPr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8015" name="Line 225">
          <a:extLst>
            <a:ext uri="{FF2B5EF4-FFF2-40B4-BE49-F238E27FC236}">
              <a16:creationId xmlns:a16="http://schemas.microsoft.com/office/drawing/2014/main" id="{00000000-0008-0000-0600-00007FC90C00}"/>
            </a:ext>
          </a:extLst>
        </xdr:cNvPr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8016" name="Line 226">
          <a:extLst>
            <a:ext uri="{FF2B5EF4-FFF2-40B4-BE49-F238E27FC236}">
              <a16:creationId xmlns:a16="http://schemas.microsoft.com/office/drawing/2014/main" id="{00000000-0008-0000-0600-000080C90C00}"/>
            </a:ext>
          </a:extLst>
        </xdr:cNvPr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8017" name="Line 227">
          <a:extLst>
            <a:ext uri="{FF2B5EF4-FFF2-40B4-BE49-F238E27FC236}">
              <a16:creationId xmlns:a16="http://schemas.microsoft.com/office/drawing/2014/main" id="{00000000-0008-0000-0600-000081C90C00}"/>
            </a:ext>
          </a:extLst>
        </xdr:cNvPr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8018" name="Line 228">
          <a:extLst>
            <a:ext uri="{FF2B5EF4-FFF2-40B4-BE49-F238E27FC236}">
              <a16:creationId xmlns:a16="http://schemas.microsoft.com/office/drawing/2014/main" id="{00000000-0008-0000-0600-000082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8019" name="Line 229">
          <a:extLst>
            <a:ext uri="{FF2B5EF4-FFF2-40B4-BE49-F238E27FC236}">
              <a16:creationId xmlns:a16="http://schemas.microsoft.com/office/drawing/2014/main" id="{00000000-0008-0000-0600-000083C90C00}"/>
            </a:ext>
          </a:extLst>
        </xdr:cNvPr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8</xdr:row>
      <xdr:rowOff>76200</xdr:rowOff>
    </xdr:from>
    <xdr:to>
      <xdr:col>98</xdr:col>
      <xdr:colOff>123825</xdr:colOff>
      <xdr:row>9</xdr:row>
      <xdr:rowOff>142875</xdr:rowOff>
    </xdr:to>
    <xdr:sp macro="" textlink="">
      <xdr:nvSpPr>
        <xdr:cNvPr id="838020" name="Line 230">
          <a:extLst>
            <a:ext uri="{FF2B5EF4-FFF2-40B4-BE49-F238E27FC236}">
              <a16:creationId xmlns:a16="http://schemas.microsoft.com/office/drawing/2014/main" id="{00000000-0008-0000-0600-000084C90C00}"/>
            </a:ext>
          </a:extLst>
        </xdr:cNvPr>
        <xdr:cNvSpPr>
          <a:spLocks noChangeShapeType="1"/>
        </xdr:cNvSpPr>
      </xdr:nvSpPr>
      <xdr:spPr bwMode="auto">
        <a:xfrm>
          <a:off x="51092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8</xdr:row>
      <xdr:rowOff>76200</xdr:rowOff>
    </xdr:from>
    <xdr:to>
      <xdr:col>98</xdr:col>
      <xdr:colOff>123825</xdr:colOff>
      <xdr:row>8</xdr:row>
      <xdr:rowOff>76200</xdr:rowOff>
    </xdr:to>
    <xdr:sp macro="" textlink="">
      <xdr:nvSpPr>
        <xdr:cNvPr id="838021" name="Line 231">
          <a:extLst>
            <a:ext uri="{FF2B5EF4-FFF2-40B4-BE49-F238E27FC236}">
              <a16:creationId xmlns:a16="http://schemas.microsoft.com/office/drawing/2014/main" id="{00000000-0008-0000-0600-000085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9</xdr:row>
      <xdr:rowOff>133350</xdr:rowOff>
    </xdr:from>
    <xdr:to>
      <xdr:col>98</xdr:col>
      <xdr:colOff>123825</xdr:colOff>
      <xdr:row>9</xdr:row>
      <xdr:rowOff>133350</xdr:rowOff>
    </xdr:to>
    <xdr:sp macro="" textlink="">
      <xdr:nvSpPr>
        <xdr:cNvPr id="838022" name="Line 232">
          <a:extLst>
            <a:ext uri="{FF2B5EF4-FFF2-40B4-BE49-F238E27FC236}">
              <a16:creationId xmlns:a16="http://schemas.microsoft.com/office/drawing/2014/main" id="{00000000-0008-0000-0600-000086C90C00}"/>
            </a:ext>
          </a:extLst>
        </xdr:cNvPr>
        <xdr:cNvSpPr>
          <a:spLocks noChangeShapeType="1"/>
        </xdr:cNvSpPr>
      </xdr:nvSpPr>
      <xdr:spPr bwMode="auto">
        <a:xfrm flipH="1">
          <a:off x="50968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12</xdr:row>
      <xdr:rowOff>76200</xdr:rowOff>
    </xdr:from>
    <xdr:to>
      <xdr:col>98</xdr:col>
      <xdr:colOff>123825</xdr:colOff>
      <xdr:row>13</xdr:row>
      <xdr:rowOff>142875</xdr:rowOff>
    </xdr:to>
    <xdr:sp macro="" textlink="">
      <xdr:nvSpPr>
        <xdr:cNvPr id="838023" name="Line 233">
          <a:extLst>
            <a:ext uri="{FF2B5EF4-FFF2-40B4-BE49-F238E27FC236}">
              <a16:creationId xmlns:a16="http://schemas.microsoft.com/office/drawing/2014/main" id="{00000000-0008-0000-0600-000087C90C00}"/>
            </a:ext>
          </a:extLst>
        </xdr:cNvPr>
        <xdr:cNvSpPr>
          <a:spLocks noChangeShapeType="1"/>
        </xdr:cNvSpPr>
      </xdr:nvSpPr>
      <xdr:spPr bwMode="auto">
        <a:xfrm>
          <a:off x="51092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12</xdr:row>
      <xdr:rowOff>76200</xdr:rowOff>
    </xdr:from>
    <xdr:to>
      <xdr:col>98</xdr:col>
      <xdr:colOff>123825</xdr:colOff>
      <xdr:row>12</xdr:row>
      <xdr:rowOff>76200</xdr:rowOff>
    </xdr:to>
    <xdr:sp macro="" textlink="">
      <xdr:nvSpPr>
        <xdr:cNvPr id="838024" name="Line 234">
          <a:extLst>
            <a:ext uri="{FF2B5EF4-FFF2-40B4-BE49-F238E27FC236}">
              <a16:creationId xmlns:a16="http://schemas.microsoft.com/office/drawing/2014/main" id="{00000000-0008-0000-0600-000088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13</xdr:row>
      <xdr:rowOff>133350</xdr:rowOff>
    </xdr:from>
    <xdr:to>
      <xdr:col>98</xdr:col>
      <xdr:colOff>123825</xdr:colOff>
      <xdr:row>13</xdr:row>
      <xdr:rowOff>133350</xdr:rowOff>
    </xdr:to>
    <xdr:sp macro="" textlink="">
      <xdr:nvSpPr>
        <xdr:cNvPr id="838025" name="Line 235">
          <a:extLst>
            <a:ext uri="{FF2B5EF4-FFF2-40B4-BE49-F238E27FC236}">
              <a16:creationId xmlns:a16="http://schemas.microsoft.com/office/drawing/2014/main" id="{00000000-0008-0000-0600-000089C90C00}"/>
            </a:ext>
          </a:extLst>
        </xdr:cNvPr>
        <xdr:cNvSpPr>
          <a:spLocks noChangeShapeType="1"/>
        </xdr:cNvSpPr>
      </xdr:nvSpPr>
      <xdr:spPr bwMode="auto">
        <a:xfrm flipH="1">
          <a:off x="50968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14</xdr:row>
      <xdr:rowOff>76200</xdr:rowOff>
    </xdr:from>
    <xdr:to>
      <xdr:col>98</xdr:col>
      <xdr:colOff>123825</xdr:colOff>
      <xdr:row>15</xdr:row>
      <xdr:rowOff>142875</xdr:rowOff>
    </xdr:to>
    <xdr:sp macro="" textlink="">
      <xdr:nvSpPr>
        <xdr:cNvPr id="838026" name="Line 236">
          <a:extLst>
            <a:ext uri="{FF2B5EF4-FFF2-40B4-BE49-F238E27FC236}">
              <a16:creationId xmlns:a16="http://schemas.microsoft.com/office/drawing/2014/main" id="{00000000-0008-0000-0600-00008AC90C00}"/>
            </a:ext>
          </a:extLst>
        </xdr:cNvPr>
        <xdr:cNvSpPr>
          <a:spLocks noChangeShapeType="1"/>
        </xdr:cNvSpPr>
      </xdr:nvSpPr>
      <xdr:spPr bwMode="auto">
        <a:xfrm>
          <a:off x="51092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14</xdr:row>
      <xdr:rowOff>76200</xdr:rowOff>
    </xdr:from>
    <xdr:to>
      <xdr:col>98</xdr:col>
      <xdr:colOff>123825</xdr:colOff>
      <xdr:row>14</xdr:row>
      <xdr:rowOff>76200</xdr:rowOff>
    </xdr:to>
    <xdr:sp macro="" textlink="">
      <xdr:nvSpPr>
        <xdr:cNvPr id="838027" name="Line 237">
          <a:extLst>
            <a:ext uri="{FF2B5EF4-FFF2-40B4-BE49-F238E27FC236}">
              <a16:creationId xmlns:a16="http://schemas.microsoft.com/office/drawing/2014/main" id="{00000000-0008-0000-0600-00008B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15</xdr:row>
      <xdr:rowOff>133350</xdr:rowOff>
    </xdr:from>
    <xdr:to>
      <xdr:col>98</xdr:col>
      <xdr:colOff>123825</xdr:colOff>
      <xdr:row>15</xdr:row>
      <xdr:rowOff>133350</xdr:rowOff>
    </xdr:to>
    <xdr:sp macro="" textlink="">
      <xdr:nvSpPr>
        <xdr:cNvPr id="838028" name="Line 238">
          <a:extLst>
            <a:ext uri="{FF2B5EF4-FFF2-40B4-BE49-F238E27FC236}">
              <a16:creationId xmlns:a16="http://schemas.microsoft.com/office/drawing/2014/main" id="{00000000-0008-0000-0600-00008CC90C00}"/>
            </a:ext>
          </a:extLst>
        </xdr:cNvPr>
        <xdr:cNvSpPr>
          <a:spLocks noChangeShapeType="1"/>
        </xdr:cNvSpPr>
      </xdr:nvSpPr>
      <xdr:spPr bwMode="auto">
        <a:xfrm flipH="1">
          <a:off x="50968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10</xdr:row>
      <xdr:rowOff>76200</xdr:rowOff>
    </xdr:from>
    <xdr:to>
      <xdr:col>98</xdr:col>
      <xdr:colOff>123825</xdr:colOff>
      <xdr:row>11</xdr:row>
      <xdr:rowOff>142875</xdr:rowOff>
    </xdr:to>
    <xdr:sp macro="" textlink="">
      <xdr:nvSpPr>
        <xdr:cNvPr id="838029" name="Line 240">
          <a:extLst>
            <a:ext uri="{FF2B5EF4-FFF2-40B4-BE49-F238E27FC236}">
              <a16:creationId xmlns:a16="http://schemas.microsoft.com/office/drawing/2014/main" id="{00000000-0008-0000-0600-00008DC90C00}"/>
            </a:ext>
          </a:extLst>
        </xdr:cNvPr>
        <xdr:cNvSpPr>
          <a:spLocks noChangeShapeType="1"/>
        </xdr:cNvSpPr>
      </xdr:nvSpPr>
      <xdr:spPr bwMode="auto">
        <a:xfrm>
          <a:off x="510921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10</xdr:row>
      <xdr:rowOff>76200</xdr:rowOff>
    </xdr:from>
    <xdr:to>
      <xdr:col>98</xdr:col>
      <xdr:colOff>123825</xdr:colOff>
      <xdr:row>10</xdr:row>
      <xdr:rowOff>76200</xdr:rowOff>
    </xdr:to>
    <xdr:sp macro="" textlink="">
      <xdr:nvSpPr>
        <xdr:cNvPr id="838030" name="Line 241">
          <a:extLst>
            <a:ext uri="{FF2B5EF4-FFF2-40B4-BE49-F238E27FC236}">
              <a16:creationId xmlns:a16="http://schemas.microsoft.com/office/drawing/2014/main" id="{00000000-0008-0000-0600-00008EC90C00}"/>
            </a:ext>
          </a:extLst>
        </xdr:cNvPr>
        <xdr:cNvSpPr>
          <a:spLocks noChangeShapeType="1"/>
        </xdr:cNvSpPr>
      </xdr:nvSpPr>
      <xdr:spPr bwMode="auto">
        <a:xfrm flipH="1" flipV="1">
          <a:off x="509682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11</xdr:row>
      <xdr:rowOff>133350</xdr:rowOff>
    </xdr:from>
    <xdr:to>
      <xdr:col>98</xdr:col>
      <xdr:colOff>123825</xdr:colOff>
      <xdr:row>11</xdr:row>
      <xdr:rowOff>133350</xdr:rowOff>
    </xdr:to>
    <xdr:sp macro="" textlink="">
      <xdr:nvSpPr>
        <xdr:cNvPr id="838031" name="Line 242">
          <a:extLst>
            <a:ext uri="{FF2B5EF4-FFF2-40B4-BE49-F238E27FC236}">
              <a16:creationId xmlns:a16="http://schemas.microsoft.com/office/drawing/2014/main" id="{00000000-0008-0000-0600-00008FC90C00}"/>
            </a:ext>
          </a:extLst>
        </xdr:cNvPr>
        <xdr:cNvSpPr>
          <a:spLocks noChangeShapeType="1"/>
        </xdr:cNvSpPr>
      </xdr:nvSpPr>
      <xdr:spPr bwMode="auto">
        <a:xfrm flipH="1">
          <a:off x="509682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8032" name="Line 216">
          <a:extLst>
            <a:ext uri="{FF2B5EF4-FFF2-40B4-BE49-F238E27FC236}">
              <a16:creationId xmlns:a16="http://schemas.microsoft.com/office/drawing/2014/main" id="{00000000-0008-0000-0600-000090C90C00}"/>
            </a:ext>
          </a:extLst>
        </xdr:cNvPr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8033" name="Line 217">
          <a:extLst>
            <a:ext uri="{FF2B5EF4-FFF2-40B4-BE49-F238E27FC236}">
              <a16:creationId xmlns:a16="http://schemas.microsoft.com/office/drawing/2014/main" id="{00000000-0008-0000-0600-000091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8034" name="Line 218">
          <a:extLst>
            <a:ext uri="{FF2B5EF4-FFF2-40B4-BE49-F238E27FC236}">
              <a16:creationId xmlns:a16="http://schemas.microsoft.com/office/drawing/2014/main" id="{00000000-0008-0000-0600-000092C90C00}"/>
            </a:ext>
          </a:extLst>
        </xdr:cNvPr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8035" name="Line 219">
          <a:extLst>
            <a:ext uri="{FF2B5EF4-FFF2-40B4-BE49-F238E27FC236}">
              <a16:creationId xmlns:a16="http://schemas.microsoft.com/office/drawing/2014/main" id="{00000000-0008-0000-0600-000093C90C00}"/>
            </a:ext>
          </a:extLst>
        </xdr:cNvPr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8036" name="Line 220">
          <a:extLst>
            <a:ext uri="{FF2B5EF4-FFF2-40B4-BE49-F238E27FC236}">
              <a16:creationId xmlns:a16="http://schemas.microsoft.com/office/drawing/2014/main" id="{00000000-0008-0000-0600-000094C90C00}"/>
            </a:ext>
          </a:extLst>
        </xdr:cNvPr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8037" name="Line 221">
          <a:extLst>
            <a:ext uri="{FF2B5EF4-FFF2-40B4-BE49-F238E27FC236}">
              <a16:creationId xmlns:a16="http://schemas.microsoft.com/office/drawing/2014/main" id="{00000000-0008-0000-0600-000095C90C00}"/>
            </a:ext>
          </a:extLst>
        </xdr:cNvPr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8038" name="Line 224">
          <a:extLst>
            <a:ext uri="{FF2B5EF4-FFF2-40B4-BE49-F238E27FC236}">
              <a16:creationId xmlns:a16="http://schemas.microsoft.com/office/drawing/2014/main" id="{00000000-0008-0000-0600-000096C90C00}"/>
            </a:ext>
          </a:extLst>
        </xdr:cNvPr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8039" name="Line 225">
          <a:extLst>
            <a:ext uri="{FF2B5EF4-FFF2-40B4-BE49-F238E27FC236}">
              <a16:creationId xmlns:a16="http://schemas.microsoft.com/office/drawing/2014/main" id="{00000000-0008-0000-0600-000097C90C00}"/>
            </a:ext>
          </a:extLst>
        </xdr:cNvPr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8040" name="Line 226">
          <a:extLst>
            <a:ext uri="{FF2B5EF4-FFF2-40B4-BE49-F238E27FC236}">
              <a16:creationId xmlns:a16="http://schemas.microsoft.com/office/drawing/2014/main" id="{00000000-0008-0000-0600-000098C90C00}"/>
            </a:ext>
          </a:extLst>
        </xdr:cNvPr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8041" name="Line 227">
          <a:extLst>
            <a:ext uri="{FF2B5EF4-FFF2-40B4-BE49-F238E27FC236}">
              <a16:creationId xmlns:a16="http://schemas.microsoft.com/office/drawing/2014/main" id="{00000000-0008-0000-0600-000099C90C00}"/>
            </a:ext>
          </a:extLst>
        </xdr:cNvPr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8042" name="Line 228">
          <a:extLst>
            <a:ext uri="{FF2B5EF4-FFF2-40B4-BE49-F238E27FC236}">
              <a16:creationId xmlns:a16="http://schemas.microsoft.com/office/drawing/2014/main" id="{00000000-0008-0000-0600-00009A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8043" name="Line 229">
          <a:extLst>
            <a:ext uri="{FF2B5EF4-FFF2-40B4-BE49-F238E27FC236}">
              <a16:creationId xmlns:a16="http://schemas.microsoft.com/office/drawing/2014/main" id="{00000000-0008-0000-0600-00009BC90C00}"/>
            </a:ext>
          </a:extLst>
        </xdr:cNvPr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8</xdr:row>
      <xdr:rowOff>76200</xdr:rowOff>
    </xdr:from>
    <xdr:to>
      <xdr:col>92</xdr:col>
      <xdr:colOff>123825</xdr:colOff>
      <xdr:row>9</xdr:row>
      <xdr:rowOff>142875</xdr:rowOff>
    </xdr:to>
    <xdr:sp macro="" textlink="">
      <xdr:nvSpPr>
        <xdr:cNvPr id="838044" name="Line 230">
          <a:extLst>
            <a:ext uri="{FF2B5EF4-FFF2-40B4-BE49-F238E27FC236}">
              <a16:creationId xmlns:a16="http://schemas.microsoft.com/office/drawing/2014/main" id="{00000000-0008-0000-0600-00009CC90C00}"/>
            </a:ext>
          </a:extLst>
        </xdr:cNvPr>
        <xdr:cNvSpPr>
          <a:spLocks noChangeShapeType="1"/>
        </xdr:cNvSpPr>
      </xdr:nvSpPr>
      <xdr:spPr bwMode="auto">
        <a:xfrm>
          <a:off x="479583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8</xdr:row>
      <xdr:rowOff>76200</xdr:rowOff>
    </xdr:from>
    <xdr:to>
      <xdr:col>92</xdr:col>
      <xdr:colOff>123825</xdr:colOff>
      <xdr:row>8</xdr:row>
      <xdr:rowOff>76200</xdr:rowOff>
    </xdr:to>
    <xdr:sp macro="" textlink="">
      <xdr:nvSpPr>
        <xdr:cNvPr id="838045" name="Line 231">
          <a:extLst>
            <a:ext uri="{FF2B5EF4-FFF2-40B4-BE49-F238E27FC236}">
              <a16:creationId xmlns:a16="http://schemas.microsoft.com/office/drawing/2014/main" id="{00000000-0008-0000-0600-00009D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9</xdr:row>
      <xdr:rowOff>133350</xdr:rowOff>
    </xdr:from>
    <xdr:to>
      <xdr:col>92</xdr:col>
      <xdr:colOff>123825</xdr:colOff>
      <xdr:row>9</xdr:row>
      <xdr:rowOff>133350</xdr:rowOff>
    </xdr:to>
    <xdr:sp macro="" textlink="">
      <xdr:nvSpPr>
        <xdr:cNvPr id="838046" name="Line 232">
          <a:extLst>
            <a:ext uri="{FF2B5EF4-FFF2-40B4-BE49-F238E27FC236}">
              <a16:creationId xmlns:a16="http://schemas.microsoft.com/office/drawing/2014/main" id="{00000000-0008-0000-0600-00009EC90C00}"/>
            </a:ext>
          </a:extLst>
        </xdr:cNvPr>
        <xdr:cNvSpPr>
          <a:spLocks noChangeShapeType="1"/>
        </xdr:cNvSpPr>
      </xdr:nvSpPr>
      <xdr:spPr bwMode="auto">
        <a:xfrm flipH="1">
          <a:off x="478345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12</xdr:row>
      <xdr:rowOff>76200</xdr:rowOff>
    </xdr:from>
    <xdr:to>
      <xdr:col>92</xdr:col>
      <xdr:colOff>123825</xdr:colOff>
      <xdr:row>13</xdr:row>
      <xdr:rowOff>142875</xdr:rowOff>
    </xdr:to>
    <xdr:sp macro="" textlink="">
      <xdr:nvSpPr>
        <xdr:cNvPr id="838047" name="Line 233">
          <a:extLst>
            <a:ext uri="{FF2B5EF4-FFF2-40B4-BE49-F238E27FC236}">
              <a16:creationId xmlns:a16="http://schemas.microsoft.com/office/drawing/2014/main" id="{00000000-0008-0000-0600-00009FC90C00}"/>
            </a:ext>
          </a:extLst>
        </xdr:cNvPr>
        <xdr:cNvSpPr>
          <a:spLocks noChangeShapeType="1"/>
        </xdr:cNvSpPr>
      </xdr:nvSpPr>
      <xdr:spPr bwMode="auto">
        <a:xfrm>
          <a:off x="479583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12</xdr:row>
      <xdr:rowOff>76200</xdr:rowOff>
    </xdr:from>
    <xdr:to>
      <xdr:col>92</xdr:col>
      <xdr:colOff>123825</xdr:colOff>
      <xdr:row>12</xdr:row>
      <xdr:rowOff>76200</xdr:rowOff>
    </xdr:to>
    <xdr:sp macro="" textlink="">
      <xdr:nvSpPr>
        <xdr:cNvPr id="838048" name="Line 234">
          <a:extLst>
            <a:ext uri="{FF2B5EF4-FFF2-40B4-BE49-F238E27FC236}">
              <a16:creationId xmlns:a16="http://schemas.microsoft.com/office/drawing/2014/main" id="{00000000-0008-0000-0600-0000A0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13</xdr:row>
      <xdr:rowOff>133350</xdr:rowOff>
    </xdr:from>
    <xdr:to>
      <xdr:col>92</xdr:col>
      <xdr:colOff>123825</xdr:colOff>
      <xdr:row>13</xdr:row>
      <xdr:rowOff>133350</xdr:rowOff>
    </xdr:to>
    <xdr:sp macro="" textlink="">
      <xdr:nvSpPr>
        <xdr:cNvPr id="838049" name="Line 235">
          <a:extLst>
            <a:ext uri="{FF2B5EF4-FFF2-40B4-BE49-F238E27FC236}">
              <a16:creationId xmlns:a16="http://schemas.microsoft.com/office/drawing/2014/main" id="{00000000-0008-0000-0600-0000A1C90C00}"/>
            </a:ext>
          </a:extLst>
        </xdr:cNvPr>
        <xdr:cNvSpPr>
          <a:spLocks noChangeShapeType="1"/>
        </xdr:cNvSpPr>
      </xdr:nvSpPr>
      <xdr:spPr bwMode="auto">
        <a:xfrm flipH="1">
          <a:off x="478345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14</xdr:row>
      <xdr:rowOff>76200</xdr:rowOff>
    </xdr:from>
    <xdr:to>
      <xdr:col>92</xdr:col>
      <xdr:colOff>123825</xdr:colOff>
      <xdr:row>15</xdr:row>
      <xdr:rowOff>142875</xdr:rowOff>
    </xdr:to>
    <xdr:sp macro="" textlink="">
      <xdr:nvSpPr>
        <xdr:cNvPr id="838050" name="Line 236">
          <a:extLst>
            <a:ext uri="{FF2B5EF4-FFF2-40B4-BE49-F238E27FC236}">
              <a16:creationId xmlns:a16="http://schemas.microsoft.com/office/drawing/2014/main" id="{00000000-0008-0000-0600-0000A2C90C00}"/>
            </a:ext>
          </a:extLst>
        </xdr:cNvPr>
        <xdr:cNvSpPr>
          <a:spLocks noChangeShapeType="1"/>
        </xdr:cNvSpPr>
      </xdr:nvSpPr>
      <xdr:spPr bwMode="auto">
        <a:xfrm>
          <a:off x="479583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14</xdr:row>
      <xdr:rowOff>76200</xdr:rowOff>
    </xdr:from>
    <xdr:to>
      <xdr:col>92</xdr:col>
      <xdr:colOff>123825</xdr:colOff>
      <xdr:row>14</xdr:row>
      <xdr:rowOff>76200</xdr:rowOff>
    </xdr:to>
    <xdr:sp macro="" textlink="">
      <xdr:nvSpPr>
        <xdr:cNvPr id="838051" name="Line 237">
          <a:extLst>
            <a:ext uri="{FF2B5EF4-FFF2-40B4-BE49-F238E27FC236}">
              <a16:creationId xmlns:a16="http://schemas.microsoft.com/office/drawing/2014/main" id="{00000000-0008-0000-0600-0000A3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15</xdr:row>
      <xdr:rowOff>133350</xdr:rowOff>
    </xdr:from>
    <xdr:to>
      <xdr:col>92</xdr:col>
      <xdr:colOff>123825</xdr:colOff>
      <xdr:row>15</xdr:row>
      <xdr:rowOff>133350</xdr:rowOff>
    </xdr:to>
    <xdr:sp macro="" textlink="">
      <xdr:nvSpPr>
        <xdr:cNvPr id="838052" name="Line 238">
          <a:extLst>
            <a:ext uri="{FF2B5EF4-FFF2-40B4-BE49-F238E27FC236}">
              <a16:creationId xmlns:a16="http://schemas.microsoft.com/office/drawing/2014/main" id="{00000000-0008-0000-0600-0000A4C90C00}"/>
            </a:ext>
          </a:extLst>
        </xdr:cNvPr>
        <xdr:cNvSpPr>
          <a:spLocks noChangeShapeType="1"/>
        </xdr:cNvSpPr>
      </xdr:nvSpPr>
      <xdr:spPr bwMode="auto">
        <a:xfrm flipH="1">
          <a:off x="478345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10</xdr:row>
      <xdr:rowOff>76200</xdr:rowOff>
    </xdr:from>
    <xdr:to>
      <xdr:col>92</xdr:col>
      <xdr:colOff>123825</xdr:colOff>
      <xdr:row>11</xdr:row>
      <xdr:rowOff>142875</xdr:rowOff>
    </xdr:to>
    <xdr:sp macro="" textlink="">
      <xdr:nvSpPr>
        <xdr:cNvPr id="838053" name="Line 240">
          <a:extLst>
            <a:ext uri="{FF2B5EF4-FFF2-40B4-BE49-F238E27FC236}">
              <a16:creationId xmlns:a16="http://schemas.microsoft.com/office/drawing/2014/main" id="{00000000-0008-0000-0600-0000A5C90C00}"/>
            </a:ext>
          </a:extLst>
        </xdr:cNvPr>
        <xdr:cNvSpPr>
          <a:spLocks noChangeShapeType="1"/>
        </xdr:cNvSpPr>
      </xdr:nvSpPr>
      <xdr:spPr bwMode="auto">
        <a:xfrm>
          <a:off x="479583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10</xdr:row>
      <xdr:rowOff>76200</xdr:rowOff>
    </xdr:from>
    <xdr:to>
      <xdr:col>92</xdr:col>
      <xdr:colOff>123825</xdr:colOff>
      <xdr:row>10</xdr:row>
      <xdr:rowOff>76200</xdr:rowOff>
    </xdr:to>
    <xdr:sp macro="" textlink="">
      <xdr:nvSpPr>
        <xdr:cNvPr id="838054" name="Line 241">
          <a:extLst>
            <a:ext uri="{FF2B5EF4-FFF2-40B4-BE49-F238E27FC236}">
              <a16:creationId xmlns:a16="http://schemas.microsoft.com/office/drawing/2014/main" id="{00000000-0008-0000-0600-0000A6C90C00}"/>
            </a:ext>
          </a:extLst>
        </xdr:cNvPr>
        <xdr:cNvSpPr>
          <a:spLocks noChangeShapeType="1"/>
        </xdr:cNvSpPr>
      </xdr:nvSpPr>
      <xdr:spPr bwMode="auto">
        <a:xfrm flipH="1" flipV="1">
          <a:off x="478345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11</xdr:row>
      <xdr:rowOff>133350</xdr:rowOff>
    </xdr:from>
    <xdr:to>
      <xdr:col>92</xdr:col>
      <xdr:colOff>123825</xdr:colOff>
      <xdr:row>11</xdr:row>
      <xdr:rowOff>133350</xdr:rowOff>
    </xdr:to>
    <xdr:sp macro="" textlink="">
      <xdr:nvSpPr>
        <xdr:cNvPr id="838055" name="Line 242">
          <a:extLst>
            <a:ext uri="{FF2B5EF4-FFF2-40B4-BE49-F238E27FC236}">
              <a16:creationId xmlns:a16="http://schemas.microsoft.com/office/drawing/2014/main" id="{00000000-0008-0000-0600-0000A7C90C00}"/>
            </a:ext>
          </a:extLst>
        </xdr:cNvPr>
        <xdr:cNvSpPr>
          <a:spLocks noChangeShapeType="1"/>
        </xdr:cNvSpPr>
      </xdr:nvSpPr>
      <xdr:spPr bwMode="auto">
        <a:xfrm flipH="1">
          <a:off x="478345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8056" name="Line 216">
          <a:extLst>
            <a:ext uri="{FF2B5EF4-FFF2-40B4-BE49-F238E27FC236}">
              <a16:creationId xmlns:a16="http://schemas.microsoft.com/office/drawing/2014/main" id="{00000000-0008-0000-0600-0000A8C90C00}"/>
            </a:ext>
          </a:extLst>
        </xdr:cNvPr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8057" name="Line 217">
          <a:extLst>
            <a:ext uri="{FF2B5EF4-FFF2-40B4-BE49-F238E27FC236}">
              <a16:creationId xmlns:a16="http://schemas.microsoft.com/office/drawing/2014/main" id="{00000000-0008-0000-0600-0000A9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8058" name="Line 218">
          <a:extLst>
            <a:ext uri="{FF2B5EF4-FFF2-40B4-BE49-F238E27FC236}">
              <a16:creationId xmlns:a16="http://schemas.microsoft.com/office/drawing/2014/main" id="{00000000-0008-0000-0600-0000AAC90C00}"/>
            </a:ext>
          </a:extLst>
        </xdr:cNvPr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8059" name="Line 219">
          <a:extLst>
            <a:ext uri="{FF2B5EF4-FFF2-40B4-BE49-F238E27FC236}">
              <a16:creationId xmlns:a16="http://schemas.microsoft.com/office/drawing/2014/main" id="{00000000-0008-0000-0600-0000ABC90C00}"/>
            </a:ext>
          </a:extLst>
        </xdr:cNvPr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8060" name="Line 220">
          <a:extLst>
            <a:ext uri="{FF2B5EF4-FFF2-40B4-BE49-F238E27FC236}">
              <a16:creationId xmlns:a16="http://schemas.microsoft.com/office/drawing/2014/main" id="{00000000-0008-0000-0600-0000ACC90C00}"/>
            </a:ext>
          </a:extLst>
        </xdr:cNvPr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8061" name="Line 221">
          <a:extLst>
            <a:ext uri="{FF2B5EF4-FFF2-40B4-BE49-F238E27FC236}">
              <a16:creationId xmlns:a16="http://schemas.microsoft.com/office/drawing/2014/main" id="{00000000-0008-0000-0600-0000ADC90C00}"/>
            </a:ext>
          </a:extLst>
        </xdr:cNvPr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8062" name="Line 224">
          <a:extLst>
            <a:ext uri="{FF2B5EF4-FFF2-40B4-BE49-F238E27FC236}">
              <a16:creationId xmlns:a16="http://schemas.microsoft.com/office/drawing/2014/main" id="{00000000-0008-0000-0600-0000AEC90C00}"/>
            </a:ext>
          </a:extLst>
        </xdr:cNvPr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8063" name="Line 225">
          <a:extLst>
            <a:ext uri="{FF2B5EF4-FFF2-40B4-BE49-F238E27FC236}">
              <a16:creationId xmlns:a16="http://schemas.microsoft.com/office/drawing/2014/main" id="{00000000-0008-0000-0600-0000AFC90C00}"/>
            </a:ext>
          </a:extLst>
        </xdr:cNvPr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8064" name="Line 226">
          <a:extLst>
            <a:ext uri="{FF2B5EF4-FFF2-40B4-BE49-F238E27FC236}">
              <a16:creationId xmlns:a16="http://schemas.microsoft.com/office/drawing/2014/main" id="{00000000-0008-0000-0600-0000B0C90C00}"/>
            </a:ext>
          </a:extLst>
        </xdr:cNvPr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8065" name="Line 227">
          <a:extLst>
            <a:ext uri="{FF2B5EF4-FFF2-40B4-BE49-F238E27FC236}">
              <a16:creationId xmlns:a16="http://schemas.microsoft.com/office/drawing/2014/main" id="{00000000-0008-0000-0600-0000B1C90C00}"/>
            </a:ext>
          </a:extLst>
        </xdr:cNvPr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8066" name="Line 228">
          <a:extLst>
            <a:ext uri="{FF2B5EF4-FFF2-40B4-BE49-F238E27FC236}">
              <a16:creationId xmlns:a16="http://schemas.microsoft.com/office/drawing/2014/main" id="{00000000-0008-0000-0600-0000B2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8067" name="Line 229">
          <a:extLst>
            <a:ext uri="{FF2B5EF4-FFF2-40B4-BE49-F238E27FC236}">
              <a16:creationId xmlns:a16="http://schemas.microsoft.com/office/drawing/2014/main" id="{00000000-0008-0000-0600-0000B3C90C00}"/>
            </a:ext>
          </a:extLst>
        </xdr:cNvPr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8</xdr:row>
      <xdr:rowOff>76200</xdr:rowOff>
    </xdr:from>
    <xdr:to>
      <xdr:col>104</xdr:col>
      <xdr:colOff>123825</xdr:colOff>
      <xdr:row>9</xdr:row>
      <xdr:rowOff>142875</xdr:rowOff>
    </xdr:to>
    <xdr:sp macro="" textlink="">
      <xdr:nvSpPr>
        <xdr:cNvPr id="838068" name="Line 230">
          <a:extLst>
            <a:ext uri="{FF2B5EF4-FFF2-40B4-BE49-F238E27FC236}">
              <a16:creationId xmlns:a16="http://schemas.microsoft.com/office/drawing/2014/main" id="{00000000-0008-0000-0600-0000B4C90C00}"/>
            </a:ext>
          </a:extLst>
        </xdr:cNvPr>
        <xdr:cNvSpPr>
          <a:spLocks noChangeShapeType="1"/>
        </xdr:cNvSpPr>
      </xdr:nvSpPr>
      <xdr:spPr bwMode="auto">
        <a:xfrm>
          <a:off x="54483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8</xdr:row>
      <xdr:rowOff>76200</xdr:rowOff>
    </xdr:from>
    <xdr:to>
      <xdr:col>104</xdr:col>
      <xdr:colOff>123825</xdr:colOff>
      <xdr:row>8</xdr:row>
      <xdr:rowOff>76200</xdr:rowOff>
    </xdr:to>
    <xdr:sp macro="" textlink="">
      <xdr:nvSpPr>
        <xdr:cNvPr id="838069" name="Line 231">
          <a:extLst>
            <a:ext uri="{FF2B5EF4-FFF2-40B4-BE49-F238E27FC236}">
              <a16:creationId xmlns:a16="http://schemas.microsoft.com/office/drawing/2014/main" id="{00000000-0008-0000-0600-0000B5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9</xdr:row>
      <xdr:rowOff>133350</xdr:rowOff>
    </xdr:from>
    <xdr:to>
      <xdr:col>104</xdr:col>
      <xdr:colOff>123825</xdr:colOff>
      <xdr:row>9</xdr:row>
      <xdr:rowOff>133350</xdr:rowOff>
    </xdr:to>
    <xdr:sp macro="" textlink="">
      <xdr:nvSpPr>
        <xdr:cNvPr id="838070" name="Line 232">
          <a:extLst>
            <a:ext uri="{FF2B5EF4-FFF2-40B4-BE49-F238E27FC236}">
              <a16:creationId xmlns:a16="http://schemas.microsoft.com/office/drawing/2014/main" id="{00000000-0008-0000-0600-0000B6C90C00}"/>
            </a:ext>
          </a:extLst>
        </xdr:cNvPr>
        <xdr:cNvSpPr>
          <a:spLocks noChangeShapeType="1"/>
        </xdr:cNvSpPr>
      </xdr:nvSpPr>
      <xdr:spPr bwMode="auto">
        <a:xfrm flipH="1">
          <a:off x="54359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12</xdr:row>
      <xdr:rowOff>76200</xdr:rowOff>
    </xdr:from>
    <xdr:to>
      <xdr:col>104</xdr:col>
      <xdr:colOff>123825</xdr:colOff>
      <xdr:row>13</xdr:row>
      <xdr:rowOff>142875</xdr:rowOff>
    </xdr:to>
    <xdr:sp macro="" textlink="">
      <xdr:nvSpPr>
        <xdr:cNvPr id="838071" name="Line 233">
          <a:extLst>
            <a:ext uri="{FF2B5EF4-FFF2-40B4-BE49-F238E27FC236}">
              <a16:creationId xmlns:a16="http://schemas.microsoft.com/office/drawing/2014/main" id="{00000000-0008-0000-0600-0000B7C90C00}"/>
            </a:ext>
          </a:extLst>
        </xdr:cNvPr>
        <xdr:cNvSpPr>
          <a:spLocks noChangeShapeType="1"/>
        </xdr:cNvSpPr>
      </xdr:nvSpPr>
      <xdr:spPr bwMode="auto">
        <a:xfrm>
          <a:off x="54483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12</xdr:row>
      <xdr:rowOff>76200</xdr:rowOff>
    </xdr:from>
    <xdr:to>
      <xdr:col>104</xdr:col>
      <xdr:colOff>123825</xdr:colOff>
      <xdr:row>12</xdr:row>
      <xdr:rowOff>76200</xdr:rowOff>
    </xdr:to>
    <xdr:sp macro="" textlink="">
      <xdr:nvSpPr>
        <xdr:cNvPr id="838072" name="Line 234">
          <a:extLst>
            <a:ext uri="{FF2B5EF4-FFF2-40B4-BE49-F238E27FC236}">
              <a16:creationId xmlns:a16="http://schemas.microsoft.com/office/drawing/2014/main" id="{00000000-0008-0000-0600-0000B8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13</xdr:row>
      <xdr:rowOff>133350</xdr:rowOff>
    </xdr:from>
    <xdr:to>
      <xdr:col>104</xdr:col>
      <xdr:colOff>123825</xdr:colOff>
      <xdr:row>13</xdr:row>
      <xdr:rowOff>133350</xdr:rowOff>
    </xdr:to>
    <xdr:sp macro="" textlink="">
      <xdr:nvSpPr>
        <xdr:cNvPr id="838073" name="Line 235">
          <a:extLst>
            <a:ext uri="{FF2B5EF4-FFF2-40B4-BE49-F238E27FC236}">
              <a16:creationId xmlns:a16="http://schemas.microsoft.com/office/drawing/2014/main" id="{00000000-0008-0000-0600-0000B9C90C00}"/>
            </a:ext>
          </a:extLst>
        </xdr:cNvPr>
        <xdr:cNvSpPr>
          <a:spLocks noChangeShapeType="1"/>
        </xdr:cNvSpPr>
      </xdr:nvSpPr>
      <xdr:spPr bwMode="auto">
        <a:xfrm flipH="1">
          <a:off x="54359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14</xdr:row>
      <xdr:rowOff>76200</xdr:rowOff>
    </xdr:from>
    <xdr:to>
      <xdr:col>104</xdr:col>
      <xdr:colOff>123825</xdr:colOff>
      <xdr:row>15</xdr:row>
      <xdr:rowOff>142875</xdr:rowOff>
    </xdr:to>
    <xdr:sp macro="" textlink="">
      <xdr:nvSpPr>
        <xdr:cNvPr id="838074" name="Line 236">
          <a:extLst>
            <a:ext uri="{FF2B5EF4-FFF2-40B4-BE49-F238E27FC236}">
              <a16:creationId xmlns:a16="http://schemas.microsoft.com/office/drawing/2014/main" id="{00000000-0008-0000-0600-0000BAC90C00}"/>
            </a:ext>
          </a:extLst>
        </xdr:cNvPr>
        <xdr:cNvSpPr>
          <a:spLocks noChangeShapeType="1"/>
        </xdr:cNvSpPr>
      </xdr:nvSpPr>
      <xdr:spPr bwMode="auto">
        <a:xfrm>
          <a:off x="54483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14</xdr:row>
      <xdr:rowOff>76200</xdr:rowOff>
    </xdr:from>
    <xdr:to>
      <xdr:col>104</xdr:col>
      <xdr:colOff>123825</xdr:colOff>
      <xdr:row>14</xdr:row>
      <xdr:rowOff>76200</xdr:rowOff>
    </xdr:to>
    <xdr:sp macro="" textlink="">
      <xdr:nvSpPr>
        <xdr:cNvPr id="838075" name="Line 237">
          <a:extLst>
            <a:ext uri="{FF2B5EF4-FFF2-40B4-BE49-F238E27FC236}">
              <a16:creationId xmlns:a16="http://schemas.microsoft.com/office/drawing/2014/main" id="{00000000-0008-0000-0600-0000BB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15</xdr:row>
      <xdr:rowOff>133350</xdr:rowOff>
    </xdr:from>
    <xdr:to>
      <xdr:col>104</xdr:col>
      <xdr:colOff>123825</xdr:colOff>
      <xdr:row>15</xdr:row>
      <xdr:rowOff>133350</xdr:rowOff>
    </xdr:to>
    <xdr:sp macro="" textlink="">
      <xdr:nvSpPr>
        <xdr:cNvPr id="838076" name="Line 238">
          <a:extLst>
            <a:ext uri="{FF2B5EF4-FFF2-40B4-BE49-F238E27FC236}">
              <a16:creationId xmlns:a16="http://schemas.microsoft.com/office/drawing/2014/main" id="{00000000-0008-0000-0600-0000BCC90C00}"/>
            </a:ext>
          </a:extLst>
        </xdr:cNvPr>
        <xdr:cNvSpPr>
          <a:spLocks noChangeShapeType="1"/>
        </xdr:cNvSpPr>
      </xdr:nvSpPr>
      <xdr:spPr bwMode="auto">
        <a:xfrm flipH="1">
          <a:off x="54359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10</xdr:row>
      <xdr:rowOff>76200</xdr:rowOff>
    </xdr:from>
    <xdr:to>
      <xdr:col>104</xdr:col>
      <xdr:colOff>123825</xdr:colOff>
      <xdr:row>11</xdr:row>
      <xdr:rowOff>142875</xdr:rowOff>
    </xdr:to>
    <xdr:sp macro="" textlink="">
      <xdr:nvSpPr>
        <xdr:cNvPr id="838077" name="Line 240">
          <a:extLst>
            <a:ext uri="{FF2B5EF4-FFF2-40B4-BE49-F238E27FC236}">
              <a16:creationId xmlns:a16="http://schemas.microsoft.com/office/drawing/2014/main" id="{00000000-0008-0000-0600-0000BDC90C00}"/>
            </a:ext>
          </a:extLst>
        </xdr:cNvPr>
        <xdr:cNvSpPr>
          <a:spLocks noChangeShapeType="1"/>
        </xdr:cNvSpPr>
      </xdr:nvSpPr>
      <xdr:spPr bwMode="auto">
        <a:xfrm>
          <a:off x="544830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10</xdr:row>
      <xdr:rowOff>76200</xdr:rowOff>
    </xdr:from>
    <xdr:to>
      <xdr:col>104</xdr:col>
      <xdr:colOff>123825</xdr:colOff>
      <xdr:row>10</xdr:row>
      <xdr:rowOff>76200</xdr:rowOff>
    </xdr:to>
    <xdr:sp macro="" textlink="">
      <xdr:nvSpPr>
        <xdr:cNvPr id="838078" name="Line 241">
          <a:extLst>
            <a:ext uri="{FF2B5EF4-FFF2-40B4-BE49-F238E27FC236}">
              <a16:creationId xmlns:a16="http://schemas.microsoft.com/office/drawing/2014/main" id="{00000000-0008-0000-0600-0000BEC90C00}"/>
            </a:ext>
          </a:extLst>
        </xdr:cNvPr>
        <xdr:cNvSpPr>
          <a:spLocks noChangeShapeType="1"/>
        </xdr:cNvSpPr>
      </xdr:nvSpPr>
      <xdr:spPr bwMode="auto">
        <a:xfrm flipH="1" flipV="1">
          <a:off x="543591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11</xdr:row>
      <xdr:rowOff>133350</xdr:rowOff>
    </xdr:from>
    <xdr:to>
      <xdr:col>104</xdr:col>
      <xdr:colOff>123825</xdr:colOff>
      <xdr:row>11</xdr:row>
      <xdr:rowOff>133350</xdr:rowOff>
    </xdr:to>
    <xdr:sp macro="" textlink="">
      <xdr:nvSpPr>
        <xdr:cNvPr id="838079" name="Line 242">
          <a:extLst>
            <a:ext uri="{FF2B5EF4-FFF2-40B4-BE49-F238E27FC236}">
              <a16:creationId xmlns:a16="http://schemas.microsoft.com/office/drawing/2014/main" id="{00000000-0008-0000-0600-0000BFC90C00}"/>
            </a:ext>
          </a:extLst>
        </xdr:cNvPr>
        <xdr:cNvSpPr>
          <a:spLocks noChangeShapeType="1"/>
        </xdr:cNvSpPr>
      </xdr:nvSpPr>
      <xdr:spPr bwMode="auto">
        <a:xfrm flipH="1">
          <a:off x="543591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8080" name="Line 216">
          <a:extLst>
            <a:ext uri="{FF2B5EF4-FFF2-40B4-BE49-F238E27FC236}">
              <a16:creationId xmlns:a16="http://schemas.microsoft.com/office/drawing/2014/main" id="{00000000-0008-0000-0600-0000C0C90C00}"/>
            </a:ext>
          </a:extLst>
        </xdr:cNvPr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8081" name="Line 217">
          <a:extLst>
            <a:ext uri="{FF2B5EF4-FFF2-40B4-BE49-F238E27FC236}">
              <a16:creationId xmlns:a16="http://schemas.microsoft.com/office/drawing/2014/main" id="{00000000-0008-0000-0600-0000C1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8082" name="Line 218">
          <a:extLst>
            <a:ext uri="{FF2B5EF4-FFF2-40B4-BE49-F238E27FC236}">
              <a16:creationId xmlns:a16="http://schemas.microsoft.com/office/drawing/2014/main" id="{00000000-0008-0000-0600-0000C2C90C00}"/>
            </a:ext>
          </a:extLst>
        </xdr:cNvPr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8083" name="Line 219">
          <a:extLst>
            <a:ext uri="{FF2B5EF4-FFF2-40B4-BE49-F238E27FC236}">
              <a16:creationId xmlns:a16="http://schemas.microsoft.com/office/drawing/2014/main" id="{00000000-0008-0000-0600-0000C3C90C00}"/>
            </a:ext>
          </a:extLst>
        </xdr:cNvPr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8084" name="Line 220">
          <a:extLst>
            <a:ext uri="{FF2B5EF4-FFF2-40B4-BE49-F238E27FC236}">
              <a16:creationId xmlns:a16="http://schemas.microsoft.com/office/drawing/2014/main" id="{00000000-0008-0000-0600-0000C4C90C00}"/>
            </a:ext>
          </a:extLst>
        </xdr:cNvPr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8085" name="Line 221">
          <a:extLst>
            <a:ext uri="{FF2B5EF4-FFF2-40B4-BE49-F238E27FC236}">
              <a16:creationId xmlns:a16="http://schemas.microsoft.com/office/drawing/2014/main" id="{00000000-0008-0000-0600-0000C5C90C00}"/>
            </a:ext>
          </a:extLst>
        </xdr:cNvPr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8086" name="Line 224">
          <a:extLst>
            <a:ext uri="{FF2B5EF4-FFF2-40B4-BE49-F238E27FC236}">
              <a16:creationId xmlns:a16="http://schemas.microsoft.com/office/drawing/2014/main" id="{00000000-0008-0000-0600-0000C6C90C00}"/>
            </a:ext>
          </a:extLst>
        </xdr:cNvPr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8087" name="Line 225">
          <a:extLst>
            <a:ext uri="{FF2B5EF4-FFF2-40B4-BE49-F238E27FC236}">
              <a16:creationId xmlns:a16="http://schemas.microsoft.com/office/drawing/2014/main" id="{00000000-0008-0000-0600-0000C7C90C00}"/>
            </a:ext>
          </a:extLst>
        </xdr:cNvPr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8088" name="Line 226">
          <a:extLst>
            <a:ext uri="{FF2B5EF4-FFF2-40B4-BE49-F238E27FC236}">
              <a16:creationId xmlns:a16="http://schemas.microsoft.com/office/drawing/2014/main" id="{00000000-0008-0000-0600-0000C8C90C00}"/>
            </a:ext>
          </a:extLst>
        </xdr:cNvPr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8089" name="Line 227">
          <a:extLst>
            <a:ext uri="{FF2B5EF4-FFF2-40B4-BE49-F238E27FC236}">
              <a16:creationId xmlns:a16="http://schemas.microsoft.com/office/drawing/2014/main" id="{00000000-0008-0000-0600-0000C9C90C00}"/>
            </a:ext>
          </a:extLst>
        </xdr:cNvPr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8090" name="Line 228">
          <a:extLst>
            <a:ext uri="{FF2B5EF4-FFF2-40B4-BE49-F238E27FC236}">
              <a16:creationId xmlns:a16="http://schemas.microsoft.com/office/drawing/2014/main" id="{00000000-0008-0000-0600-0000CA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8091" name="Line 229">
          <a:extLst>
            <a:ext uri="{FF2B5EF4-FFF2-40B4-BE49-F238E27FC236}">
              <a16:creationId xmlns:a16="http://schemas.microsoft.com/office/drawing/2014/main" id="{00000000-0008-0000-0600-0000CBC90C00}"/>
            </a:ext>
          </a:extLst>
        </xdr:cNvPr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8</xdr:row>
      <xdr:rowOff>76200</xdr:rowOff>
    </xdr:from>
    <xdr:to>
      <xdr:col>110</xdr:col>
      <xdr:colOff>123825</xdr:colOff>
      <xdr:row>9</xdr:row>
      <xdr:rowOff>142875</xdr:rowOff>
    </xdr:to>
    <xdr:sp macro="" textlink="">
      <xdr:nvSpPr>
        <xdr:cNvPr id="838092" name="Line 230">
          <a:extLst>
            <a:ext uri="{FF2B5EF4-FFF2-40B4-BE49-F238E27FC236}">
              <a16:creationId xmlns:a16="http://schemas.microsoft.com/office/drawing/2014/main" id="{00000000-0008-0000-0600-0000CCC90C00}"/>
            </a:ext>
          </a:extLst>
        </xdr:cNvPr>
        <xdr:cNvSpPr>
          <a:spLocks noChangeShapeType="1"/>
        </xdr:cNvSpPr>
      </xdr:nvSpPr>
      <xdr:spPr bwMode="auto">
        <a:xfrm>
          <a:off x="578739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8</xdr:row>
      <xdr:rowOff>76200</xdr:rowOff>
    </xdr:from>
    <xdr:to>
      <xdr:col>110</xdr:col>
      <xdr:colOff>123825</xdr:colOff>
      <xdr:row>8</xdr:row>
      <xdr:rowOff>76200</xdr:rowOff>
    </xdr:to>
    <xdr:sp macro="" textlink="">
      <xdr:nvSpPr>
        <xdr:cNvPr id="838093" name="Line 231">
          <a:extLst>
            <a:ext uri="{FF2B5EF4-FFF2-40B4-BE49-F238E27FC236}">
              <a16:creationId xmlns:a16="http://schemas.microsoft.com/office/drawing/2014/main" id="{00000000-0008-0000-0600-0000CD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9</xdr:row>
      <xdr:rowOff>133350</xdr:rowOff>
    </xdr:from>
    <xdr:to>
      <xdr:col>110</xdr:col>
      <xdr:colOff>123825</xdr:colOff>
      <xdr:row>9</xdr:row>
      <xdr:rowOff>133350</xdr:rowOff>
    </xdr:to>
    <xdr:sp macro="" textlink="">
      <xdr:nvSpPr>
        <xdr:cNvPr id="838094" name="Line 232">
          <a:extLst>
            <a:ext uri="{FF2B5EF4-FFF2-40B4-BE49-F238E27FC236}">
              <a16:creationId xmlns:a16="http://schemas.microsoft.com/office/drawing/2014/main" id="{00000000-0008-0000-0600-0000CEC90C00}"/>
            </a:ext>
          </a:extLst>
        </xdr:cNvPr>
        <xdr:cNvSpPr>
          <a:spLocks noChangeShapeType="1"/>
        </xdr:cNvSpPr>
      </xdr:nvSpPr>
      <xdr:spPr bwMode="auto">
        <a:xfrm flipH="1">
          <a:off x="577500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12</xdr:row>
      <xdr:rowOff>76200</xdr:rowOff>
    </xdr:from>
    <xdr:to>
      <xdr:col>110</xdr:col>
      <xdr:colOff>123825</xdr:colOff>
      <xdr:row>13</xdr:row>
      <xdr:rowOff>142875</xdr:rowOff>
    </xdr:to>
    <xdr:sp macro="" textlink="">
      <xdr:nvSpPr>
        <xdr:cNvPr id="838095" name="Line 233">
          <a:extLst>
            <a:ext uri="{FF2B5EF4-FFF2-40B4-BE49-F238E27FC236}">
              <a16:creationId xmlns:a16="http://schemas.microsoft.com/office/drawing/2014/main" id="{00000000-0008-0000-0600-0000CFC90C00}"/>
            </a:ext>
          </a:extLst>
        </xdr:cNvPr>
        <xdr:cNvSpPr>
          <a:spLocks noChangeShapeType="1"/>
        </xdr:cNvSpPr>
      </xdr:nvSpPr>
      <xdr:spPr bwMode="auto">
        <a:xfrm>
          <a:off x="578739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12</xdr:row>
      <xdr:rowOff>76200</xdr:rowOff>
    </xdr:from>
    <xdr:to>
      <xdr:col>110</xdr:col>
      <xdr:colOff>123825</xdr:colOff>
      <xdr:row>12</xdr:row>
      <xdr:rowOff>76200</xdr:rowOff>
    </xdr:to>
    <xdr:sp macro="" textlink="">
      <xdr:nvSpPr>
        <xdr:cNvPr id="838096" name="Line 234">
          <a:extLst>
            <a:ext uri="{FF2B5EF4-FFF2-40B4-BE49-F238E27FC236}">
              <a16:creationId xmlns:a16="http://schemas.microsoft.com/office/drawing/2014/main" id="{00000000-0008-0000-0600-0000D0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13</xdr:row>
      <xdr:rowOff>133350</xdr:rowOff>
    </xdr:from>
    <xdr:to>
      <xdr:col>110</xdr:col>
      <xdr:colOff>123825</xdr:colOff>
      <xdr:row>13</xdr:row>
      <xdr:rowOff>133350</xdr:rowOff>
    </xdr:to>
    <xdr:sp macro="" textlink="">
      <xdr:nvSpPr>
        <xdr:cNvPr id="838097" name="Line 235">
          <a:extLst>
            <a:ext uri="{FF2B5EF4-FFF2-40B4-BE49-F238E27FC236}">
              <a16:creationId xmlns:a16="http://schemas.microsoft.com/office/drawing/2014/main" id="{00000000-0008-0000-0600-0000D1C90C00}"/>
            </a:ext>
          </a:extLst>
        </xdr:cNvPr>
        <xdr:cNvSpPr>
          <a:spLocks noChangeShapeType="1"/>
        </xdr:cNvSpPr>
      </xdr:nvSpPr>
      <xdr:spPr bwMode="auto">
        <a:xfrm flipH="1">
          <a:off x="577500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14</xdr:row>
      <xdr:rowOff>76200</xdr:rowOff>
    </xdr:from>
    <xdr:to>
      <xdr:col>110</xdr:col>
      <xdr:colOff>123825</xdr:colOff>
      <xdr:row>15</xdr:row>
      <xdr:rowOff>142875</xdr:rowOff>
    </xdr:to>
    <xdr:sp macro="" textlink="">
      <xdr:nvSpPr>
        <xdr:cNvPr id="838098" name="Line 236">
          <a:extLst>
            <a:ext uri="{FF2B5EF4-FFF2-40B4-BE49-F238E27FC236}">
              <a16:creationId xmlns:a16="http://schemas.microsoft.com/office/drawing/2014/main" id="{00000000-0008-0000-0600-0000D2C90C00}"/>
            </a:ext>
          </a:extLst>
        </xdr:cNvPr>
        <xdr:cNvSpPr>
          <a:spLocks noChangeShapeType="1"/>
        </xdr:cNvSpPr>
      </xdr:nvSpPr>
      <xdr:spPr bwMode="auto">
        <a:xfrm>
          <a:off x="578739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14</xdr:row>
      <xdr:rowOff>76200</xdr:rowOff>
    </xdr:from>
    <xdr:to>
      <xdr:col>110</xdr:col>
      <xdr:colOff>123825</xdr:colOff>
      <xdr:row>14</xdr:row>
      <xdr:rowOff>76200</xdr:rowOff>
    </xdr:to>
    <xdr:sp macro="" textlink="">
      <xdr:nvSpPr>
        <xdr:cNvPr id="838099" name="Line 237">
          <a:extLst>
            <a:ext uri="{FF2B5EF4-FFF2-40B4-BE49-F238E27FC236}">
              <a16:creationId xmlns:a16="http://schemas.microsoft.com/office/drawing/2014/main" id="{00000000-0008-0000-0600-0000D3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15</xdr:row>
      <xdr:rowOff>133350</xdr:rowOff>
    </xdr:from>
    <xdr:to>
      <xdr:col>110</xdr:col>
      <xdr:colOff>123825</xdr:colOff>
      <xdr:row>15</xdr:row>
      <xdr:rowOff>133350</xdr:rowOff>
    </xdr:to>
    <xdr:sp macro="" textlink="">
      <xdr:nvSpPr>
        <xdr:cNvPr id="838100" name="Line 238">
          <a:extLst>
            <a:ext uri="{FF2B5EF4-FFF2-40B4-BE49-F238E27FC236}">
              <a16:creationId xmlns:a16="http://schemas.microsoft.com/office/drawing/2014/main" id="{00000000-0008-0000-0600-0000D4C90C00}"/>
            </a:ext>
          </a:extLst>
        </xdr:cNvPr>
        <xdr:cNvSpPr>
          <a:spLocks noChangeShapeType="1"/>
        </xdr:cNvSpPr>
      </xdr:nvSpPr>
      <xdr:spPr bwMode="auto">
        <a:xfrm flipH="1">
          <a:off x="577500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10</xdr:row>
      <xdr:rowOff>76200</xdr:rowOff>
    </xdr:from>
    <xdr:to>
      <xdr:col>110</xdr:col>
      <xdr:colOff>123825</xdr:colOff>
      <xdr:row>11</xdr:row>
      <xdr:rowOff>142875</xdr:rowOff>
    </xdr:to>
    <xdr:sp macro="" textlink="">
      <xdr:nvSpPr>
        <xdr:cNvPr id="838101" name="Line 240">
          <a:extLst>
            <a:ext uri="{FF2B5EF4-FFF2-40B4-BE49-F238E27FC236}">
              <a16:creationId xmlns:a16="http://schemas.microsoft.com/office/drawing/2014/main" id="{00000000-0008-0000-0600-0000D5C90C00}"/>
            </a:ext>
          </a:extLst>
        </xdr:cNvPr>
        <xdr:cNvSpPr>
          <a:spLocks noChangeShapeType="1"/>
        </xdr:cNvSpPr>
      </xdr:nvSpPr>
      <xdr:spPr bwMode="auto">
        <a:xfrm>
          <a:off x="578739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10</xdr:row>
      <xdr:rowOff>76200</xdr:rowOff>
    </xdr:from>
    <xdr:to>
      <xdr:col>110</xdr:col>
      <xdr:colOff>123825</xdr:colOff>
      <xdr:row>10</xdr:row>
      <xdr:rowOff>76200</xdr:rowOff>
    </xdr:to>
    <xdr:sp macro="" textlink="">
      <xdr:nvSpPr>
        <xdr:cNvPr id="838102" name="Line 241">
          <a:extLst>
            <a:ext uri="{FF2B5EF4-FFF2-40B4-BE49-F238E27FC236}">
              <a16:creationId xmlns:a16="http://schemas.microsoft.com/office/drawing/2014/main" id="{00000000-0008-0000-0600-0000D6C90C00}"/>
            </a:ext>
          </a:extLst>
        </xdr:cNvPr>
        <xdr:cNvSpPr>
          <a:spLocks noChangeShapeType="1"/>
        </xdr:cNvSpPr>
      </xdr:nvSpPr>
      <xdr:spPr bwMode="auto">
        <a:xfrm flipH="1" flipV="1">
          <a:off x="577500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11</xdr:row>
      <xdr:rowOff>133350</xdr:rowOff>
    </xdr:from>
    <xdr:to>
      <xdr:col>110</xdr:col>
      <xdr:colOff>123825</xdr:colOff>
      <xdr:row>11</xdr:row>
      <xdr:rowOff>133350</xdr:rowOff>
    </xdr:to>
    <xdr:sp macro="" textlink="">
      <xdr:nvSpPr>
        <xdr:cNvPr id="838103" name="Line 242">
          <a:extLst>
            <a:ext uri="{FF2B5EF4-FFF2-40B4-BE49-F238E27FC236}">
              <a16:creationId xmlns:a16="http://schemas.microsoft.com/office/drawing/2014/main" id="{00000000-0008-0000-0600-0000D7C90C00}"/>
            </a:ext>
          </a:extLst>
        </xdr:cNvPr>
        <xdr:cNvSpPr>
          <a:spLocks noChangeShapeType="1"/>
        </xdr:cNvSpPr>
      </xdr:nvSpPr>
      <xdr:spPr bwMode="auto">
        <a:xfrm flipH="1">
          <a:off x="577500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8104" name="Line 216">
          <a:extLst>
            <a:ext uri="{FF2B5EF4-FFF2-40B4-BE49-F238E27FC236}">
              <a16:creationId xmlns:a16="http://schemas.microsoft.com/office/drawing/2014/main" id="{00000000-0008-0000-0600-0000D8C90C00}"/>
            </a:ext>
          </a:extLst>
        </xdr:cNvPr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8105" name="Line 217">
          <a:extLst>
            <a:ext uri="{FF2B5EF4-FFF2-40B4-BE49-F238E27FC236}">
              <a16:creationId xmlns:a16="http://schemas.microsoft.com/office/drawing/2014/main" id="{00000000-0008-0000-0600-0000D9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8106" name="Line 218">
          <a:extLst>
            <a:ext uri="{FF2B5EF4-FFF2-40B4-BE49-F238E27FC236}">
              <a16:creationId xmlns:a16="http://schemas.microsoft.com/office/drawing/2014/main" id="{00000000-0008-0000-0600-0000DAC90C00}"/>
            </a:ext>
          </a:extLst>
        </xdr:cNvPr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8107" name="Line 219">
          <a:extLst>
            <a:ext uri="{FF2B5EF4-FFF2-40B4-BE49-F238E27FC236}">
              <a16:creationId xmlns:a16="http://schemas.microsoft.com/office/drawing/2014/main" id="{00000000-0008-0000-0600-0000DBC90C00}"/>
            </a:ext>
          </a:extLst>
        </xdr:cNvPr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8108" name="Line 220">
          <a:extLst>
            <a:ext uri="{FF2B5EF4-FFF2-40B4-BE49-F238E27FC236}">
              <a16:creationId xmlns:a16="http://schemas.microsoft.com/office/drawing/2014/main" id="{00000000-0008-0000-0600-0000DCC90C00}"/>
            </a:ext>
          </a:extLst>
        </xdr:cNvPr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8109" name="Line 221">
          <a:extLst>
            <a:ext uri="{FF2B5EF4-FFF2-40B4-BE49-F238E27FC236}">
              <a16:creationId xmlns:a16="http://schemas.microsoft.com/office/drawing/2014/main" id="{00000000-0008-0000-0600-0000DDC90C00}"/>
            </a:ext>
          </a:extLst>
        </xdr:cNvPr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8110" name="Line 224">
          <a:extLst>
            <a:ext uri="{FF2B5EF4-FFF2-40B4-BE49-F238E27FC236}">
              <a16:creationId xmlns:a16="http://schemas.microsoft.com/office/drawing/2014/main" id="{00000000-0008-0000-0600-0000DEC90C00}"/>
            </a:ext>
          </a:extLst>
        </xdr:cNvPr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8111" name="Line 225">
          <a:extLst>
            <a:ext uri="{FF2B5EF4-FFF2-40B4-BE49-F238E27FC236}">
              <a16:creationId xmlns:a16="http://schemas.microsoft.com/office/drawing/2014/main" id="{00000000-0008-0000-0600-0000DFC90C00}"/>
            </a:ext>
          </a:extLst>
        </xdr:cNvPr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8112" name="Line 226">
          <a:extLst>
            <a:ext uri="{FF2B5EF4-FFF2-40B4-BE49-F238E27FC236}">
              <a16:creationId xmlns:a16="http://schemas.microsoft.com/office/drawing/2014/main" id="{00000000-0008-0000-0600-0000E0C90C00}"/>
            </a:ext>
          </a:extLst>
        </xdr:cNvPr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8113" name="Line 227">
          <a:extLst>
            <a:ext uri="{FF2B5EF4-FFF2-40B4-BE49-F238E27FC236}">
              <a16:creationId xmlns:a16="http://schemas.microsoft.com/office/drawing/2014/main" id="{00000000-0008-0000-0600-0000E1C90C00}"/>
            </a:ext>
          </a:extLst>
        </xdr:cNvPr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8114" name="Line 228">
          <a:extLst>
            <a:ext uri="{FF2B5EF4-FFF2-40B4-BE49-F238E27FC236}">
              <a16:creationId xmlns:a16="http://schemas.microsoft.com/office/drawing/2014/main" id="{00000000-0008-0000-0600-0000E2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8115" name="Line 229">
          <a:extLst>
            <a:ext uri="{FF2B5EF4-FFF2-40B4-BE49-F238E27FC236}">
              <a16:creationId xmlns:a16="http://schemas.microsoft.com/office/drawing/2014/main" id="{00000000-0008-0000-0600-0000E3C90C00}"/>
            </a:ext>
          </a:extLst>
        </xdr:cNvPr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8</xdr:row>
      <xdr:rowOff>76200</xdr:rowOff>
    </xdr:from>
    <xdr:to>
      <xdr:col>116</xdr:col>
      <xdr:colOff>123825</xdr:colOff>
      <xdr:row>9</xdr:row>
      <xdr:rowOff>142875</xdr:rowOff>
    </xdr:to>
    <xdr:sp macro="" textlink="">
      <xdr:nvSpPr>
        <xdr:cNvPr id="838116" name="Line 230">
          <a:extLst>
            <a:ext uri="{FF2B5EF4-FFF2-40B4-BE49-F238E27FC236}">
              <a16:creationId xmlns:a16="http://schemas.microsoft.com/office/drawing/2014/main" id="{00000000-0008-0000-0600-0000E4C90C00}"/>
            </a:ext>
          </a:extLst>
        </xdr:cNvPr>
        <xdr:cNvSpPr>
          <a:spLocks noChangeShapeType="1"/>
        </xdr:cNvSpPr>
      </xdr:nvSpPr>
      <xdr:spPr bwMode="auto">
        <a:xfrm>
          <a:off x="612648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8</xdr:row>
      <xdr:rowOff>76200</xdr:rowOff>
    </xdr:from>
    <xdr:to>
      <xdr:col>116</xdr:col>
      <xdr:colOff>123825</xdr:colOff>
      <xdr:row>8</xdr:row>
      <xdr:rowOff>76200</xdr:rowOff>
    </xdr:to>
    <xdr:sp macro="" textlink="">
      <xdr:nvSpPr>
        <xdr:cNvPr id="838117" name="Line 231">
          <a:extLst>
            <a:ext uri="{FF2B5EF4-FFF2-40B4-BE49-F238E27FC236}">
              <a16:creationId xmlns:a16="http://schemas.microsoft.com/office/drawing/2014/main" id="{00000000-0008-0000-0600-0000E5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9</xdr:row>
      <xdr:rowOff>133350</xdr:rowOff>
    </xdr:from>
    <xdr:to>
      <xdr:col>116</xdr:col>
      <xdr:colOff>123825</xdr:colOff>
      <xdr:row>9</xdr:row>
      <xdr:rowOff>133350</xdr:rowOff>
    </xdr:to>
    <xdr:sp macro="" textlink="">
      <xdr:nvSpPr>
        <xdr:cNvPr id="838118" name="Line 232">
          <a:extLst>
            <a:ext uri="{FF2B5EF4-FFF2-40B4-BE49-F238E27FC236}">
              <a16:creationId xmlns:a16="http://schemas.microsoft.com/office/drawing/2014/main" id="{00000000-0008-0000-0600-0000E6C90C00}"/>
            </a:ext>
          </a:extLst>
        </xdr:cNvPr>
        <xdr:cNvSpPr>
          <a:spLocks noChangeShapeType="1"/>
        </xdr:cNvSpPr>
      </xdr:nvSpPr>
      <xdr:spPr bwMode="auto">
        <a:xfrm flipH="1">
          <a:off x="611409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12</xdr:row>
      <xdr:rowOff>76200</xdr:rowOff>
    </xdr:from>
    <xdr:to>
      <xdr:col>116</xdr:col>
      <xdr:colOff>123825</xdr:colOff>
      <xdr:row>13</xdr:row>
      <xdr:rowOff>142875</xdr:rowOff>
    </xdr:to>
    <xdr:sp macro="" textlink="">
      <xdr:nvSpPr>
        <xdr:cNvPr id="838119" name="Line 233">
          <a:extLst>
            <a:ext uri="{FF2B5EF4-FFF2-40B4-BE49-F238E27FC236}">
              <a16:creationId xmlns:a16="http://schemas.microsoft.com/office/drawing/2014/main" id="{00000000-0008-0000-0600-0000E7C90C00}"/>
            </a:ext>
          </a:extLst>
        </xdr:cNvPr>
        <xdr:cNvSpPr>
          <a:spLocks noChangeShapeType="1"/>
        </xdr:cNvSpPr>
      </xdr:nvSpPr>
      <xdr:spPr bwMode="auto">
        <a:xfrm>
          <a:off x="612648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12</xdr:row>
      <xdr:rowOff>76200</xdr:rowOff>
    </xdr:from>
    <xdr:to>
      <xdr:col>116</xdr:col>
      <xdr:colOff>123825</xdr:colOff>
      <xdr:row>12</xdr:row>
      <xdr:rowOff>76200</xdr:rowOff>
    </xdr:to>
    <xdr:sp macro="" textlink="">
      <xdr:nvSpPr>
        <xdr:cNvPr id="838120" name="Line 234">
          <a:extLst>
            <a:ext uri="{FF2B5EF4-FFF2-40B4-BE49-F238E27FC236}">
              <a16:creationId xmlns:a16="http://schemas.microsoft.com/office/drawing/2014/main" id="{00000000-0008-0000-0600-0000E8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13</xdr:row>
      <xdr:rowOff>133350</xdr:rowOff>
    </xdr:from>
    <xdr:to>
      <xdr:col>116</xdr:col>
      <xdr:colOff>123825</xdr:colOff>
      <xdr:row>13</xdr:row>
      <xdr:rowOff>133350</xdr:rowOff>
    </xdr:to>
    <xdr:sp macro="" textlink="">
      <xdr:nvSpPr>
        <xdr:cNvPr id="838121" name="Line 235">
          <a:extLst>
            <a:ext uri="{FF2B5EF4-FFF2-40B4-BE49-F238E27FC236}">
              <a16:creationId xmlns:a16="http://schemas.microsoft.com/office/drawing/2014/main" id="{00000000-0008-0000-0600-0000E9C90C00}"/>
            </a:ext>
          </a:extLst>
        </xdr:cNvPr>
        <xdr:cNvSpPr>
          <a:spLocks noChangeShapeType="1"/>
        </xdr:cNvSpPr>
      </xdr:nvSpPr>
      <xdr:spPr bwMode="auto">
        <a:xfrm flipH="1">
          <a:off x="611409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14</xdr:row>
      <xdr:rowOff>76200</xdr:rowOff>
    </xdr:from>
    <xdr:to>
      <xdr:col>116</xdr:col>
      <xdr:colOff>123825</xdr:colOff>
      <xdr:row>15</xdr:row>
      <xdr:rowOff>142875</xdr:rowOff>
    </xdr:to>
    <xdr:sp macro="" textlink="">
      <xdr:nvSpPr>
        <xdr:cNvPr id="838122" name="Line 236">
          <a:extLst>
            <a:ext uri="{FF2B5EF4-FFF2-40B4-BE49-F238E27FC236}">
              <a16:creationId xmlns:a16="http://schemas.microsoft.com/office/drawing/2014/main" id="{00000000-0008-0000-0600-0000EAC90C00}"/>
            </a:ext>
          </a:extLst>
        </xdr:cNvPr>
        <xdr:cNvSpPr>
          <a:spLocks noChangeShapeType="1"/>
        </xdr:cNvSpPr>
      </xdr:nvSpPr>
      <xdr:spPr bwMode="auto">
        <a:xfrm>
          <a:off x="612648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14</xdr:row>
      <xdr:rowOff>76200</xdr:rowOff>
    </xdr:from>
    <xdr:to>
      <xdr:col>116</xdr:col>
      <xdr:colOff>123825</xdr:colOff>
      <xdr:row>14</xdr:row>
      <xdr:rowOff>76200</xdr:rowOff>
    </xdr:to>
    <xdr:sp macro="" textlink="">
      <xdr:nvSpPr>
        <xdr:cNvPr id="838123" name="Line 237">
          <a:extLst>
            <a:ext uri="{FF2B5EF4-FFF2-40B4-BE49-F238E27FC236}">
              <a16:creationId xmlns:a16="http://schemas.microsoft.com/office/drawing/2014/main" id="{00000000-0008-0000-0600-0000EB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15</xdr:row>
      <xdr:rowOff>133350</xdr:rowOff>
    </xdr:from>
    <xdr:to>
      <xdr:col>116</xdr:col>
      <xdr:colOff>123825</xdr:colOff>
      <xdr:row>15</xdr:row>
      <xdr:rowOff>133350</xdr:rowOff>
    </xdr:to>
    <xdr:sp macro="" textlink="">
      <xdr:nvSpPr>
        <xdr:cNvPr id="838124" name="Line 238">
          <a:extLst>
            <a:ext uri="{FF2B5EF4-FFF2-40B4-BE49-F238E27FC236}">
              <a16:creationId xmlns:a16="http://schemas.microsoft.com/office/drawing/2014/main" id="{00000000-0008-0000-0600-0000ECC90C00}"/>
            </a:ext>
          </a:extLst>
        </xdr:cNvPr>
        <xdr:cNvSpPr>
          <a:spLocks noChangeShapeType="1"/>
        </xdr:cNvSpPr>
      </xdr:nvSpPr>
      <xdr:spPr bwMode="auto">
        <a:xfrm flipH="1">
          <a:off x="611409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10</xdr:row>
      <xdr:rowOff>76200</xdr:rowOff>
    </xdr:from>
    <xdr:to>
      <xdr:col>116</xdr:col>
      <xdr:colOff>123825</xdr:colOff>
      <xdr:row>11</xdr:row>
      <xdr:rowOff>142875</xdr:rowOff>
    </xdr:to>
    <xdr:sp macro="" textlink="">
      <xdr:nvSpPr>
        <xdr:cNvPr id="838125" name="Line 240">
          <a:extLst>
            <a:ext uri="{FF2B5EF4-FFF2-40B4-BE49-F238E27FC236}">
              <a16:creationId xmlns:a16="http://schemas.microsoft.com/office/drawing/2014/main" id="{00000000-0008-0000-0600-0000EDC90C00}"/>
            </a:ext>
          </a:extLst>
        </xdr:cNvPr>
        <xdr:cNvSpPr>
          <a:spLocks noChangeShapeType="1"/>
        </xdr:cNvSpPr>
      </xdr:nvSpPr>
      <xdr:spPr bwMode="auto">
        <a:xfrm>
          <a:off x="612648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10</xdr:row>
      <xdr:rowOff>76200</xdr:rowOff>
    </xdr:from>
    <xdr:to>
      <xdr:col>116</xdr:col>
      <xdr:colOff>123825</xdr:colOff>
      <xdr:row>10</xdr:row>
      <xdr:rowOff>76200</xdr:rowOff>
    </xdr:to>
    <xdr:sp macro="" textlink="">
      <xdr:nvSpPr>
        <xdr:cNvPr id="838126" name="Line 241">
          <a:extLst>
            <a:ext uri="{FF2B5EF4-FFF2-40B4-BE49-F238E27FC236}">
              <a16:creationId xmlns:a16="http://schemas.microsoft.com/office/drawing/2014/main" id="{00000000-0008-0000-0600-0000EEC90C00}"/>
            </a:ext>
          </a:extLst>
        </xdr:cNvPr>
        <xdr:cNvSpPr>
          <a:spLocks noChangeShapeType="1"/>
        </xdr:cNvSpPr>
      </xdr:nvSpPr>
      <xdr:spPr bwMode="auto">
        <a:xfrm flipH="1" flipV="1">
          <a:off x="611409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11</xdr:row>
      <xdr:rowOff>133350</xdr:rowOff>
    </xdr:from>
    <xdr:to>
      <xdr:col>116</xdr:col>
      <xdr:colOff>123825</xdr:colOff>
      <xdr:row>11</xdr:row>
      <xdr:rowOff>133350</xdr:rowOff>
    </xdr:to>
    <xdr:sp macro="" textlink="">
      <xdr:nvSpPr>
        <xdr:cNvPr id="838127" name="Line 242">
          <a:extLst>
            <a:ext uri="{FF2B5EF4-FFF2-40B4-BE49-F238E27FC236}">
              <a16:creationId xmlns:a16="http://schemas.microsoft.com/office/drawing/2014/main" id="{00000000-0008-0000-0600-0000EFC90C00}"/>
            </a:ext>
          </a:extLst>
        </xdr:cNvPr>
        <xdr:cNvSpPr>
          <a:spLocks noChangeShapeType="1"/>
        </xdr:cNvSpPr>
      </xdr:nvSpPr>
      <xdr:spPr bwMode="auto">
        <a:xfrm flipH="1">
          <a:off x="611409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6</xdr:row>
      <xdr:rowOff>76200</xdr:rowOff>
    </xdr:from>
    <xdr:to>
      <xdr:col>126</xdr:col>
      <xdr:colOff>123825</xdr:colOff>
      <xdr:row>7</xdr:row>
      <xdr:rowOff>142875</xdr:rowOff>
    </xdr:to>
    <xdr:sp macro="" textlink="">
      <xdr:nvSpPr>
        <xdr:cNvPr id="838128" name="Line 216">
          <a:extLst>
            <a:ext uri="{FF2B5EF4-FFF2-40B4-BE49-F238E27FC236}">
              <a16:creationId xmlns:a16="http://schemas.microsoft.com/office/drawing/2014/main" id="{00000000-0008-0000-0600-0000F0C90C00}"/>
            </a:ext>
          </a:extLst>
        </xdr:cNvPr>
        <xdr:cNvSpPr>
          <a:spLocks noChangeShapeType="1"/>
        </xdr:cNvSpPr>
      </xdr:nvSpPr>
      <xdr:spPr bwMode="auto">
        <a:xfrm>
          <a:off x="68103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6</xdr:row>
      <xdr:rowOff>76200</xdr:rowOff>
    </xdr:from>
    <xdr:to>
      <xdr:col>126</xdr:col>
      <xdr:colOff>123825</xdr:colOff>
      <xdr:row>6</xdr:row>
      <xdr:rowOff>76200</xdr:rowOff>
    </xdr:to>
    <xdr:sp macro="" textlink="">
      <xdr:nvSpPr>
        <xdr:cNvPr id="838129" name="Line 217">
          <a:extLst>
            <a:ext uri="{FF2B5EF4-FFF2-40B4-BE49-F238E27FC236}">
              <a16:creationId xmlns:a16="http://schemas.microsoft.com/office/drawing/2014/main" id="{00000000-0008-0000-0600-0000F1C9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7</xdr:row>
      <xdr:rowOff>133350</xdr:rowOff>
    </xdr:from>
    <xdr:to>
      <xdr:col>126</xdr:col>
      <xdr:colOff>123825</xdr:colOff>
      <xdr:row>7</xdr:row>
      <xdr:rowOff>133350</xdr:rowOff>
    </xdr:to>
    <xdr:sp macro="" textlink="">
      <xdr:nvSpPr>
        <xdr:cNvPr id="838130" name="Line 218">
          <a:extLst>
            <a:ext uri="{FF2B5EF4-FFF2-40B4-BE49-F238E27FC236}">
              <a16:creationId xmlns:a16="http://schemas.microsoft.com/office/drawing/2014/main" id="{00000000-0008-0000-0600-0000F2C90C00}"/>
            </a:ext>
          </a:extLst>
        </xdr:cNvPr>
        <xdr:cNvSpPr>
          <a:spLocks noChangeShapeType="1"/>
        </xdr:cNvSpPr>
      </xdr:nvSpPr>
      <xdr:spPr bwMode="auto">
        <a:xfrm flipH="1">
          <a:off x="67979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114300</xdr:colOff>
      <xdr:row>16</xdr:row>
      <xdr:rowOff>66675</xdr:rowOff>
    </xdr:from>
    <xdr:to>
      <xdr:col>126</xdr:col>
      <xdr:colOff>114300</xdr:colOff>
      <xdr:row>19</xdr:row>
      <xdr:rowOff>85725</xdr:rowOff>
    </xdr:to>
    <xdr:sp macro="" textlink="">
      <xdr:nvSpPr>
        <xdr:cNvPr id="838131" name="Line 219">
          <a:extLst>
            <a:ext uri="{FF2B5EF4-FFF2-40B4-BE49-F238E27FC236}">
              <a16:creationId xmlns:a16="http://schemas.microsoft.com/office/drawing/2014/main" id="{00000000-0008-0000-0600-0000F3C90C00}"/>
            </a:ext>
          </a:extLst>
        </xdr:cNvPr>
        <xdr:cNvSpPr>
          <a:spLocks noChangeShapeType="1"/>
        </xdr:cNvSpPr>
      </xdr:nvSpPr>
      <xdr:spPr bwMode="auto">
        <a:xfrm>
          <a:off x="68094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16</xdr:row>
      <xdr:rowOff>57150</xdr:rowOff>
    </xdr:from>
    <xdr:to>
      <xdr:col>126</xdr:col>
      <xdr:colOff>123825</xdr:colOff>
      <xdr:row>16</xdr:row>
      <xdr:rowOff>57150</xdr:rowOff>
    </xdr:to>
    <xdr:sp macro="" textlink="">
      <xdr:nvSpPr>
        <xdr:cNvPr id="838132" name="Line 220">
          <a:extLst>
            <a:ext uri="{FF2B5EF4-FFF2-40B4-BE49-F238E27FC236}">
              <a16:creationId xmlns:a16="http://schemas.microsoft.com/office/drawing/2014/main" id="{00000000-0008-0000-0600-0000F4C90C00}"/>
            </a:ext>
          </a:extLst>
        </xdr:cNvPr>
        <xdr:cNvSpPr>
          <a:spLocks noChangeShapeType="1"/>
        </xdr:cNvSpPr>
      </xdr:nvSpPr>
      <xdr:spPr bwMode="auto">
        <a:xfrm flipH="1">
          <a:off x="67979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9525</xdr:colOff>
      <xdr:row>19</xdr:row>
      <xdr:rowOff>95250</xdr:rowOff>
    </xdr:from>
    <xdr:to>
      <xdr:col>126</xdr:col>
      <xdr:colOff>114300</xdr:colOff>
      <xdr:row>19</xdr:row>
      <xdr:rowOff>95250</xdr:rowOff>
    </xdr:to>
    <xdr:sp macro="" textlink="">
      <xdr:nvSpPr>
        <xdr:cNvPr id="838133" name="Line 221">
          <a:extLst>
            <a:ext uri="{FF2B5EF4-FFF2-40B4-BE49-F238E27FC236}">
              <a16:creationId xmlns:a16="http://schemas.microsoft.com/office/drawing/2014/main" id="{00000000-0008-0000-0600-0000F5C90C00}"/>
            </a:ext>
          </a:extLst>
        </xdr:cNvPr>
        <xdr:cNvSpPr>
          <a:spLocks noChangeShapeType="1"/>
        </xdr:cNvSpPr>
      </xdr:nvSpPr>
      <xdr:spPr bwMode="auto">
        <a:xfrm flipH="1">
          <a:off x="67989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114300</xdr:colOff>
      <xdr:row>16</xdr:row>
      <xdr:rowOff>66675</xdr:rowOff>
    </xdr:from>
    <xdr:to>
      <xdr:col>126</xdr:col>
      <xdr:colOff>114300</xdr:colOff>
      <xdr:row>19</xdr:row>
      <xdr:rowOff>85725</xdr:rowOff>
    </xdr:to>
    <xdr:sp macro="" textlink="">
      <xdr:nvSpPr>
        <xdr:cNvPr id="838134" name="Line 224">
          <a:extLst>
            <a:ext uri="{FF2B5EF4-FFF2-40B4-BE49-F238E27FC236}">
              <a16:creationId xmlns:a16="http://schemas.microsoft.com/office/drawing/2014/main" id="{00000000-0008-0000-0600-0000F6C90C00}"/>
            </a:ext>
          </a:extLst>
        </xdr:cNvPr>
        <xdr:cNvSpPr>
          <a:spLocks noChangeShapeType="1"/>
        </xdr:cNvSpPr>
      </xdr:nvSpPr>
      <xdr:spPr bwMode="auto">
        <a:xfrm>
          <a:off x="68094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16</xdr:row>
      <xdr:rowOff>57150</xdr:rowOff>
    </xdr:from>
    <xdr:to>
      <xdr:col>126</xdr:col>
      <xdr:colOff>123825</xdr:colOff>
      <xdr:row>16</xdr:row>
      <xdr:rowOff>57150</xdr:rowOff>
    </xdr:to>
    <xdr:sp macro="" textlink="">
      <xdr:nvSpPr>
        <xdr:cNvPr id="838135" name="Line 225">
          <a:extLst>
            <a:ext uri="{FF2B5EF4-FFF2-40B4-BE49-F238E27FC236}">
              <a16:creationId xmlns:a16="http://schemas.microsoft.com/office/drawing/2014/main" id="{00000000-0008-0000-0600-0000F7C90C00}"/>
            </a:ext>
          </a:extLst>
        </xdr:cNvPr>
        <xdr:cNvSpPr>
          <a:spLocks noChangeShapeType="1"/>
        </xdr:cNvSpPr>
      </xdr:nvSpPr>
      <xdr:spPr bwMode="auto">
        <a:xfrm flipH="1">
          <a:off x="67979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9525</xdr:colOff>
      <xdr:row>19</xdr:row>
      <xdr:rowOff>95250</xdr:rowOff>
    </xdr:from>
    <xdr:to>
      <xdr:col>126</xdr:col>
      <xdr:colOff>114300</xdr:colOff>
      <xdr:row>19</xdr:row>
      <xdr:rowOff>95250</xdr:rowOff>
    </xdr:to>
    <xdr:sp macro="" textlink="">
      <xdr:nvSpPr>
        <xdr:cNvPr id="838136" name="Line 226">
          <a:extLst>
            <a:ext uri="{FF2B5EF4-FFF2-40B4-BE49-F238E27FC236}">
              <a16:creationId xmlns:a16="http://schemas.microsoft.com/office/drawing/2014/main" id="{00000000-0008-0000-0600-0000F8C90C00}"/>
            </a:ext>
          </a:extLst>
        </xdr:cNvPr>
        <xdr:cNvSpPr>
          <a:spLocks noChangeShapeType="1"/>
        </xdr:cNvSpPr>
      </xdr:nvSpPr>
      <xdr:spPr bwMode="auto">
        <a:xfrm flipH="1">
          <a:off x="67989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6</xdr:row>
      <xdr:rowOff>76200</xdr:rowOff>
    </xdr:from>
    <xdr:to>
      <xdr:col>126</xdr:col>
      <xdr:colOff>123825</xdr:colOff>
      <xdr:row>7</xdr:row>
      <xdr:rowOff>142875</xdr:rowOff>
    </xdr:to>
    <xdr:sp macro="" textlink="">
      <xdr:nvSpPr>
        <xdr:cNvPr id="838137" name="Line 227">
          <a:extLst>
            <a:ext uri="{FF2B5EF4-FFF2-40B4-BE49-F238E27FC236}">
              <a16:creationId xmlns:a16="http://schemas.microsoft.com/office/drawing/2014/main" id="{00000000-0008-0000-0600-0000F9C90C00}"/>
            </a:ext>
          </a:extLst>
        </xdr:cNvPr>
        <xdr:cNvSpPr>
          <a:spLocks noChangeShapeType="1"/>
        </xdr:cNvSpPr>
      </xdr:nvSpPr>
      <xdr:spPr bwMode="auto">
        <a:xfrm>
          <a:off x="68103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6</xdr:row>
      <xdr:rowOff>76200</xdr:rowOff>
    </xdr:from>
    <xdr:to>
      <xdr:col>126</xdr:col>
      <xdr:colOff>123825</xdr:colOff>
      <xdr:row>6</xdr:row>
      <xdr:rowOff>76200</xdr:rowOff>
    </xdr:to>
    <xdr:sp macro="" textlink="">
      <xdr:nvSpPr>
        <xdr:cNvPr id="838138" name="Line 228">
          <a:extLst>
            <a:ext uri="{FF2B5EF4-FFF2-40B4-BE49-F238E27FC236}">
              <a16:creationId xmlns:a16="http://schemas.microsoft.com/office/drawing/2014/main" id="{00000000-0008-0000-0600-0000FAC9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7</xdr:row>
      <xdr:rowOff>133350</xdr:rowOff>
    </xdr:from>
    <xdr:to>
      <xdr:col>126</xdr:col>
      <xdr:colOff>123825</xdr:colOff>
      <xdr:row>7</xdr:row>
      <xdr:rowOff>133350</xdr:rowOff>
    </xdr:to>
    <xdr:sp macro="" textlink="">
      <xdr:nvSpPr>
        <xdr:cNvPr id="838139" name="Line 229">
          <a:extLst>
            <a:ext uri="{FF2B5EF4-FFF2-40B4-BE49-F238E27FC236}">
              <a16:creationId xmlns:a16="http://schemas.microsoft.com/office/drawing/2014/main" id="{00000000-0008-0000-0600-0000FBC90C00}"/>
            </a:ext>
          </a:extLst>
        </xdr:cNvPr>
        <xdr:cNvSpPr>
          <a:spLocks noChangeShapeType="1"/>
        </xdr:cNvSpPr>
      </xdr:nvSpPr>
      <xdr:spPr bwMode="auto">
        <a:xfrm flipH="1">
          <a:off x="67979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8</xdr:row>
      <xdr:rowOff>76200</xdr:rowOff>
    </xdr:from>
    <xdr:to>
      <xdr:col>126</xdr:col>
      <xdr:colOff>123825</xdr:colOff>
      <xdr:row>9</xdr:row>
      <xdr:rowOff>142875</xdr:rowOff>
    </xdr:to>
    <xdr:sp macro="" textlink="">
      <xdr:nvSpPr>
        <xdr:cNvPr id="838140" name="Line 230">
          <a:extLst>
            <a:ext uri="{FF2B5EF4-FFF2-40B4-BE49-F238E27FC236}">
              <a16:creationId xmlns:a16="http://schemas.microsoft.com/office/drawing/2014/main" id="{00000000-0008-0000-0600-0000FCC90C00}"/>
            </a:ext>
          </a:extLst>
        </xdr:cNvPr>
        <xdr:cNvSpPr>
          <a:spLocks noChangeShapeType="1"/>
        </xdr:cNvSpPr>
      </xdr:nvSpPr>
      <xdr:spPr bwMode="auto">
        <a:xfrm>
          <a:off x="68103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8</xdr:row>
      <xdr:rowOff>76200</xdr:rowOff>
    </xdr:from>
    <xdr:to>
      <xdr:col>126</xdr:col>
      <xdr:colOff>123825</xdr:colOff>
      <xdr:row>8</xdr:row>
      <xdr:rowOff>76200</xdr:rowOff>
    </xdr:to>
    <xdr:sp macro="" textlink="">
      <xdr:nvSpPr>
        <xdr:cNvPr id="838141" name="Line 231">
          <a:extLst>
            <a:ext uri="{FF2B5EF4-FFF2-40B4-BE49-F238E27FC236}">
              <a16:creationId xmlns:a16="http://schemas.microsoft.com/office/drawing/2014/main" id="{00000000-0008-0000-0600-0000FDC9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9</xdr:row>
      <xdr:rowOff>133350</xdr:rowOff>
    </xdr:from>
    <xdr:to>
      <xdr:col>126</xdr:col>
      <xdr:colOff>123825</xdr:colOff>
      <xdr:row>9</xdr:row>
      <xdr:rowOff>133350</xdr:rowOff>
    </xdr:to>
    <xdr:sp macro="" textlink="">
      <xdr:nvSpPr>
        <xdr:cNvPr id="838142" name="Line 232">
          <a:extLst>
            <a:ext uri="{FF2B5EF4-FFF2-40B4-BE49-F238E27FC236}">
              <a16:creationId xmlns:a16="http://schemas.microsoft.com/office/drawing/2014/main" id="{00000000-0008-0000-0600-0000FEC90C00}"/>
            </a:ext>
          </a:extLst>
        </xdr:cNvPr>
        <xdr:cNvSpPr>
          <a:spLocks noChangeShapeType="1"/>
        </xdr:cNvSpPr>
      </xdr:nvSpPr>
      <xdr:spPr bwMode="auto">
        <a:xfrm flipH="1">
          <a:off x="67979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12</xdr:row>
      <xdr:rowOff>76200</xdr:rowOff>
    </xdr:from>
    <xdr:to>
      <xdr:col>126</xdr:col>
      <xdr:colOff>123825</xdr:colOff>
      <xdr:row>13</xdr:row>
      <xdr:rowOff>142875</xdr:rowOff>
    </xdr:to>
    <xdr:sp macro="" textlink="">
      <xdr:nvSpPr>
        <xdr:cNvPr id="838143" name="Line 233">
          <a:extLst>
            <a:ext uri="{FF2B5EF4-FFF2-40B4-BE49-F238E27FC236}">
              <a16:creationId xmlns:a16="http://schemas.microsoft.com/office/drawing/2014/main" id="{00000000-0008-0000-0600-0000FFC90C00}"/>
            </a:ext>
          </a:extLst>
        </xdr:cNvPr>
        <xdr:cNvSpPr>
          <a:spLocks noChangeShapeType="1"/>
        </xdr:cNvSpPr>
      </xdr:nvSpPr>
      <xdr:spPr bwMode="auto">
        <a:xfrm>
          <a:off x="68103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12</xdr:row>
      <xdr:rowOff>76200</xdr:rowOff>
    </xdr:from>
    <xdr:to>
      <xdr:col>126</xdr:col>
      <xdr:colOff>123825</xdr:colOff>
      <xdr:row>12</xdr:row>
      <xdr:rowOff>76200</xdr:rowOff>
    </xdr:to>
    <xdr:sp macro="" textlink="">
      <xdr:nvSpPr>
        <xdr:cNvPr id="838144" name="Line 234">
          <a:extLst>
            <a:ext uri="{FF2B5EF4-FFF2-40B4-BE49-F238E27FC236}">
              <a16:creationId xmlns:a16="http://schemas.microsoft.com/office/drawing/2014/main" id="{00000000-0008-0000-0600-000000CA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13</xdr:row>
      <xdr:rowOff>133350</xdr:rowOff>
    </xdr:from>
    <xdr:to>
      <xdr:col>126</xdr:col>
      <xdr:colOff>123825</xdr:colOff>
      <xdr:row>13</xdr:row>
      <xdr:rowOff>133350</xdr:rowOff>
    </xdr:to>
    <xdr:sp macro="" textlink="">
      <xdr:nvSpPr>
        <xdr:cNvPr id="838145" name="Line 235">
          <a:extLst>
            <a:ext uri="{FF2B5EF4-FFF2-40B4-BE49-F238E27FC236}">
              <a16:creationId xmlns:a16="http://schemas.microsoft.com/office/drawing/2014/main" id="{00000000-0008-0000-0600-000001CA0C00}"/>
            </a:ext>
          </a:extLst>
        </xdr:cNvPr>
        <xdr:cNvSpPr>
          <a:spLocks noChangeShapeType="1"/>
        </xdr:cNvSpPr>
      </xdr:nvSpPr>
      <xdr:spPr bwMode="auto">
        <a:xfrm flipH="1">
          <a:off x="67979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14</xdr:row>
      <xdr:rowOff>76200</xdr:rowOff>
    </xdr:from>
    <xdr:to>
      <xdr:col>126</xdr:col>
      <xdr:colOff>123825</xdr:colOff>
      <xdr:row>15</xdr:row>
      <xdr:rowOff>142875</xdr:rowOff>
    </xdr:to>
    <xdr:sp macro="" textlink="">
      <xdr:nvSpPr>
        <xdr:cNvPr id="838146" name="Line 236">
          <a:extLst>
            <a:ext uri="{FF2B5EF4-FFF2-40B4-BE49-F238E27FC236}">
              <a16:creationId xmlns:a16="http://schemas.microsoft.com/office/drawing/2014/main" id="{00000000-0008-0000-0600-000002CA0C00}"/>
            </a:ext>
          </a:extLst>
        </xdr:cNvPr>
        <xdr:cNvSpPr>
          <a:spLocks noChangeShapeType="1"/>
        </xdr:cNvSpPr>
      </xdr:nvSpPr>
      <xdr:spPr bwMode="auto">
        <a:xfrm>
          <a:off x="68103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14</xdr:row>
      <xdr:rowOff>76200</xdr:rowOff>
    </xdr:from>
    <xdr:to>
      <xdr:col>126</xdr:col>
      <xdr:colOff>123825</xdr:colOff>
      <xdr:row>14</xdr:row>
      <xdr:rowOff>76200</xdr:rowOff>
    </xdr:to>
    <xdr:sp macro="" textlink="">
      <xdr:nvSpPr>
        <xdr:cNvPr id="838147" name="Line 237">
          <a:extLst>
            <a:ext uri="{FF2B5EF4-FFF2-40B4-BE49-F238E27FC236}">
              <a16:creationId xmlns:a16="http://schemas.microsoft.com/office/drawing/2014/main" id="{00000000-0008-0000-0600-000003CA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15</xdr:row>
      <xdr:rowOff>133350</xdr:rowOff>
    </xdr:from>
    <xdr:to>
      <xdr:col>126</xdr:col>
      <xdr:colOff>123825</xdr:colOff>
      <xdr:row>15</xdr:row>
      <xdr:rowOff>133350</xdr:rowOff>
    </xdr:to>
    <xdr:sp macro="" textlink="">
      <xdr:nvSpPr>
        <xdr:cNvPr id="838148" name="Line 238">
          <a:extLst>
            <a:ext uri="{FF2B5EF4-FFF2-40B4-BE49-F238E27FC236}">
              <a16:creationId xmlns:a16="http://schemas.microsoft.com/office/drawing/2014/main" id="{00000000-0008-0000-0600-000004CA0C00}"/>
            </a:ext>
          </a:extLst>
        </xdr:cNvPr>
        <xdr:cNvSpPr>
          <a:spLocks noChangeShapeType="1"/>
        </xdr:cNvSpPr>
      </xdr:nvSpPr>
      <xdr:spPr bwMode="auto">
        <a:xfrm flipH="1">
          <a:off x="67979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10</xdr:row>
      <xdr:rowOff>76200</xdr:rowOff>
    </xdr:from>
    <xdr:to>
      <xdr:col>126</xdr:col>
      <xdr:colOff>123825</xdr:colOff>
      <xdr:row>11</xdr:row>
      <xdr:rowOff>142875</xdr:rowOff>
    </xdr:to>
    <xdr:sp macro="" textlink="">
      <xdr:nvSpPr>
        <xdr:cNvPr id="838149" name="Line 240">
          <a:extLst>
            <a:ext uri="{FF2B5EF4-FFF2-40B4-BE49-F238E27FC236}">
              <a16:creationId xmlns:a16="http://schemas.microsoft.com/office/drawing/2014/main" id="{00000000-0008-0000-0600-000005CA0C00}"/>
            </a:ext>
          </a:extLst>
        </xdr:cNvPr>
        <xdr:cNvSpPr>
          <a:spLocks noChangeShapeType="1"/>
        </xdr:cNvSpPr>
      </xdr:nvSpPr>
      <xdr:spPr bwMode="auto">
        <a:xfrm>
          <a:off x="68103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10</xdr:row>
      <xdr:rowOff>76200</xdr:rowOff>
    </xdr:from>
    <xdr:to>
      <xdr:col>126</xdr:col>
      <xdr:colOff>123825</xdr:colOff>
      <xdr:row>10</xdr:row>
      <xdr:rowOff>76200</xdr:rowOff>
    </xdr:to>
    <xdr:sp macro="" textlink="">
      <xdr:nvSpPr>
        <xdr:cNvPr id="838150" name="Line 241">
          <a:extLst>
            <a:ext uri="{FF2B5EF4-FFF2-40B4-BE49-F238E27FC236}">
              <a16:creationId xmlns:a16="http://schemas.microsoft.com/office/drawing/2014/main" id="{00000000-0008-0000-0600-000006CA0C00}"/>
            </a:ext>
          </a:extLst>
        </xdr:cNvPr>
        <xdr:cNvSpPr>
          <a:spLocks noChangeShapeType="1"/>
        </xdr:cNvSpPr>
      </xdr:nvSpPr>
      <xdr:spPr bwMode="auto">
        <a:xfrm flipH="1" flipV="1">
          <a:off x="67979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11</xdr:row>
      <xdr:rowOff>133350</xdr:rowOff>
    </xdr:from>
    <xdr:to>
      <xdr:col>126</xdr:col>
      <xdr:colOff>123825</xdr:colOff>
      <xdr:row>11</xdr:row>
      <xdr:rowOff>133350</xdr:rowOff>
    </xdr:to>
    <xdr:sp macro="" textlink="">
      <xdr:nvSpPr>
        <xdr:cNvPr id="838151" name="Line 242">
          <a:extLst>
            <a:ext uri="{FF2B5EF4-FFF2-40B4-BE49-F238E27FC236}">
              <a16:creationId xmlns:a16="http://schemas.microsoft.com/office/drawing/2014/main" id="{00000000-0008-0000-0600-000007CA0C00}"/>
            </a:ext>
          </a:extLst>
        </xdr:cNvPr>
        <xdr:cNvSpPr>
          <a:spLocks noChangeShapeType="1"/>
        </xdr:cNvSpPr>
      </xdr:nvSpPr>
      <xdr:spPr bwMode="auto">
        <a:xfrm flipH="1">
          <a:off x="67979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6</xdr:row>
      <xdr:rowOff>76200</xdr:rowOff>
    </xdr:from>
    <xdr:to>
      <xdr:col>131</xdr:col>
      <xdr:colOff>123825</xdr:colOff>
      <xdr:row>7</xdr:row>
      <xdr:rowOff>142875</xdr:rowOff>
    </xdr:to>
    <xdr:sp macro="" textlink="">
      <xdr:nvSpPr>
        <xdr:cNvPr id="838152" name="Line 216">
          <a:extLst>
            <a:ext uri="{FF2B5EF4-FFF2-40B4-BE49-F238E27FC236}">
              <a16:creationId xmlns:a16="http://schemas.microsoft.com/office/drawing/2014/main" id="{00000000-0008-0000-0600-000008CA0C00}"/>
            </a:ext>
          </a:extLst>
        </xdr:cNvPr>
        <xdr:cNvSpPr>
          <a:spLocks noChangeShapeType="1"/>
        </xdr:cNvSpPr>
      </xdr:nvSpPr>
      <xdr:spPr bwMode="auto">
        <a:xfrm>
          <a:off x="715232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6</xdr:row>
      <xdr:rowOff>76200</xdr:rowOff>
    </xdr:from>
    <xdr:to>
      <xdr:col>131</xdr:col>
      <xdr:colOff>123825</xdr:colOff>
      <xdr:row>6</xdr:row>
      <xdr:rowOff>76200</xdr:rowOff>
    </xdr:to>
    <xdr:sp macro="" textlink="">
      <xdr:nvSpPr>
        <xdr:cNvPr id="838153" name="Line 217">
          <a:extLst>
            <a:ext uri="{FF2B5EF4-FFF2-40B4-BE49-F238E27FC236}">
              <a16:creationId xmlns:a16="http://schemas.microsoft.com/office/drawing/2014/main" id="{00000000-0008-0000-0600-000009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7</xdr:row>
      <xdr:rowOff>133350</xdr:rowOff>
    </xdr:from>
    <xdr:to>
      <xdr:col>131</xdr:col>
      <xdr:colOff>123825</xdr:colOff>
      <xdr:row>7</xdr:row>
      <xdr:rowOff>133350</xdr:rowOff>
    </xdr:to>
    <xdr:sp macro="" textlink="">
      <xdr:nvSpPr>
        <xdr:cNvPr id="838154" name="Line 218">
          <a:extLst>
            <a:ext uri="{FF2B5EF4-FFF2-40B4-BE49-F238E27FC236}">
              <a16:creationId xmlns:a16="http://schemas.microsoft.com/office/drawing/2014/main" id="{00000000-0008-0000-0600-00000ACA0C00}"/>
            </a:ext>
          </a:extLst>
        </xdr:cNvPr>
        <xdr:cNvSpPr>
          <a:spLocks noChangeShapeType="1"/>
        </xdr:cNvSpPr>
      </xdr:nvSpPr>
      <xdr:spPr bwMode="auto">
        <a:xfrm flipH="1">
          <a:off x="713994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114300</xdr:colOff>
      <xdr:row>16</xdr:row>
      <xdr:rowOff>66675</xdr:rowOff>
    </xdr:from>
    <xdr:to>
      <xdr:col>131</xdr:col>
      <xdr:colOff>114300</xdr:colOff>
      <xdr:row>19</xdr:row>
      <xdr:rowOff>85725</xdr:rowOff>
    </xdr:to>
    <xdr:sp macro="" textlink="">
      <xdr:nvSpPr>
        <xdr:cNvPr id="838155" name="Line 219">
          <a:extLst>
            <a:ext uri="{FF2B5EF4-FFF2-40B4-BE49-F238E27FC236}">
              <a16:creationId xmlns:a16="http://schemas.microsoft.com/office/drawing/2014/main" id="{00000000-0008-0000-0600-00000BCA0C00}"/>
            </a:ext>
          </a:extLst>
        </xdr:cNvPr>
        <xdr:cNvSpPr>
          <a:spLocks noChangeShapeType="1"/>
        </xdr:cNvSpPr>
      </xdr:nvSpPr>
      <xdr:spPr bwMode="auto">
        <a:xfrm>
          <a:off x="715137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16</xdr:row>
      <xdr:rowOff>57150</xdr:rowOff>
    </xdr:from>
    <xdr:to>
      <xdr:col>131</xdr:col>
      <xdr:colOff>123825</xdr:colOff>
      <xdr:row>16</xdr:row>
      <xdr:rowOff>57150</xdr:rowOff>
    </xdr:to>
    <xdr:sp macro="" textlink="">
      <xdr:nvSpPr>
        <xdr:cNvPr id="838156" name="Line 220">
          <a:extLst>
            <a:ext uri="{FF2B5EF4-FFF2-40B4-BE49-F238E27FC236}">
              <a16:creationId xmlns:a16="http://schemas.microsoft.com/office/drawing/2014/main" id="{00000000-0008-0000-0600-00000CCA0C00}"/>
            </a:ext>
          </a:extLst>
        </xdr:cNvPr>
        <xdr:cNvSpPr>
          <a:spLocks noChangeShapeType="1"/>
        </xdr:cNvSpPr>
      </xdr:nvSpPr>
      <xdr:spPr bwMode="auto">
        <a:xfrm flipH="1">
          <a:off x="713994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9525</xdr:colOff>
      <xdr:row>19</xdr:row>
      <xdr:rowOff>95250</xdr:rowOff>
    </xdr:from>
    <xdr:to>
      <xdr:col>131</xdr:col>
      <xdr:colOff>114300</xdr:colOff>
      <xdr:row>19</xdr:row>
      <xdr:rowOff>95250</xdr:rowOff>
    </xdr:to>
    <xdr:sp macro="" textlink="">
      <xdr:nvSpPr>
        <xdr:cNvPr id="838157" name="Line 221">
          <a:extLst>
            <a:ext uri="{FF2B5EF4-FFF2-40B4-BE49-F238E27FC236}">
              <a16:creationId xmlns:a16="http://schemas.microsoft.com/office/drawing/2014/main" id="{00000000-0008-0000-0600-00000DCA0C00}"/>
            </a:ext>
          </a:extLst>
        </xdr:cNvPr>
        <xdr:cNvSpPr>
          <a:spLocks noChangeShapeType="1"/>
        </xdr:cNvSpPr>
      </xdr:nvSpPr>
      <xdr:spPr bwMode="auto">
        <a:xfrm flipH="1">
          <a:off x="714089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114300</xdr:colOff>
      <xdr:row>16</xdr:row>
      <xdr:rowOff>66675</xdr:rowOff>
    </xdr:from>
    <xdr:to>
      <xdr:col>131</xdr:col>
      <xdr:colOff>114300</xdr:colOff>
      <xdr:row>19</xdr:row>
      <xdr:rowOff>85725</xdr:rowOff>
    </xdr:to>
    <xdr:sp macro="" textlink="">
      <xdr:nvSpPr>
        <xdr:cNvPr id="838158" name="Line 224">
          <a:extLst>
            <a:ext uri="{FF2B5EF4-FFF2-40B4-BE49-F238E27FC236}">
              <a16:creationId xmlns:a16="http://schemas.microsoft.com/office/drawing/2014/main" id="{00000000-0008-0000-0600-00000ECA0C00}"/>
            </a:ext>
          </a:extLst>
        </xdr:cNvPr>
        <xdr:cNvSpPr>
          <a:spLocks noChangeShapeType="1"/>
        </xdr:cNvSpPr>
      </xdr:nvSpPr>
      <xdr:spPr bwMode="auto">
        <a:xfrm>
          <a:off x="715137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16</xdr:row>
      <xdr:rowOff>57150</xdr:rowOff>
    </xdr:from>
    <xdr:to>
      <xdr:col>131</xdr:col>
      <xdr:colOff>123825</xdr:colOff>
      <xdr:row>16</xdr:row>
      <xdr:rowOff>57150</xdr:rowOff>
    </xdr:to>
    <xdr:sp macro="" textlink="">
      <xdr:nvSpPr>
        <xdr:cNvPr id="838159" name="Line 225">
          <a:extLst>
            <a:ext uri="{FF2B5EF4-FFF2-40B4-BE49-F238E27FC236}">
              <a16:creationId xmlns:a16="http://schemas.microsoft.com/office/drawing/2014/main" id="{00000000-0008-0000-0600-00000FCA0C00}"/>
            </a:ext>
          </a:extLst>
        </xdr:cNvPr>
        <xdr:cNvSpPr>
          <a:spLocks noChangeShapeType="1"/>
        </xdr:cNvSpPr>
      </xdr:nvSpPr>
      <xdr:spPr bwMode="auto">
        <a:xfrm flipH="1">
          <a:off x="713994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9525</xdr:colOff>
      <xdr:row>19</xdr:row>
      <xdr:rowOff>95250</xdr:rowOff>
    </xdr:from>
    <xdr:to>
      <xdr:col>131</xdr:col>
      <xdr:colOff>114300</xdr:colOff>
      <xdr:row>19</xdr:row>
      <xdr:rowOff>95250</xdr:rowOff>
    </xdr:to>
    <xdr:sp macro="" textlink="">
      <xdr:nvSpPr>
        <xdr:cNvPr id="838160" name="Line 226">
          <a:extLst>
            <a:ext uri="{FF2B5EF4-FFF2-40B4-BE49-F238E27FC236}">
              <a16:creationId xmlns:a16="http://schemas.microsoft.com/office/drawing/2014/main" id="{00000000-0008-0000-0600-000010CA0C00}"/>
            </a:ext>
          </a:extLst>
        </xdr:cNvPr>
        <xdr:cNvSpPr>
          <a:spLocks noChangeShapeType="1"/>
        </xdr:cNvSpPr>
      </xdr:nvSpPr>
      <xdr:spPr bwMode="auto">
        <a:xfrm flipH="1">
          <a:off x="714089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6</xdr:row>
      <xdr:rowOff>76200</xdr:rowOff>
    </xdr:from>
    <xdr:to>
      <xdr:col>131</xdr:col>
      <xdr:colOff>123825</xdr:colOff>
      <xdr:row>7</xdr:row>
      <xdr:rowOff>142875</xdr:rowOff>
    </xdr:to>
    <xdr:sp macro="" textlink="">
      <xdr:nvSpPr>
        <xdr:cNvPr id="838161" name="Line 227">
          <a:extLst>
            <a:ext uri="{FF2B5EF4-FFF2-40B4-BE49-F238E27FC236}">
              <a16:creationId xmlns:a16="http://schemas.microsoft.com/office/drawing/2014/main" id="{00000000-0008-0000-0600-000011CA0C00}"/>
            </a:ext>
          </a:extLst>
        </xdr:cNvPr>
        <xdr:cNvSpPr>
          <a:spLocks noChangeShapeType="1"/>
        </xdr:cNvSpPr>
      </xdr:nvSpPr>
      <xdr:spPr bwMode="auto">
        <a:xfrm>
          <a:off x="715232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6</xdr:row>
      <xdr:rowOff>76200</xdr:rowOff>
    </xdr:from>
    <xdr:to>
      <xdr:col>131</xdr:col>
      <xdr:colOff>123825</xdr:colOff>
      <xdr:row>6</xdr:row>
      <xdr:rowOff>76200</xdr:rowOff>
    </xdr:to>
    <xdr:sp macro="" textlink="">
      <xdr:nvSpPr>
        <xdr:cNvPr id="838162" name="Line 228">
          <a:extLst>
            <a:ext uri="{FF2B5EF4-FFF2-40B4-BE49-F238E27FC236}">
              <a16:creationId xmlns:a16="http://schemas.microsoft.com/office/drawing/2014/main" id="{00000000-0008-0000-0600-000012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7</xdr:row>
      <xdr:rowOff>133350</xdr:rowOff>
    </xdr:from>
    <xdr:to>
      <xdr:col>131</xdr:col>
      <xdr:colOff>123825</xdr:colOff>
      <xdr:row>7</xdr:row>
      <xdr:rowOff>133350</xdr:rowOff>
    </xdr:to>
    <xdr:sp macro="" textlink="">
      <xdr:nvSpPr>
        <xdr:cNvPr id="838163" name="Line 229">
          <a:extLst>
            <a:ext uri="{FF2B5EF4-FFF2-40B4-BE49-F238E27FC236}">
              <a16:creationId xmlns:a16="http://schemas.microsoft.com/office/drawing/2014/main" id="{00000000-0008-0000-0600-000013CA0C00}"/>
            </a:ext>
          </a:extLst>
        </xdr:cNvPr>
        <xdr:cNvSpPr>
          <a:spLocks noChangeShapeType="1"/>
        </xdr:cNvSpPr>
      </xdr:nvSpPr>
      <xdr:spPr bwMode="auto">
        <a:xfrm flipH="1">
          <a:off x="713994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8</xdr:row>
      <xdr:rowOff>76200</xdr:rowOff>
    </xdr:from>
    <xdr:to>
      <xdr:col>131</xdr:col>
      <xdr:colOff>123825</xdr:colOff>
      <xdr:row>9</xdr:row>
      <xdr:rowOff>142875</xdr:rowOff>
    </xdr:to>
    <xdr:sp macro="" textlink="">
      <xdr:nvSpPr>
        <xdr:cNvPr id="838164" name="Line 230">
          <a:extLst>
            <a:ext uri="{FF2B5EF4-FFF2-40B4-BE49-F238E27FC236}">
              <a16:creationId xmlns:a16="http://schemas.microsoft.com/office/drawing/2014/main" id="{00000000-0008-0000-0600-000014CA0C00}"/>
            </a:ext>
          </a:extLst>
        </xdr:cNvPr>
        <xdr:cNvSpPr>
          <a:spLocks noChangeShapeType="1"/>
        </xdr:cNvSpPr>
      </xdr:nvSpPr>
      <xdr:spPr bwMode="auto">
        <a:xfrm>
          <a:off x="715232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8</xdr:row>
      <xdr:rowOff>76200</xdr:rowOff>
    </xdr:from>
    <xdr:to>
      <xdr:col>131</xdr:col>
      <xdr:colOff>123825</xdr:colOff>
      <xdr:row>8</xdr:row>
      <xdr:rowOff>76200</xdr:rowOff>
    </xdr:to>
    <xdr:sp macro="" textlink="">
      <xdr:nvSpPr>
        <xdr:cNvPr id="838165" name="Line 231">
          <a:extLst>
            <a:ext uri="{FF2B5EF4-FFF2-40B4-BE49-F238E27FC236}">
              <a16:creationId xmlns:a16="http://schemas.microsoft.com/office/drawing/2014/main" id="{00000000-0008-0000-0600-000015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9</xdr:row>
      <xdr:rowOff>133350</xdr:rowOff>
    </xdr:from>
    <xdr:to>
      <xdr:col>131</xdr:col>
      <xdr:colOff>123825</xdr:colOff>
      <xdr:row>9</xdr:row>
      <xdr:rowOff>133350</xdr:rowOff>
    </xdr:to>
    <xdr:sp macro="" textlink="">
      <xdr:nvSpPr>
        <xdr:cNvPr id="838166" name="Line 232">
          <a:extLst>
            <a:ext uri="{FF2B5EF4-FFF2-40B4-BE49-F238E27FC236}">
              <a16:creationId xmlns:a16="http://schemas.microsoft.com/office/drawing/2014/main" id="{00000000-0008-0000-0600-000016CA0C00}"/>
            </a:ext>
          </a:extLst>
        </xdr:cNvPr>
        <xdr:cNvSpPr>
          <a:spLocks noChangeShapeType="1"/>
        </xdr:cNvSpPr>
      </xdr:nvSpPr>
      <xdr:spPr bwMode="auto">
        <a:xfrm flipH="1">
          <a:off x="713994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12</xdr:row>
      <xdr:rowOff>76200</xdr:rowOff>
    </xdr:from>
    <xdr:to>
      <xdr:col>131</xdr:col>
      <xdr:colOff>123825</xdr:colOff>
      <xdr:row>13</xdr:row>
      <xdr:rowOff>142875</xdr:rowOff>
    </xdr:to>
    <xdr:sp macro="" textlink="">
      <xdr:nvSpPr>
        <xdr:cNvPr id="838167" name="Line 233">
          <a:extLst>
            <a:ext uri="{FF2B5EF4-FFF2-40B4-BE49-F238E27FC236}">
              <a16:creationId xmlns:a16="http://schemas.microsoft.com/office/drawing/2014/main" id="{00000000-0008-0000-0600-000017CA0C00}"/>
            </a:ext>
          </a:extLst>
        </xdr:cNvPr>
        <xdr:cNvSpPr>
          <a:spLocks noChangeShapeType="1"/>
        </xdr:cNvSpPr>
      </xdr:nvSpPr>
      <xdr:spPr bwMode="auto">
        <a:xfrm>
          <a:off x="715232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12</xdr:row>
      <xdr:rowOff>76200</xdr:rowOff>
    </xdr:from>
    <xdr:to>
      <xdr:col>131</xdr:col>
      <xdr:colOff>123825</xdr:colOff>
      <xdr:row>12</xdr:row>
      <xdr:rowOff>76200</xdr:rowOff>
    </xdr:to>
    <xdr:sp macro="" textlink="">
      <xdr:nvSpPr>
        <xdr:cNvPr id="838168" name="Line 234">
          <a:extLst>
            <a:ext uri="{FF2B5EF4-FFF2-40B4-BE49-F238E27FC236}">
              <a16:creationId xmlns:a16="http://schemas.microsoft.com/office/drawing/2014/main" id="{00000000-0008-0000-0600-000018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13</xdr:row>
      <xdr:rowOff>133350</xdr:rowOff>
    </xdr:from>
    <xdr:to>
      <xdr:col>131</xdr:col>
      <xdr:colOff>123825</xdr:colOff>
      <xdr:row>13</xdr:row>
      <xdr:rowOff>133350</xdr:rowOff>
    </xdr:to>
    <xdr:sp macro="" textlink="">
      <xdr:nvSpPr>
        <xdr:cNvPr id="838169" name="Line 235">
          <a:extLst>
            <a:ext uri="{FF2B5EF4-FFF2-40B4-BE49-F238E27FC236}">
              <a16:creationId xmlns:a16="http://schemas.microsoft.com/office/drawing/2014/main" id="{00000000-0008-0000-0600-000019CA0C00}"/>
            </a:ext>
          </a:extLst>
        </xdr:cNvPr>
        <xdr:cNvSpPr>
          <a:spLocks noChangeShapeType="1"/>
        </xdr:cNvSpPr>
      </xdr:nvSpPr>
      <xdr:spPr bwMode="auto">
        <a:xfrm flipH="1">
          <a:off x="713994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14</xdr:row>
      <xdr:rowOff>76200</xdr:rowOff>
    </xdr:from>
    <xdr:to>
      <xdr:col>131</xdr:col>
      <xdr:colOff>123825</xdr:colOff>
      <xdr:row>15</xdr:row>
      <xdr:rowOff>142875</xdr:rowOff>
    </xdr:to>
    <xdr:sp macro="" textlink="">
      <xdr:nvSpPr>
        <xdr:cNvPr id="838170" name="Line 236">
          <a:extLst>
            <a:ext uri="{FF2B5EF4-FFF2-40B4-BE49-F238E27FC236}">
              <a16:creationId xmlns:a16="http://schemas.microsoft.com/office/drawing/2014/main" id="{00000000-0008-0000-0600-00001ACA0C00}"/>
            </a:ext>
          </a:extLst>
        </xdr:cNvPr>
        <xdr:cNvSpPr>
          <a:spLocks noChangeShapeType="1"/>
        </xdr:cNvSpPr>
      </xdr:nvSpPr>
      <xdr:spPr bwMode="auto">
        <a:xfrm>
          <a:off x="715232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14</xdr:row>
      <xdr:rowOff>76200</xdr:rowOff>
    </xdr:from>
    <xdr:to>
      <xdr:col>131</xdr:col>
      <xdr:colOff>123825</xdr:colOff>
      <xdr:row>14</xdr:row>
      <xdr:rowOff>76200</xdr:rowOff>
    </xdr:to>
    <xdr:sp macro="" textlink="">
      <xdr:nvSpPr>
        <xdr:cNvPr id="838171" name="Line 237">
          <a:extLst>
            <a:ext uri="{FF2B5EF4-FFF2-40B4-BE49-F238E27FC236}">
              <a16:creationId xmlns:a16="http://schemas.microsoft.com/office/drawing/2014/main" id="{00000000-0008-0000-0600-00001B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15</xdr:row>
      <xdr:rowOff>133350</xdr:rowOff>
    </xdr:from>
    <xdr:to>
      <xdr:col>131</xdr:col>
      <xdr:colOff>123825</xdr:colOff>
      <xdr:row>15</xdr:row>
      <xdr:rowOff>133350</xdr:rowOff>
    </xdr:to>
    <xdr:sp macro="" textlink="">
      <xdr:nvSpPr>
        <xdr:cNvPr id="838172" name="Line 238">
          <a:extLst>
            <a:ext uri="{FF2B5EF4-FFF2-40B4-BE49-F238E27FC236}">
              <a16:creationId xmlns:a16="http://schemas.microsoft.com/office/drawing/2014/main" id="{00000000-0008-0000-0600-00001CCA0C00}"/>
            </a:ext>
          </a:extLst>
        </xdr:cNvPr>
        <xdr:cNvSpPr>
          <a:spLocks noChangeShapeType="1"/>
        </xdr:cNvSpPr>
      </xdr:nvSpPr>
      <xdr:spPr bwMode="auto">
        <a:xfrm flipH="1">
          <a:off x="713994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10</xdr:row>
      <xdr:rowOff>76200</xdr:rowOff>
    </xdr:from>
    <xdr:to>
      <xdr:col>131</xdr:col>
      <xdr:colOff>123825</xdr:colOff>
      <xdr:row>11</xdr:row>
      <xdr:rowOff>142875</xdr:rowOff>
    </xdr:to>
    <xdr:sp macro="" textlink="">
      <xdr:nvSpPr>
        <xdr:cNvPr id="838173" name="Line 240">
          <a:extLst>
            <a:ext uri="{FF2B5EF4-FFF2-40B4-BE49-F238E27FC236}">
              <a16:creationId xmlns:a16="http://schemas.microsoft.com/office/drawing/2014/main" id="{00000000-0008-0000-0600-00001DCA0C00}"/>
            </a:ext>
          </a:extLst>
        </xdr:cNvPr>
        <xdr:cNvSpPr>
          <a:spLocks noChangeShapeType="1"/>
        </xdr:cNvSpPr>
      </xdr:nvSpPr>
      <xdr:spPr bwMode="auto">
        <a:xfrm>
          <a:off x="715232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10</xdr:row>
      <xdr:rowOff>76200</xdr:rowOff>
    </xdr:from>
    <xdr:to>
      <xdr:col>131</xdr:col>
      <xdr:colOff>123825</xdr:colOff>
      <xdr:row>10</xdr:row>
      <xdr:rowOff>76200</xdr:rowOff>
    </xdr:to>
    <xdr:sp macro="" textlink="">
      <xdr:nvSpPr>
        <xdr:cNvPr id="838174" name="Line 241">
          <a:extLst>
            <a:ext uri="{FF2B5EF4-FFF2-40B4-BE49-F238E27FC236}">
              <a16:creationId xmlns:a16="http://schemas.microsoft.com/office/drawing/2014/main" id="{00000000-0008-0000-0600-00001ECA0C00}"/>
            </a:ext>
          </a:extLst>
        </xdr:cNvPr>
        <xdr:cNvSpPr>
          <a:spLocks noChangeShapeType="1"/>
        </xdr:cNvSpPr>
      </xdr:nvSpPr>
      <xdr:spPr bwMode="auto">
        <a:xfrm flipH="1" flipV="1">
          <a:off x="713994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11</xdr:row>
      <xdr:rowOff>133350</xdr:rowOff>
    </xdr:from>
    <xdr:to>
      <xdr:col>131</xdr:col>
      <xdr:colOff>123825</xdr:colOff>
      <xdr:row>11</xdr:row>
      <xdr:rowOff>133350</xdr:rowOff>
    </xdr:to>
    <xdr:sp macro="" textlink="">
      <xdr:nvSpPr>
        <xdr:cNvPr id="838175" name="Line 242">
          <a:extLst>
            <a:ext uri="{FF2B5EF4-FFF2-40B4-BE49-F238E27FC236}">
              <a16:creationId xmlns:a16="http://schemas.microsoft.com/office/drawing/2014/main" id="{00000000-0008-0000-0600-00001FCA0C00}"/>
            </a:ext>
          </a:extLst>
        </xdr:cNvPr>
        <xdr:cNvSpPr>
          <a:spLocks noChangeShapeType="1"/>
        </xdr:cNvSpPr>
      </xdr:nvSpPr>
      <xdr:spPr bwMode="auto">
        <a:xfrm flipH="1">
          <a:off x="713994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6</xdr:row>
      <xdr:rowOff>76200</xdr:rowOff>
    </xdr:from>
    <xdr:to>
      <xdr:col>136</xdr:col>
      <xdr:colOff>123825</xdr:colOff>
      <xdr:row>7</xdr:row>
      <xdr:rowOff>142875</xdr:rowOff>
    </xdr:to>
    <xdr:sp macro="" textlink="">
      <xdr:nvSpPr>
        <xdr:cNvPr id="838176" name="Line 216">
          <a:extLst>
            <a:ext uri="{FF2B5EF4-FFF2-40B4-BE49-F238E27FC236}">
              <a16:creationId xmlns:a16="http://schemas.microsoft.com/office/drawing/2014/main" id="{00000000-0008-0000-0600-000020CA0C00}"/>
            </a:ext>
          </a:extLst>
        </xdr:cNvPr>
        <xdr:cNvSpPr>
          <a:spLocks noChangeShapeType="1"/>
        </xdr:cNvSpPr>
      </xdr:nvSpPr>
      <xdr:spPr bwMode="auto">
        <a:xfrm>
          <a:off x="749427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6</xdr:row>
      <xdr:rowOff>76200</xdr:rowOff>
    </xdr:from>
    <xdr:to>
      <xdr:col>136</xdr:col>
      <xdr:colOff>123825</xdr:colOff>
      <xdr:row>6</xdr:row>
      <xdr:rowOff>76200</xdr:rowOff>
    </xdr:to>
    <xdr:sp macro="" textlink="">
      <xdr:nvSpPr>
        <xdr:cNvPr id="838177" name="Line 217">
          <a:extLst>
            <a:ext uri="{FF2B5EF4-FFF2-40B4-BE49-F238E27FC236}">
              <a16:creationId xmlns:a16="http://schemas.microsoft.com/office/drawing/2014/main" id="{00000000-0008-0000-0600-000021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7</xdr:row>
      <xdr:rowOff>133350</xdr:rowOff>
    </xdr:from>
    <xdr:to>
      <xdr:col>136</xdr:col>
      <xdr:colOff>123825</xdr:colOff>
      <xdr:row>7</xdr:row>
      <xdr:rowOff>133350</xdr:rowOff>
    </xdr:to>
    <xdr:sp macro="" textlink="">
      <xdr:nvSpPr>
        <xdr:cNvPr id="838178" name="Line 218">
          <a:extLst>
            <a:ext uri="{FF2B5EF4-FFF2-40B4-BE49-F238E27FC236}">
              <a16:creationId xmlns:a16="http://schemas.microsoft.com/office/drawing/2014/main" id="{00000000-0008-0000-0600-000022CA0C00}"/>
            </a:ext>
          </a:extLst>
        </xdr:cNvPr>
        <xdr:cNvSpPr>
          <a:spLocks noChangeShapeType="1"/>
        </xdr:cNvSpPr>
      </xdr:nvSpPr>
      <xdr:spPr bwMode="auto">
        <a:xfrm flipH="1">
          <a:off x="748188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114300</xdr:colOff>
      <xdr:row>16</xdr:row>
      <xdr:rowOff>66675</xdr:rowOff>
    </xdr:from>
    <xdr:to>
      <xdr:col>136</xdr:col>
      <xdr:colOff>114300</xdr:colOff>
      <xdr:row>19</xdr:row>
      <xdr:rowOff>85725</xdr:rowOff>
    </xdr:to>
    <xdr:sp macro="" textlink="">
      <xdr:nvSpPr>
        <xdr:cNvPr id="838179" name="Line 219">
          <a:extLst>
            <a:ext uri="{FF2B5EF4-FFF2-40B4-BE49-F238E27FC236}">
              <a16:creationId xmlns:a16="http://schemas.microsoft.com/office/drawing/2014/main" id="{00000000-0008-0000-0600-000023CA0C00}"/>
            </a:ext>
          </a:extLst>
        </xdr:cNvPr>
        <xdr:cNvSpPr>
          <a:spLocks noChangeShapeType="1"/>
        </xdr:cNvSpPr>
      </xdr:nvSpPr>
      <xdr:spPr bwMode="auto">
        <a:xfrm>
          <a:off x="749331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16</xdr:row>
      <xdr:rowOff>57150</xdr:rowOff>
    </xdr:from>
    <xdr:to>
      <xdr:col>136</xdr:col>
      <xdr:colOff>123825</xdr:colOff>
      <xdr:row>16</xdr:row>
      <xdr:rowOff>57150</xdr:rowOff>
    </xdr:to>
    <xdr:sp macro="" textlink="">
      <xdr:nvSpPr>
        <xdr:cNvPr id="838180" name="Line 220">
          <a:extLst>
            <a:ext uri="{FF2B5EF4-FFF2-40B4-BE49-F238E27FC236}">
              <a16:creationId xmlns:a16="http://schemas.microsoft.com/office/drawing/2014/main" id="{00000000-0008-0000-0600-000024CA0C00}"/>
            </a:ext>
          </a:extLst>
        </xdr:cNvPr>
        <xdr:cNvSpPr>
          <a:spLocks noChangeShapeType="1"/>
        </xdr:cNvSpPr>
      </xdr:nvSpPr>
      <xdr:spPr bwMode="auto">
        <a:xfrm flipH="1">
          <a:off x="748188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19</xdr:row>
      <xdr:rowOff>95250</xdr:rowOff>
    </xdr:from>
    <xdr:to>
      <xdr:col>136</xdr:col>
      <xdr:colOff>114300</xdr:colOff>
      <xdr:row>19</xdr:row>
      <xdr:rowOff>95250</xdr:rowOff>
    </xdr:to>
    <xdr:sp macro="" textlink="">
      <xdr:nvSpPr>
        <xdr:cNvPr id="838181" name="Line 221">
          <a:extLst>
            <a:ext uri="{FF2B5EF4-FFF2-40B4-BE49-F238E27FC236}">
              <a16:creationId xmlns:a16="http://schemas.microsoft.com/office/drawing/2014/main" id="{00000000-0008-0000-0600-000025CA0C00}"/>
            </a:ext>
          </a:extLst>
        </xdr:cNvPr>
        <xdr:cNvSpPr>
          <a:spLocks noChangeShapeType="1"/>
        </xdr:cNvSpPr>
      </xdr:nvSpPr>
      <xdr:spPr bwMode="auto">
        <a:xfrm flipH="1">
          <a:off x="748284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114300</xdr:colOff>
      <xdr:row>16</xdr:row>
      <xdr:rowOff>66675</xdr:rowOff>
    </xdr:from>
    <xdr:to>
      <xdr:col>136</xdr:col>
      <xdr:colOff>114300</xdr:colOff>
      <xdr:row>19</xdr:row>
      <xdr:rowOff>85725</xdr:rowOff>
    </xdr:to>
    <xdr:sp macro="" textlink="">
      <xdr:nvSpPr>
        <xdr:cNvPr id="838182" name="Line 224">
          <a:extLst>
            <a:ext uri="{FF2B5EF4-FFF2-40B4-BE49-F238E27FC236}">
              <a16:creationId xmlns:a16="http://schemas.microsoft.com/office/drawing/2014/main" id="{00000000-0008-0000-0600-000026CA0C00}"/>
            </a:ext>
          </a:extLst>
        </xdr:cNvPr>
        <xdr:cNvSpPr>
          <a:spLocks noChangeShapeType="1"/>
        </xdr:cNvSpPr>
      </xdr:nvSpPr>
      <xdr:spPr bwMode="auto">
        <a:xfrm>
          <a:off x="749331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16</xdr:row>
      <xdr:rowOff>57150</xdr:rowOff>
    </xdr:from>
    <xdr:to>
      <xdr:col>136</xdr:col>
      <xdr:colOff>123825</xdr:colOff>
      <xdr:row>16</xdr:row>
      <xdr:rowOff>57150</xdr:rowOff>
    </xdr:to>
    <xdr:sp macro="" textlink="">
      <xdr:nvSpPr>
        <xdr:cNvPr id="838183" name="Line 225">
          <a:extLst>
            <a:ext uri="{FF2B5EF4-FFF2-40B4-BE49-F238E27FC236}">
              <a16:creationId xmlns:a16="http://schemas.microsoft.com/office/drawing/2014/main" id="{00000000-0008-0000-0600-000027CA0C00}"/>
            </a:ext>
          </a:extLst>
        </xdr:cNvPr>
        <xdr:cNvSpPr>
          <a:spLocks noChangeShapeType="1"/>
        </xdr:cNvSpPr>
      </xdr:nvSpPr>
      <xdr:spPr bwMode="auto">
        <a:xfrm flipH="1">
          <a:off x="748188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19</xdr:row>
      <xdr:rowOff>95250</xdr:rowOff>
    </xdr:from>
    <xdr:to>
      <xdr:col>136</xdr:col>
      <xdr:colOff>114300</xdr:colOff>
      <xdr:row>19</xdr:row>
      <xdr:rowOff>95250</xdr:rowOff>
    </xdr:to>
    <xdr:sp macro="" textlink="">
      <xdr:nvSpPr>
        <xdr:cNvPr id="838184" name="Line 226">
          <a:extLst>
            <a:ext uri="{FF2B5EF4-FFF2-40B4-BE49-F238E27FC236}">
              <a16:creationId xmlns:a16="http://schemas.microsoft.com/office/drawing/2014/main" id="{00000000-0008-0000-0600-000028CA0C00}"/>
            </a:ext>
          </a:extLst>
        </xdr:cNvPr>
        <xdr:cNvSpPr>
          <a:spLocks noChangeShapeType="1"/>
        </xdr:cNvSpPr>
      </xdr:nvSpPr>
      <xdr:spPr bwMode="auto">
        <a:xfrm flipH="1">
          <a:off x="748284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6</xdr:row>
      <xdr:rowOff>76200</xdr:rowOff>
    </xdr:from>
    <xdr:to>
      <xdr:col>136</xdr:col>
      <xdr:colOff>123825</xdr:colOff>
      <xdr:row>7</xdr:row>
      <xdr:rowOff>142875</xdr:rowOff>
    </xdr:to>
    <xdr:sp macro="" textlink="">
      <xdr:nvSpPr>
        <xdr:cNvPr id="838185" name="Line 227">
          <a:extLst>
            <a:ext uri="{FF2B5EF4-FFF2-40B4-BE49-F238E27FC236}">
              <a16:creationId xmlns:a16="http://schemas.microsoft.com/office/drawing/2014/main" id="{00000000-0008-0000-0600-000029CA0C00}"/>
            </a:ext>
          </a:extLst>
        </xdr:cNvPr>
        <xdr:cNvSpPr>
          <a:spLocks noChangeShapeType="1"/>
        </xdr:cNvSpPr>
      </xdr:nvSpPr>
      <xdr:spPr bwMode="auto">
        <a:xfrm>
          <a:off x="749427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6</xdr:row>
      <xdr:rowOff>76200</xdr:rowOff>
    </xdr:from>
    <xdr:to>
      <xdr:col>136</xdr:col>
      <xdr:colOff>123825</xdr:colOff>
      <xdr:row>6</xdr:row>
      <xdr:rowOff>76200</xdr:rowOff>
    </xdr:to>
    <xdr:sp macro="" textlink="">
      <xdr:nvSpPr>
        <xdr:cNvPr id="838186" name="Line 228">
          <a:extLst>
            <a:ext uri="{FF2B5EF4-FFF2-40B4-BE49-F238E27FC236}">
              <a16:creationId xmlns:a16="http://schemas.microsoft.com/office/drawing/2014/main" id="{00000000-0008-0000-0600-00002A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7</xdr:row>
      <xdr:rowOff>133350</xdr:rowOff>
    </xdr:from>
    <xdr:to>
      <xdr:col>136</xdr:col>
      <xdr:colOff>123825</xdr:colOff>
      <xdr:row>7</xdr:row>
      <xdr:rowOff>133350</xdr:rowOff>
    </xdr:to>
    <xdr:sp macro="" textlink="">
      <xdr:nvSpPr>
        <xdr:cNvPr id="838187" name="Line 229">
          <a:extLst>
            <a:ext uri="{FF2B5EF4-FFF2-40B4-BE49-F238E27FC236}">
              <a16:creationId xmlns:a16="http://schemas.microsoft.com/office/drawing/2014/main" id="{00000000-0008-0000-0600-00002BCA0C00}"/>
            </a:ext>
          </a:extLst>
        </xdr:cNvPr>
        <xdr:cNvSpPr>
          <a:spLocks noChangeShapeType="1"/>
        </xdr:cNvSpPr>
      </xdr:nvSpPr>
      <xdr:spPr bwMode="auto">
        <a:xfrm flipH="1">
          <a:off x="748188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8</xdr:row>
      <xdr:rowOff>76200</xdr:rowOff>
    </xdr:from>
    <xdr:to>
      <xdr:col>136</xdr:col>
      <xdr:colOff>123825</xdr:colOff>
      <xdr:row>9</xdr:row>
      <xdr:rowOff>142875</xdr:rowOff>
    </xdr:to>
    <xdr:sp macro="" textlink="">
      <xdr:nvSpPr>
        <xdr:cNvPr id="838188" name="Line 230">
          <a:extLst>
            <a:ext uri="{FF2B5EF4-FFF2-40B4-BE49-F238E27FC236}">
              <a16:creationId xmlns:a16="http://schemas.microsoft.com/office/drawing/2014/main" id="{00000000-0008-0000-0600-00002CCA0C00}"/>
            </a:ext>
          </a:extLst>
        </xdr:cNvPr>
        <xdr:cNvSpPr>
          <a:spLocks noChangeShapeType="1"/>
        </xdr:cNvSpPr>
      </xdr:nvSpPr>
      <xdr:spPr bwMode="auto">
        <a:xfrm>
          <a:off x="749427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8</xdr:row>
      <xdr:rowOff>76200</xdr:rowOff>
    </xdr:from>
    <xdr:to>
      <xdr:col>136</xdr:col>
      <xdr:colOff>123825</xdr:colOff>
      <xdr:row>8</xdr:row>
      <xdr:rowOff>76200</xdr:rowOff>
    </xdr:to>
    <xdr:sp macro="" textlink="">
      <xdr:nvSpPr>
        <xdr:cNvPr id="838189" name="Line 231">
          <a:extLst>
            <a:ext uri="{FF2B5EF4-FFF2-40B4-BE49-F238E27FC236}">
              <a16:creationId xmlns:a16="http://schemas.microsoft.com/office/drawing/2014/main" id="{00000000-0008-0000-0600-00002D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9</xdr:row>
      <xdr:rowOff>133350</xdr:rowOff>
    </xdr:from>
    <xdr:to>
      <xdr:col>136</xdr:col>
      <xdr:colOff>123825</xdr:colOff>
      <xdr:row>9</xdr:row>
      <xdr:rowOff>133350</xdr:rowOff>
    </xdr:to>
    <xdr:sp macro="" textlink="">
      <xdr:nvSpPr>
        <xdr:cNvPr id="838190" name="Line 232">
          <a:extLst>
            <a:ext uri="{FF2B5EF4-FFF2-40B4-BE49-F238E27FC236}">
              <a16:creationId xmlns:a16="http://schemas.microsoft.com/office/drawing/2014/main" id="{00000000-0008-0000-0600-00002ECA0C00}"/>
            </a:ext>
          </a:extLst>
        </xdr:cNvPr>
        <xdr:cNvSpPr>
          <a:spLocks noChangeShapeType="1"/>
        </xdr:cNvSpPr>
      </xdr:nvSpPr>
      <xdr:spPr bwMode="auto">
        <a:xfrm flipH="1">
          <a:off x="748188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12</xdr:row>
      <xdr:rowOff>76200</xdr:rowOff>
    </xdr:from>
    <xdr:to>
      <xdr:col>136</xdr:col>
      <xdr:colOff>123825</xdr:colOff>
      <xdr:row>13</xdr:row>
      <xdr:rowOff>142875</xdr:rowOff>
    </xdr:to>
    <xdr:sp macro="" textlink="">
      <xdr:nvSpPr>
        <xdr:cNvPr id="838191" name="Line 233">
          <a:extLst>
            <a:ext uri="{FF2B5EF4-FFF2-40B4-BE49-F238E27FC236}">
              <a16:creationId xmlns:a16="http://schemas.microsoft.com/office/drawing/2014/main" id="{00000000-0008-0000-0600-00002FCA0C00}"/>
            </a:ext>
          </a:extLst>
        </xdr:cNvPr>
        <xdr:cNvSpPr>
          <a:spLocks noChangeShapeType="1"/>
        </xdr:cNvSpPr>
      </xdr:nvSpPr>
      <xdr:spPr bwMode="auto">
        <a:xfrm>
          <a:off x="749427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12</xdr:row>
      <xdr:rowOff>76200</xdr:rowOff>
    </xdr:from>
    <xdr:to>
      <xdr:col>136</xdr:col>
      <xdr:colOff>123825</xdr:colOff>
      <xdr:row>12</xdr:row>
      <xdr:rowOff>76200</xdr:rowOff>
    </xdr:to>
    <xdr:sp macro="" textlink="">
      <xdr:nvSpPr>
        <xdr:cNvPr id="838192" name="Line 234">
          <a:extLst>
            <a:ext uri="{FF2B5EF4-FFF2-40B4-BE49-F238E27FC236}">
              <a16:creationId xmlns:a16="http://schemas.microsoft.com/office/drawing/2014/main" id="{00000000-0008-0000-0600-000030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13</xdr:row>
      <xdr:rowOff>133350</xdr:rowOff>
    </xdr:from>
    <xdr:to>
      <xdr:col>136</xdr:col>
      <xdr:colOff>123825</xdr:colOff>
      <xdr:row>13</xdr:row>
      <xdr:rowOff>133350</xdr:rowOff>
    </xdr:to>
    <xdr:sp macro="" textlink="">
      <xdr:nvSpPr>
        <xdr:cNvPr id="838193" name="Line 235">
          <a:extLst>
            <a:ext uri="{FF2B5EF4-FFF2-40B4-BE49-F238E27FC236}">
              <a16:creationId xmlns:a16="http://schemas.microsoft.com/office/drawing/2014/main" id="{00000000-0008-0000-0600-000031CA0C00}"/>
            </a:ext>
          </a:extLst>
        </xdr:cNvPr>
        <xdr:cNvSpPr>
          <a:spLocks noChangeShapeType="1"/>
        </xdr:cNvSpPr>
      </xdr:nvSpPr>
      <xdr:spPr bwMode="auto">
        <a:xfrm flipH="1">
          <a:off x="748188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14</xdr:row>
      <xdr:rowOff>76200</xdr:rowOff>
    </xdr:from>
    <xdr:to>
      <xdr:col>136</xdr:col>
      <xdr:colOff>123825</xdr:colOff>
      <xdr:row>15</xdr:row>
      <xdr:rowOff>142875</xdr:rowOff>
    </xdr:to>
    <xdr:sp macro="" textlink="">
      <xdr:nvSpPr>
        <xdr:cNvPr id="838194" name="Line 236">
          <a:extLst>
            <a:ext uri="{FF2B5EF4-FFF2-40B4-BE49-F238E27FC236}">
              <a16:creationId xmlns:a16="http://schemas.microsoft.com/office/drawing/2014/main" id="{00000000-0008-0000-0600-000032CA0C00}"/>
            </a:ext>
          </a:extLst>
        </xdr:cNvPr>
        <xdr:cNvSpPr>
          <a:spLocks noChangeShapeType="1"/>
        </xdr:cNvSpPr>
      </xdr:nvSpPr>
      <xdr:spPr bwMode="auto">
        <a:xfrm>
          <a:off x="749427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14</xdr:row>
      <xdr:rowOff>76200</xdr:rowOff>
    </xdr:from>
    <xdr:to>
      <xdr:col>136</xdr:col>
      <xdr:colOff>123825</xdr:colOff>
      <xdr:row>14</xdr:row>
      <xdr:rowOff>76200</xdr:rowOff>
    </xdr:to>
    <xdr:sp macro="" textlink="">
      <xdr:nvSpPr>
        <xdr:cNvPr id="838195" name="Line 237">
          <a:extLst>
            <a:ext uri="{FF2B5EF4-FFF2-40B4-BE49-F238E27FC236}">
              <a16:creationId xmlns:a16="http://schemas.microsoft.com/office/drawing/2014/main" id="{00000000-0008-0000-0600-000033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15</xdr:row>
      <xdr:rowOff>133350</xdr:rowOff>
    </xdr:from>
    <xdr:to>
      <xdr:col>136</xdr:col>
      <xdr:colOff>123825</xdr:colOff>
      <xdr:row>15</xdr:row>
      <xdr:rowOff>133350</xdr:rowOff>
    </xdr:to>
    <xdr:sp macro="" textlink="">
      <xdr:nvSpPr>
        <xdr:cNvPr id="838196" name="Line 238">
          <a:extLst>
            <a:ext uri="{FF2B5EF4-FFF2-40B4-BE49-F238E27FC236}">
              <a16:creationId xmlns:a16="http://schemas.microsoft.com/office/drawing/2014/main" id="{00000000-0008-0000-0600-000034CA0C00}"/>
            </a:ext>
          </a:extLst>
        </xdr:cNvPr>
        <xdr:cNvSpPr>
          <a:spLocks noChangeShapeType="1"/>
        </xdr:cNvSpPr>
      </xdr:nvSpPr>
      <xdr:spPr bwMode="auto">
        <a:xfrm flipH="1">
          <a:off x="748188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10</xdr:row>
      <xdr:rowOff>76200</xdr:rowOff>
    </xdr:from>
    <xdr:to>
      <xdr:col>136</xdr:col>
      <xdr:colOff>123825</xdr:colOff>
      <xdr:row>11</xdr:row>
      <xdr:rowOff>142875</xdr:rowOff>
    </xdr:to>
    <xdr:sp macro="" textlink="">
      <xdr:nvSpPr>
        <xdr:cNvPr id="838197" name="Line 240">
          <a:extLst>
            <a:ext uri="{FF2B5EF4-FFF2-40B4-BE49-F238E27FC236}">
              <a16:creationId xmlns:a16="http://schemas.microsoft.com/office/drawing/2014/main" id="{00000000-0008-0000-0600-000035CA0C00}"/>
            </a:ext>
          </a:extLst>
        </xdr:cNvPr>
        <xdr:cNvSpPr>
          <a:spLocks noChangeShapeType="1"/>
        </xdr:cNvSpPr>
      </xdr:nvSpPr>
      <xdr:spPr bwMode="auto">
        <a:xfrm>
          <a:off x="749427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10</xdr:row>
      <xdr:rowOff>76200</xdr:rowOff>
    </xdr:from>
    <xdr:to>
      <xdr:col>136</xdr:col>
      <xdr:colOff>123825</xdr:colOff>
      <xdr:row>10</xdr:row>
      <xdr:rowOff>76200</xdr:rowOff>
    </xdr:to>
    <xdr:sp macro="" textlink="">
      <xdr:nvSpPr>
        <xdr:cNvPr id="838198" name="Line 241">
          <a:extLst>
            <a:ext uri="{FF2B5EF4-FFF2-40B4-BE49-F238E27FC236}">
              <a16:creationId xmlns:a16="http://schemas.microsoft.com/office/drawing/2014/main" id="{00000000-0008-0000-0600-000036CA0C00}"/>
            </a:ext>
          </a:extLst>
        </xdr:cNvPr>
        <xdr:cNvSpPr>
          <a:spLocks noChangeShapeType="1"/>
        </xdr:cNvSpPr>
      </xdr:nvSpPr>
      <xdr:spPr bwMode="auto">
        <a:xfrm flipH="1" flipV="1">
          <a:off x="748188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11</xdr:row>
      <xdr:rowOff>133350</xdr:rowOff>
    </xdr:from>
    <xdr:to>
      <xdr:col>136</xdr:col>
      <xdr:colOff>123825</xdr:colOff>
      <xdr:row>11</xdr:row>
      <xdr:rowOff>133350</xdr:rowOff>
    </xdr:to>
    <xdr:sp macro="" textlink="">
      <xdr:nvSpPr>
        <xdr:cNvPr id="838199" name="Line 242">
          <a:extLst>
            <a:ext uri="{FF2B5EF4-FFF2-40B4-BE49-F238E27FC236}">
              <a16:creationId xmlns:a16="http://schemas.microsoft.com/office/drawing/2014/main" id="{00000000-0008-0000-0600-000037CA0C00}"/>
            </a:ext>
          </a:extLst>
        </xdr:cNvPr>
        <xdr:cNvSpPr>
          <a:spLocks noChangeShapeType="1"/>
        </xdr:cNvSpPr>
      </xdr:nvSpPr>
      <xdr:spPr bwMode="auto">
        <a:xfrm flipH="1">
          <a:off x="748188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6</xdr:row>
      <xdr:rowOff>76200</xdr:rowOff>
    </xdr:from>
    <xdr:to>
      <xdr:col>141</xdr:col>
      <xdr:colOff>123825</xdr:colOff>
      <xdr:row>7</xdr:row>
      <xdr:rowOff>142875</xdr:rowOff>
    </xdr:to>
    <xdr:sp macro="" textlink="">
      <xdr:nvSpPr>
        <xdr:cNvPr id="838200" name="Line 216">
          <a:extLst>
            <a:ext uri="{FF2B5EF4-FFF2-40B4-BE49-F238E27FC236}">
              <a16:creationId xmlns:a16="http://schemas.microsoft.com/office/drawing/2014/main" id="{00000000-0008-0000-0600-000038CA0C00}"/>
            </a:ext>
          </a:extLst>
        </xdr:cNvPr>
        <xdr:cNvSpPr>
          <a:spLocks noChangeShapeType="1"/>
        </xdr:cNvSpPr>
      </xdr:nvSpPr>
      <xdr:spPr bwMode="auto">
        <a:xfrm>
          <a:off x="7845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6</xdr:row>
      <xdr:rowOff>76200</xdr:rowOff>
    </xdr:from>
    <xdr:to>
      <xdr:col>141</xdr:col>
      <xdr:colOff>123825</xdr:colOff>
      <xdr:row>6</xdr:row>
      <xdr:rowOff>76200</xdr:rowOff>
    </xdr:to>
    <xdr:sp macro="" textlink="">
      <xdr:nvSpPr>
        <xdr:cNvPr id="838201" name="Line 217">
          <a:extLst>
            <a:ext uri="{FF2B5EF4-FFF2-40B4-BE49-F238E27FC236}">
              <a16:creationId xmlns:a16="http://schemas.microsoft.com/office/drawing/2014/main" id="{00000000-0008-0000-0600-000039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7</xdr:row>
      <xdr:rowOff>133350</xdr:rowOff>
    </xdr:from>
    <xdr:to>
      <xdr:col>141</xdr:col>
      <xdr:colOff>123825</xdr:colOff>
      <xdr:row>7</xdr:row>
      <xdr:rowOff>133350</xdr:rowOff>
    </xdr:to>
    <xdr:sp macro="" textlink="">
      <xdr:nvSpPr>
        <xdr:cNvPr id="838202" name="Line 218">
          <a:extLst>
            <a:ext uri="{FF2B5EF4-FFF2-40B4-BE49-F238E27FC236}">
              <a16:creationId xmlns:a16="http://schemas.microsoft.com/office/drawing/2014/main" id="{00000000-0008-0000-0600-00003ACA0C00}"/>
            </a:ext>
          </a:extLst>
        </xdr:cNvPr>
        <xdr:cNvSpPr>
          <a:spLocks noChangeShapeType="1"/>
        </xdr:cNvSpPr>
      </xdr:nvSpPr>
      <xdr:spPr bwMode="auto">
        <a:xfrm flipH="1">
          <a:off x="7833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114300</xdr:colOff>
      <xdr:row>16</xdr:row>
      <xdr:rowOff>66675</xdr:rowOff>
    </xdr:from>
    <xdr:to>
      <xdr:col>141</xdr:col>
      <xdr:colOff>114300</xdr:colOff>
      <xdr:row>19</xdr:row>
      <xdr:rowOff>85725</xdr:rowOff>
    </xdr:to>
    <xdr:sp macro="" textlink="">
      <xdr:nvSpPr>
        <xdr:cNvPr id="838203" name="Line 219">
          <a:extLst>
            <a:ext uri="{FF2B5EF4-FFF2-40B4-BE49-F238E27FC236}">
              <a16:creationId xmlns:a16="http://schemas.microsoft.com/office/drawing/2014/main" id="{00000000-0008-0000-0600-00003BCA0C00}"/>
            </a:ext>
          </a:extLst>
        </xdr:cNvPr>
        <xdr:cNvSpPr>
          <a:spLocks noChangeShapeType="1"/>
        </xdr:cNvSpPr>
      </xdr:nvSpPr>
      <xdr:spPr bwMode="auto">
        <a:xfrm>
          <a:off x="7844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16</xdr:row>
      <xdr:rowOff>57150</xdr:rowOff>
    </xdr:from>
    <xdr:to>
      <xdr:col>141</xdr:col>
      <xdr:colOff>123825</xdr:colOff>
      <xdr:row>16</xdr:row>
      <xdr:rowOff>57150</xdr:rowOff>
    </xdr:to>
    <xdr:sp macro="" textlink="">
      <xdr:nvSpPr>
        <xdr:cNvPr id="838204" name="Line 220">
          <a:extLst>
            <a:ext uri="{FF2B5EF4-FFF2-40B4-BE49-F238E27FC236}">
              <a16:creationId xmlns:a16="http://schemas.microsoft.com/office/drawing/2014/main" id="{00000000-0008-0000-0600-00003CCA0C00}"/>
            </a:ext>
          </a:extLst>
        </xdr:cNvPr>
        <xdr:cNvSpPr>
          <a:spLocks noChangeShapeType="1"/>
        </xdr:cNvSpPr>
      </xdr:nvSpPr>
      <xdr:spPr bwMode="auto">
        <a:xfrm flipH="1">
          <a:off x="7833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9525</xdr:colOff>
      <xdr:row>19</xdr:row>
      <xdr:rowOff>95250</xdr:rowOff>
    </xdr:from>
    <xdr:to>
      <xdr:col>141</xdr:col>
      <xdr:colOff>114300</xdr:colOff>
      <xdr:row>19</xdr:row>
      <xdr:rowOff>95250</xdr:rowOff>
    </xdr:to>
    <xdr:sp macro="" textlink="">
      <xdr:nvSpPr>
        <xdr:cNvPr id="838205" name="Line 221">
          <a:extLst>
            <a:ext uri="{FF2B5EF4-FFF2-40B4-BE49-F238E27FC236}">
              <a16:creationId xmlns:a16="http://schemas.microsoft.com/office/drawing/2014/main" id="{00000000-0008-0000-0600-00003DCA0C00}"/>
            </a:ext>
          </a:extLst>
        </xdr:cNvPr>
        <xdr:cNvSpPr>
          <a:spLocks noChangeShapeType="1"/>
        </xdr:cNvSpPr>
      </xdr:nvSpPr>
      <xdr:spPr bwMode="auto">
        <a:xfrm flipH="1">
          <a:off x="7834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114300</xdr:colOff>
      <xdr:row>16</xdr:row>
      <xdr:rowOff>66675</xdr:rowOff>
    </xdr:from>
    <xdr:to>
      <xdr:col>141</xdr:col>
      <xdr:colOff>114300</xdr:colOff>
      <xdr:row>19</xdr:row>
      <xdr:rowOff>85725</xdr:rowOff>
    </xdr:to>
    <xdr:sp macro="" textlink="">
      <xdr:nvSpPr>
        <xdr:cNvPr id="838206" name="Line 224">
          <a:extLst>
            <a:ext uri="{FF2B5EF4-FFF2-40B4-BE49-F238E27FC236}">
              <a16:creationId xmlns:a16="http://schemas.microsoft.com/office/drawing/2014/main" id="{00000000-0008-0000-0600-00003ECA0C00}"/>
            </a:ext>
          </a:extLst>
        </xdr:cNvPr>
        <xdr:cNvSpPr>
          <a:spLocks noChangeShapeType="1"/>
        </xdr:cNvSpPr>
      </xdr:nvSpPr>
      <xdr:spPr bwMode="auto">
        <a:xfrm>
          <a:off x="7844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16</xdr:row>
      <xdr:rowOff>57150</xdr:rowOff>
    </xdr:from>
    <xdr:to>
      <xdr:col>141</xdr:col>
      <xdr:colOff>123825</xdr:colOff>
      <xdr:row>16</xdr:row>
      <xdr:rowOff>57150</xdr:rowOff>
    </xdr:to>
    <xdr:sp macro="" textlink="">
      <xdr:nvSpPr>
        <xdr:cNvPr id="838207" name="Line 225">
          <a:extLst>
            <a:ext uri="{FF2B5EF4-FFF2-40B4-BE49-F238E27FC236}">
              <a16:creationId xmlns:a16="http://schemas.microsoft.com/office/drawing/2014/main" id="{00000000-0008-0000-0600-00003FCA0C00}"/>
            </a:ext>
          </a:extLst>
        </xdr:cNvPr>
        <xdr:cNvSpPr>
          <a:spLocks noChangeShapeType="1"/>
        </xdr:cNvSpPr>
      </xdr:nvSpPr>
      <xdr:spPr bwMode="auto">
        <a:xfrm flipH="1">
          <a:off x="7833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9525</xdr:colOff>
      <xdr:row>19</xdr:row>
      <xdr:rowOff>95250</xdr:rowOff>
    </xdr:from>
    <xdr:to>
      <xdr:col>141</xdr:col>
      <xdr:colOff>114300</xdr:colOff>
      <xdr:row>19</xdr:row>
      <xdr:rowOff>95250</xdr:rowOff>
    </xdr:to>
    <xdr:sp macro="" textlink="">
      <xdr:nvSpPr>
        <xdr:cNvPr id="838208" name="Line 226">
          <a:extLst>
            <a:ext uri="{FF2B5EF4-FFF2-40B4-BE49-F238E27FC236}">
              <a16:creationId xmlns:a16="http://schemas.microsoft.com/office/drawing/2014/main" id="{00000000-0008-0000-0600-000040CA0C00}"/>
            </a:ext>
          </a:extLst>
        </xdr:cNvPr>
        <xdr:cNvSpPr>
          <a:spLocks noChangeShapeType="1"/>
        </xdr:cNvSpPr>
      </xdr:nvSpPr>
      <xdr:spPr bwMode="auto">
        <a:xfrm flipH="1">
          <a:off x="7834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6</xdr:row>
      <xdr:rowOff>76200</xdr:rowOff>
    </xdr:from>
    <xdr:to>
      <xdr:col>141</xdr:col>
      <xdr:colOff>123825</xdr:colOff>
      <xdr:row>7</xdr:row>
      <xdr:rowOff>142875</xdr:rowOff>
    </xdr:to>
    <xdr:sp macro="" textlink="">
      <xdr:nvSpPr>
        <xdr:cNvPr id="838209" name="Line 227">
          <a:extLst>
            <a:ext uri="{FF2B5EF4-FFF2-40B4-BE49-F238E27FC236}">
              <a16:creationId xmlns:a16="http://schemas.microsoft.com/office/drawing/2014/main" id="{00000000-0008-0000-0600-000041CA0C00}"/>
            </a:ext>
          </a:extLst>
        </xdr:cNvPr>
        <xdr:cNvSpPr>
          <a:spLocks noChangeShapeType="1"/>
        </xdr:cNvSpPr>
      </xdr:nvSpPr>
      <xdr:spPr bwMode="auto">
        <a:xfrm>
          <a:off x="7845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6</xdr:row>
      <xdr:rowOff>76200</xdr:rowOff>
    </xdr:from>
    <xdr:to>
      <xdr:col>141</xdr:col>
      <xdr:colOff>123825</xdr:colOff>
      <xdr:row>6</xdr:row>
      <xdr:rowOff>76200</xdr:rowOff>
    </xdr:to>
    <xdr:sp macro="" textlink="">
      <xdr:nvSpPr>
        <xdr:cNvPr id="838210" name="Line 228">
          <a:extLst>
            <a:ext uri="{FF2B5EF4-FFF2-40B4-BE49-F238E27FC236}">
              <a16:creationId xmlns:a16="http://schemas.microsoft.com/office/drawing/2014/main" id="{00000000-0008-0000-0600-000042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7</xdr:row>
      <xdr:rowOff>133350</xdr:rowOff>
    </xdr:from>
    <xdr:to>
      <xdr:col>141</xdr:col>
      <xdr:colOff>123825</xdr:colOff>
      <xdr:row>7</xdr:row>
      <xdr:rowOff>133350</xdr:rowOff>
    </xdr:to>
    <xdr:sp macro="" textlink="">
      <xdr:nvSpPr>
        <xdr:cNvPr id="838211" name="Line 229">
          <a:extLst>
            <a:ext uri="{FF2B5EF4-FFF2-40B4-BE49-F238E27FC236}">
              <a16:creationId xmlns:a16="http://schemas.microsoft.com/office/drawing/2014/main" id="{00000000-0008-0000-0600-000043CA0C00}"/>
            </a:ext>
          </a:extLst>
        </xdr:cNvPr>
        <xdr:cNvSpPr>
          <a:spLocks noChangeShapeType="1"/>
        </xdr:cNvSpPr>
      </xdr:nvSpPr>
      <xdr:spPr bwMode="auto">
        <a:xfrm flipH="1">
          <a:off x="7833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8</xdr:row>
      <xdr:rowOff>76200</xdr:rowOff>
    </xdr:from>
    <xdr:to>
      <xdr:col>141</xdr:col>
      <xdr:colOff>123825</xdr:colOff>
      <xdr:row>9</xdr:row>
      <xdr:rowOff>142875</xdr:rowOff>
    </xdr:to>
    <xdr:sp macro="" textlink="">
      <xdr:nvSpPr>
        <xdr:cNvPr id="838212" name="Line 230">
          <a:extLst>
            <a:ext uri="{FF2B5EF4-FFF2-40B4-BE49-F238E27FC236}">
              <a16:creationId xmlns:a16="http://schemas.microsoft.com/office/drawing/2014/main" id="{00000000-0008-0000-0600-000044CA0C00}"/>
            </a:ext>
          </a:extLst>
        </xdr:cNvPr>
        <xdr:cNvSpPr>
          <a:spLocks noChangeShapeType="1"/>
        </xdr:cNvSpPr>
      </xdr:nvSpPr>
      <xdr:spPr bwMode="auto">
        <a:xfrm>
          <a:off x="7845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8</xdr:row>
      <xdr:rowOff>76200</xdr:rowOff>
    </xdr:from>
    <xdr:to>
      <xdr:col>141</xdr:col>
      <xdr:colOff>123825</xdr:colOff>
      <xdr:row>8</xdr:row>
      <xdr:rowOff>76200</xdr:rowOff>
    </xdr:to>
    <xdr:sp macro="" textlink="">
      <xdr:nvSpPr>
        <xdr:cNvPr id="838213" name="Line 231">
          <a:extLst>
            <a:ext uri="{FF2B5EF4-FFF2-40B4-BE49-F238E27FC236}">
              <a16:creationId xmlns:a16="http://schemas.microsoft.com/office/drawing/2014/main" id="{00000000-0008-0000-0600-000045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9</xdr:row>
      <xdr:rowOff>133350</xdr:rowOff>
    </xdr:from>
    <xdr:to>
      <xdr:col>141</xdr:col>
      <xdr:colOff>123825</xdr:colOff>
      <xdr:row>9</xdr:row>
      <xdr:rowOff>133350</xdr:rowOff>
    </xdr:to>
    <xdr:sp macro="" textlink="">
      <xdr:nvSpPr>
        <xdr:cNvPr id="838214" name="Line 232">
          <a:extLst>
            <a:ext uri="{FF2B5EF4-FFF2-40B4-BE49-F238E27FC236}">
              <a16:creationId xmlns:a16="http://schemas.microsoft.com/office/drawing/2014/main" id="{00000000-0008-0000-0600-000046CA0C00}"/>
            </a:ext>
          </a:extLst>
        </xdr:cNvPr>
        <xdr:cNvSpPr>
          <a:spLocks noChangeShapeType="1"/>
        </xdr:cNvSpPr>
      </xdr:nvSpPr>
      <xdr:spPr bwMode="auto">
        <a:xfrm flipH="1">
          <a:off x="7833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12</xdr:row>
      <xdr:rowOff>76200</xdr:rowOff>
    </xdr:from>
    <xdr:to>
      <xdr:col>141</xdr:col>
      <xdr:colOff>123825</xdr:colOff>
      <xdr:row>13</xdr:row>
      <xdr:rowOff>142875</xdr:rowOff>
    </xdr:to>
    <xdr:sp macro="" textlink="">
      <xdr:nvSpPr>
        <xdr:cNvPr id="838215" name="Line 233">
          <a:extLst>
            <a:ext uri="{FF2B5EF4-FFF2-40B4-BE49-F238E27FC236}">
              <a16:creationId xmlns:a16="http://schemas.microsoft.com/office/drawing/2014/main" id="{00000000-0008-0000-0600-000047CA0C00}"/>
            </a:ext>
          </a:extLst>
        </xdr:cNvPr>
        <xdr:cNvSpPr>
          <a:spLocks noChangeShapeType="1"/>
        </xdr:cNvSpPr>
      </xdr:nvSpPr>
      <xdr:spPr bwMode="auto">
        <a:xfrm>
          <a:off x="7845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12</xdr:row>
      <xdr:rowOff>76200</xdr:rowOff>
    </xdr:from>
    <xdr:to>
      <xdr:col>141</xdr:col>
      <xdr:colOff>123825</xdr:colOff>
      <xdr:row>12</xdr:row>
      <xdr:rowOff>76200</xdr:rowOff>
    </xdr:to>
    <xdr:sp macro="" textlink="">
      <xdr:nvSpPr>
        <xdr:cNvPr id="838216" name="Line 234">
          <a:extLst>
            <a:ext uri="{FF2B5EF4-FFF2-40B4-BE49-F238E27FC236}">
              <a16:creationId xmlns:a16="http://schemas.microsoft.com/office/drawing/2014/main" id="{00000000-0008-0000-0600-000048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13</xdr:row>
      <xdr:rowOff>133350</xdr:rowOff>
    </xdr:from>
    <xdr:to>
      <xdr:col>141</xdr:col>
      <xdr:colOff>123825</xdr:colOff>
      <xdr:row>13</xdr:row>
      <xdr:rowOff>133350</xdr:rowOff>
    </xdr:to>
    <xdr:sp macro="" textlink="">
      <xdr:nvSpPr>
        <xdr:cNvPr id="838217" name="Line 235">
          <a:extLst>
            <a:ext uri="{FF2B5EF4-FFF2-40B4-BE49-F238E27FC236}">
              <a16:creationId xmlns:a16="http://schemas.microsoft.com/office/drawing/2014/main" id="{00000000-0008-0000-0600-000049CA0C00}"/>
            </a:ext>
          </a:extLst>
        </xdr:cNvPr>
        <xdr:cNvSpPr>
          <a:spLocks noChangeShapeType="1"/>
        </xdr:cNvSpPr>
      </xdr:nvSpPr>
      <xdr:spPr bwMode="auto">
        <a:xfrm flipH="1">
          <a:off x="7833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14</xdr:row>
      <xdr:rowOff>76200</xdr:rowOff>
    </xdr:from>
    <xdr:to>
      <xdr:col>141</xdr:col>
      <xdr:colOff>123825</xdr:colOff>
      <xdr:row>15</xdr:row>
      <xdr:rowOff>142875</xdr:rowOff>
    </xdr:to>
    <xdr:sp macro="" textlink="">
      <xdr:nvSpPr>
        <xdr:cNvPr id="838218" name="Line 236">
          <a:extLst>
            <a:ext uri="{FF2B5EF4-FFF2-40B4-BE49-F238E27FC236}">
              <a16:creationId xmlns:a16="http://schemas.microsoft.com/office/drawing/2014/main" id="{00000000-0008-0000-0600-00004ACA0C00}"/>
            </a:ext>
          </a:extLst>
        </xdr:cNvPr>
        <xdr:cNvSpPr>
          <a:spLocks noChangeShapeType="1"/>
        </xdr:cNvSpPr>
      </xdr:nvSpPr>
      <xdr:spPr bwMode="auto">
        <a:xfrm>
          <a:off x="7845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14</xdr:row>
      <xdr:rowOff>76200</xdr:rowOff>
    </xdr:from>
    <xdr:to>
      <xdr:col>141</xdr:col>
      <xdr:colOff>123825</xdr:colOff>
      <xdr:row>14</xdr:row>
      <xdr:rowOff>76200</xdr:rowOff>
    </xdr:to>
    <xdr:sp macro="" textlink="">
      <xdr:nvSpPr>
        <xdr:cNvPr id="838219" name="Line 237">
          <a:extLst>
            <a:ext uri="{FF2B5EF4-FFF2-40B4-BE49-F238E27FC236}">
              <a16:creationId xmlns:a16="http://schemas.microsoft.com/office/drawing/2014/main" id="{00000000-0008-0000-0600-00004B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15</xdr:row>
      <xdr:rowOff>133350</xdr:rowOff>
    </xdr:from>
    <xdr:to>
      <xdr:col>141</xdr:col>
      <xdr:colOff>123825</xdr:colOff>
      <xdr:row>15</xdr:row>
      <xdr:rowOff>133350</xdr:rowOff>
    </xdr:to>
    <xdr:sp macro="" textlink="">
      <xdr:nvSpPr>
        <xdr:cNvPr id="838220" name="Line 238">
          <a:extLst>
            <a:ext uri="{FF2B5EF4-FFF2-40B4-BE49-F238E27FC236}">
              <a16:creationId xmlns:a16="http://schemas.microsoft.com/office/drawing/2014/main" id="{00000000-0008-0000-0600-00004CCA0C00}"/>
            </a:ext>
          </a:extLst>
        </xdr:cNvPr>
        <xdr:cNvSpPr>
          <a:spLocks noChangeShapeType="1"/>
        </xdr:cNvSpPr>
      </xdr:nvSpPr>
      <xdr:spPr bwMode="auto">
        <a:xfrm flipH="1">
          <a:off x="7833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10</xdr:row>
      <xdr:rowOff>76200</xdr:rowOff>
    </xdr:from>
    <xdr:to>
      <xdr:col>141</xdr:col>
      <xdr:colOff>123825</xdr:colOff>
      <xdr:row>11</xdr:row>
      <xdr:rowOff>142875</xdr:rowOff>
    </xdr:to>
    <xdr:sp macro="" textlink="">
      <xdr:nvSpPr>
        <xdr:cNvPr id="838221" name="Line 240">
          <a:extLst>
            <a:ext uri="{FF2B5EF4-FFF2-40B4-BE49-F238E27FC236}">
              <a16:creationId xmlns:a16="http://schemas.microsoft.com/office/drawing/2014/main" id="{00000000-0008-0000-0600-00004DCA0C00}"/>
            </a:ext>
          </a:extLst>
        </xdr:cNvPr>
        <xdr:cNvSpPr>
          <a:spLocks noChangeShapeType="1"/>
        </xdr:cNvSpPr>
      </xdr:nvSpPr>
      <xdr:spPr bwMode="auto">
        <a:xfrm>
          <a:off x="7845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10</xdr:row>
      <xdr:rowOff>76200</xdr:rowOff>
    </xdr:from>
    <xdr:to>
      <xdr:col>141</xdr:col>
      <xdr:colOff>123825</xdr:colOff>
      <xdr:row>10</xdr:row>
      <xdr:rowOff>76200</xdr:rowOff>
    </xdr:to>
    <xdr:sp macro="" textlink="">
      <xdr:nvSpPr>
        <xdr:cNvPr id="838222" name="Line 241">
          <a:extLst>
            <a:ext uri="{FF2B5EF4-FFF2-40B4-BE49-F238E27FC236}">
              <a16:creationId xmlns:a16="http://schemas.microsoft.com/office/drawing/2014/main" id="{00000000-0008-0000-0600-00004ECA0C00}"/>
            </a:ext>
          </a:extLst>
        </xdr:cNvPr>
        <xdr:cNvSpPr>
          <a:spLocks noChangeShapeType="1"/>
        </xdr:cNvSpPr>
      </xdr:nvSpPr>
      <xdr:spPr bwMode="auto">
        <a:xfrm flipH="1" flipV="1">
          <a:off x="7833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11</xdr:row>
      <xdr:rowOff>133350</xdr:rowOff>
    </xdr:from>
    <xdr:to>
      <xdr:col>141</xdr:col>
      <xdr:colOff>123825</xdr:colOff>
      <xdr:row>11</xdr:row>
      <xdr:rowOff>133350</xdr:rowOff>
    </xdr:to>
    <xdr:sp macro="" textlink="">
      <xdr:nvSpPr>
        <xdr:cNvPr id="838223" name="Line 242">
          <a:extLst>
            <a:ext uri="{FF2B5EF4-FFF2-40B4-BE49-F238E27FC236}">
              <a16:creationId xmlns:a16="http://schemas.microsoft.com/office/drawing/2014/main" id="{00000000-0008-0000-0600-00004FCA0C00}"/>
            </a:ext>
          </a:extLst>
        </xdr:cNvPr>
        <xdr:cNvSpPr>
          <a:spLocks noChangeShapeType="1"/>
        </xdr:cNvSpPr>
      </xdr:nvSpPr>
      <xdr:spPr bwMode="auto">
        <a:xfrm flipH="1">
          <a:off x="7833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6</xdr:row>
      <xdr:rowOff>76200</xdr:rowOff>
    </xdr:from>
    <xdr:to>
      <xdr:col>146</xdr:col>
      <xdr:colOff>123825</xdr:colOff>
      <xdr:row>7</xdr:row>
      <xdr:rowOff>142875</xdr:rowOff>
    </xdr:to>
    <xdr:sp macro="" textlink="">
      <xdr:nvSpPr>
        <xdr:cNvPr id="838224" name="Line 216">
          <a:extLst>
            <a:ext uri="{FF2B5EF4-FFF2-40B4-BE49-F238E27FC236}">
              <a16:creationId xmlns:a16="http://schemas.microsoft.com/office/drawing/2014/main" id="{00000000-0008-0000-0600-000050CA0C00}"/>
            </a:ext>
          </a:extLst>
        </xdr:cNvPr>
        <xdr:cNvSpPr>
          <a:spLocks noChangeShapeType="1"/>
        </xdr:cNvSpPr>
      </xdr:nvSpPr>
      <xdr:spPr bwMode="auto">
        <a:xfrm>
          <a:off x="81819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76200</xdr:rowOff>
    </xdr:from>
    <xdr:to>
      <xdr:col>146</xdr:col>
      <xdr:colOff>123825</xdr:colOff>
      <xdr:row>6</xdr:row>
      <xdr:rowOff>76200</xdr:rowOff>
    </xdr:to>
    <xdr:sp macro="" textlink="">
      <xdr:nvSpPr>
        <xdr:cNvPr id="838225" name="Line 217">
          <a:extLst>
            <a:ext uri="{FF2B5EF4-FFF2-40B4-BE49-F238E27FC236}">
              <a16:creationId xmlns:a16="http://schemas.microsoft.com/office/drawing/2014/main" id="{00000000-0008-0000-0600-000051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7</xdr:row>
      <xdr:rowOff>133350</xdr:rowOff>
    </xdr:from>
    <xdr:to>
      <xdr:col>146</xdr:col>
      <xdr:colOff>123825</xdr:colOff>
      <xdr:row>7</xdr:row>
      <xdr:rowOff>133350</xdr:rowOff>
    </xdr:to>
    <xdr:sp macro="" textlink="">
      <xdr:nvSpPr>
        <xdr:cNvPr id="838226" name="Line 218">
          <a:extLst>
            <a:ext uri="{FF2B5EF4-FFF2-40B4-BE49-F238E27FC236}">
              <a16:creationId xmlns:a16="http://schemas.microsoft.com/office/drawing/2014/main" id="{00000000-0008-0000-0600-000052CA0C00}"/>
            </a:ext>
          </a:extLst>
        </xdr:cNvPr>
        <xdr:cNvSpPr>
          <a:spLocks noChangeShapeType="1"/>
        </xdr:cNvSpPr>
      </xdr:nvSpPr>
      <xdr:spPr bwMode="auto">
        <a:xfrm flipH="1">
          <a:off x="81695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114300</xdr:colOff>
      <xdr:row>16</xdr:row>
      <xdr:rowOff>66675</xdr:rowOff>
    </xdr:from>
    <xdr:to>
      <xdr:col>146</xdr:col>
      <xdr:colOff>114300</xdr:colOff>
      <xdr:row>19</xdr:row>
      <xdr:rowOff>85725</xdr:rowOff>
    </xdr:to>
    <xdr:sp macro="" textlink="">
      <xdr:nvSpPr>
        <xdr:cNvPr id="838227" name="Line 219">
          <a:extLst>
            <a:ext uri="{FF2B5EF4-FFF2-40B4-BE49-F238E27FC236}">
              <a16:creationId xmlns:a16="http://schemas.microsoft.com/office/drawing/2014/main" id="{00000000-0008-0000-0600-000053CA0C00}"/>
            </a:ext>
          </a:extLst>
        </xdr:cNvPr>
        <xdr:cNvSpPr>
          <a:spLocks noChangeShapeType="1"/>
        </xdr:cNvSpPr>
      </xdr:nvSpPr>
      <xdr:spPr bwMode="auto">
        <a:xfrm>
          <a:off x="81810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16</xdr:row>
      <xdr:rowOff>57150</xdr:rowOff>
    </xdr:from>
    <xdr:to>
      <xdr:col>146</xdr:col>
      <xdr:colOff>123825</xdr:colOff>
      <xdr:row>16</xdr:row>
      <xdr:rowOff>57150</xdr:rowOff>
    </xdr:to>
    <xdr:sp macro="" textlink="">
      <xdr:nvSpPr>
        <xdr:cNvPr id="838228" name="Line 220">
          <a:extLst>
            <a:ext uri="{FF2B5EF4-FFF2-40B4-BE49-F238E27FC236}">
              <a16:creationId xmlns:a16="http://schemas.microsoft.com/office/drawing/2014/main" id="{00000000-0008-0000-0600-000054CA0C00}"/>
            </a:ext>
          </a:extLst>
        </xdr:cNvPr>
        <xdr:cNvSpPr>
          <a:spLocks noChangeShapeType="1"/>
        </xdr:cNvSpPr>
      </xdr:nvSpPr>
      <xdr:spPr bwMode="auto">
        <a:xfrm flipH="1">
          <a:off x="81695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9525</xdr:colOff>
      <xdr:row>19</xdr:row>
      <xdr:rowOff>95250</xdr:rowOff>
    </xdr:from>
    <xdr:to>
      <xdr:col>146</xdr:col>
      <xdr:colOff>114300</xdr:colOff>
      <xdr:row>19</xdr:row>
      <xdr:rowOff>95250</xdr:rowOff>
    </xdr:to>
    <xdr:sp macro="" textlink="">
      <xdr:nvSpPr>
        <xdr:cNvPr id="838229" name="Line 221">
          <a:extLst>
            <a:ext uri="{FF2B5EF4-FFF2-40B4-BE49-F238E27FC236}">
              <a16:creationId xmlns:a16="http://schemas.microsoft.com/office/drawing/2014/main" id="{00000000-0008-0000-0600-000055CA0C00}"/>
            </a:ext>
          </a:extLst>
        </xdr:cNvPr>
        <xdr:cNvSpPr>
          <a:spLocks noChangeShapeType="1"/>
        </xdr:cNvSpPr>
      </xdr:nvSpPr>
      <xdr:spPr bwMode="auto">
        <a:xfrm flipH="1">
          <a:off x="81705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114300</xdr:colOff>
      <xdr:row>16</xdr:row>
      <xdr:rowOff>66675</xdr:rowOff>
    </xdr:from>
    <xdr:to>
      <xdr:col>146</xdr:col>
      <xdr:colOff>114300</xdr:colOff>
      <xdr:row>19</xdr:row>
      <xdr:rowOff>85725</xdr:rowOff>
    </xdr:to>
    <xdr:sp macro="" textlink="">
      <xdr:nvSpPr>
        <xdr:cNvPr id="838230" name="Line 224">
          <a:extLst>
            <a:ext uri="{FF2B5EF4-FFF2-40B4-BE49-F238E27FC236}">
              <a16:creationId xmlns:a16="http://schemas.microsoft.com/office/drawing/2014/main" id="{00000000-0008-0000-0600-000056CA0C00}"/>
            </a:ext>
          </a:extLst>
        </xdr:cNvPr>
        <xdr:cNvSpPr>
          <a:spLocks noChangeShapeType="1"/>
        </xdr:cNvSpPr>
      </xdr:nvSpPr>
      <xdr:spPr bwMode="auto">
        <a:xfrm>
          <a:off x="81810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16</xdr:row>
      <xdr:rowOff>57150</xdr:rowOff>
    </xdr:from>
    <xdr:to>
      <xdr:col>146</xdr:col>
      <xdr:colOff>123825</xdr:colOff>
      <xdr:row>16</xdr:row>
      <xdr:rowOff>57150</xdr:rowOff>
    </xdr:to>
    <xdr:sp macro="" textlink="">
      <xdr:nvSpPr>
        <xdr:cNvPr id="838231" name="Line 225">
          <a:extLst>
            <a:ext uri="{FF2B5EF4-FFF2-40B4-BE49-F238E27FC236}">
              <a16:creationId xmlns:a16="http://schemas.microsoft.com/office/drawing/2014/main" id="{00000000-0008-0000-0600-000057CA0C00}"/>
            </a:ext>
          </a:extLst>
        </xdr:cNvPr>
        <xdr:cNvSpPr>
          <a:spLocks noChangeShapeType="1"/>
        </xdr:cNvSpPr>
      </xdr:nvSpPr>
      <xdr:spPr bwMode="auto">
        <a:xfrm flipH="1">
          <a:off x="81695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9525</xdr:colOff>
      <xdr:row>19</xdr:row>
      <xdr:rowOff>95250</xdr:rowOff>
    </xdr:from>
    <xdr:to>
      <xdr:col>146</xdr:col>
      <xdr:colOff>114300</xdr:colOff>
      <xdr:row>19</xdr:row>
      <xdr:rowOff>95250</xdr:rowOff>
    </xdr:to>
    <xdr:sp macro="" textlink="">
      <xdr:nvSpPr>
        <xdr:cNvPr id="838232" name="Line 226">
          <a:extLst>
            <a:ext uri="{FF2B5EF4-FFF2-40B4-BE49-F238E27FC236}">
              <a16:creationId xmlns:a16="http://schemas.microsoft.com/office/drawing/2014/main" id="{00000000-0008-0000-0600-000058CA0C00}"/>
            </a:ext>
          </a:extLst>
        </xdr:cNvPr>
        <xdr:cNvSpPr>
          <a:spLocks noChangeShapeType="1"/>
        </xdr:cNvSpPr>
      </xdr:nvSpPr>
      <xdr:spPr bwMode="auto">
        <a:xfrm flipH="1">
          <a:off x="81705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6</xdr:row>
      <xdr:rowOff>76200</xdr:rowOff>
    </xdr:from>
    <xdr:to>
      <xdr:col>146</xdr:col>
      <xdr:colOff>123825</xdr:colOff>
      <xdr:row>7</xdr:row>
      <xdr:rowOff>142875</xdr:rowOff>
    </xdr:to>
    <xdr:sp macro="" textlink="">
      <xdr:nvSpPr>
        <xdr:cNvPr id="838233" name="Line 227">
          <a:extLst>
            <a:ext uri="{FF2B5EF4-FFF2-40B4-BE49-F238E27FC236}">
              <a16:creationId xmlns:a16="http://schemas.microsoft.com/office/drawing/2014/main" id="{00000000-0008-0000-0600-000059CA0C00}"/>
            </a:ext>
          </a:extLst>
        </xdr:cNvPr>
        <xdr:cNvSpPr>
          <a:spLocks noChangeShapeType="1"/>
        </xdr:cNvSpPr>
      </xdr:nvSpPr>
      <xdr:spPr bwMode="auto">
        <a:xfrm>
          <a:off x="81819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76200</xdr:rowOff>
    </xdr:from>
    <xdr:to>
      <xdr:col>146</xdr:col>
      <xdr:colOff>123825</xdr:colOff>
      <xdr:row>6</xdr:row>
      <xdr:rowOff>76200</xdr:rowOff>
    </xdr:to>
    <xdr:sp macro="" textlink="">
      <xdr:nvSpPr>
        <xdr:cNvPr id="838234" name="Line 228">
          <a:extLst>
            <a:ext uri="{FF2B5EF4-FFF2-40B4-BE49-F238E27FC236}">
              <a16:creationId xmlns:a16="http://schemas.microsoft.com/office/drawing/2014/main" id="{00000000-0008-0000-0600-00005A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7</xdr:row>
      <xdr:rowOff>133350</xdr:rowOff>
    </xdr:from>
    <xdr:to>
      <xdr:col>146</xdr:col>
      <xdr:colOff>123825</xdr:colOff>
      <xdr:row>7</xdr:row>
      <xdr:rowOff>133350</xdr:rowOff>
    </xdr:to>
    <xdr:sp macro="" textlink="">
      <xdr:nvSpPr>
        <xdr:cNvPr id="838235" name="Line 229">
          <a:extLst>
            <a:ext uri="{FF2B5EF4-FFF2-40B4-BE49-F238E27FC236}">
              <a16:creationId xmlns:a16="http://schemas.microsoft.com/office/drawing/2014/main" id="{00000000-0008-0000-0600-00005BCA0C00}"/>
            </a:ext>
          </a:extLst>
        </xdr:cNvPr>
        <xdr:cNvSpPr>
          <a:spLocks noChangeShapeType="1"/>
        </xdr:cNvSpPr>
      </xdr:nvSpPr>
      <xdr:spPr bwMode="auto">
        <a:xfrm flipH="1">
          <a:off x="81695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8</xdr:row>
      <xdr:rowOff>76200</xdr:rowOff>
    </xdr:from>
    <xdr:to>
      <xdr:col>146</xdr:col>
      <xdr:colOff>123825</xdr:colOff>
      <xdr:row>9</xdr:row>
      <xdr:rowOff>142875</xdr:rowOff>
    </xdr:to>
    <xdr:sp macro="" textlink="">
      <xdr:nvSpPr>
        <xdr:cNvPr id="838236" name="Line 230">
          <a:extLst>
            <a:ext uri="{FF2B5EF4-FFF2-40B4-BE49-F238E27FC236}">
              <a16:creationId xmlns:a16="http://schemas.microsoft.com/office/drawing/2014/main" id="{00000000-0008-0000-0600-00005CCA0C00}"/>
            </a:ext>
          </a:extLst>
        </xdr:cNvPr>
        <xdr:cNvSpPr>
          <a:spLocks noChangeShapeType="1"/>
        </xdr:cNvSpPr>
      </xdr:nvSpPr>
      <xdr:spPr bwMode="auto">
        <a:xfrm>
          <a:off x="81819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8</xdr:row>
      <xdr:rowOff>76200</xdr:rowOff>
    </xdr:from>
    <xdr:to>
      <xdr:col>146</xdr:col>
      <xdr:colOff>123825</xdr:colOff>
      <xdr:row>8</xdr:row>
      <xdr:rowOff>76200</xdr:rowOff>
    </xdr:to>
    <xdr:sp macro="" textlink="">
      <xdr:nvSpPr>
        <xdr:cNvPr id="838237" name="Line 231">
          <a:extLst>
            <a:ext uri="{FF2B5EF4-FFF2-40B4-BE49-F238E27FC236}">
              <a16:creationId xmlns:a16="http://schemas.microsoft.com/office/drawing/2014/main" id="{00000000-0008-0000-0600-00005D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9</xdr:row>
      <xdr:rowOff>133350</xdr:rowOff>
    </xdr:from>
    <xdr:to>
      <xdr:col>146</xdr:col>
      <xdr:colOff>123825</xdr:colOff>
      <xdr:row>9</xdr:row>
      <xdr:rowOff>133350</xdr:rowOff>
    </xdr:to>
    <xdr:sp macro="" textlink="">
      <xdr:nvSpPr>
        <xdr:cNvPr id="838238" name="Line 232">
          <a:extLst>
            <a:ext uri="{FF2B5EF4-FFF2-40B4-BE49-F238E27FC236}">
              <a16:creationId xmlns:a16="http://schemas.microsoft.com/office/drawing/2014/main" id="{00000000-0008-0000-0600-00005ECA0C00}"/>
            </a:ext>
          </a:extLst>
        </xdr:cNvPr>
        <xdr:cNvSpPr>
          <a:spLocks noChangeShapeType="1"/>
        </xdr:cNvSpPr>
      </xdr:nvSpPr>
      <xdr:spPr bwMode="auto">
        <a:xfrm flipH="1">
          <a:off x="81695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12</xdr:row>
      <xdr:rowOff>76200</xdr:rowOff>
    </xdr:from>
    <xdr:to>
      <xdr:col>146</xdr:col>
      <xdr:colOff>123825</xdr:colOff>
      <xdr:row>13</xdr:row>
      <xdr:rowOff>142875</xdr:rowOff>
    </xdr:to>
    <xdr:sp macro="" textlink="">
      <xdr:nvSpPr>
        <xdr:cNvPr id="838239" name="Line 233">
          <a:extLst>
            <a:ext uri="{FF2B5EF4-FFF2-40B4-BE49-F238E27FC236}">
              <a16:creationId xmlns:a16="http://schemas.microsoft.com/office/drawing/2014/main" id="{00000000-0008-0000-0600-00005FCA0C00}"/>
            </a:ext>
          </a:extLst>
        </xdr:cNvPr>
        <xdr:cNvSpPr>
          <a:spLocks noChangeShapeType="1"/>
        </xdr:cNvSpPr>
      </xdr:nvSpPr>
      <xdr:spPr bwMode="auto">
        <a:xfrm>
          <a:off x="81819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12</xdr:row>
      <xdr:rowOff>76200</xdr:rowOff>
    </xdr:from>
    <xdr:to>
      <xdr:col>146</xdr:col>
      <xdr:colOff>123825</xdr:colOff>
      <xdr:row>12</xdr:row>
      <xdr:rowOff>76200</xdr:rowOff>
    </xdr:to>
    <xdr:sp macro="" textlink="">
      <xdr:nvSpPr>
        <xdr:cNvPr id="838240" name="Line 234">
          <a:extLst>
            <a:ext uri="{FF2B5EF4-FFF2-40B4-BE49-F238E27FC236}">
              <a16:creationId xmlns:a16="http://schemas.microsoft.com/office/drawing/2014/main" id="{00000000-0008-0000-0600-000060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13</xdr:row>
      <xdr:rowOff>133350</xdr:rowOff>
    </xdr:from>
    <xdr:to>
      <xdr:col>146</xdr:col>
      <xdr:colOff>123825</xdr:colOff>
      <xdr:row>13</xdr:row>
      <xdr:rowOff>133350</xdr:rowOff>
    </xdr:to>
    <xdr:sp macro="" textlink="">
      <xdr:nvSpPr>
        <xdr:cNvPr id="838241" name="Line 235">
          <a:extLst>
            <a:ext uri="{FF2B5EF4-FFF2-40B4-BE49-F238E27FC236}">
              <a16:creationId xmlns:a16="http://schemas.microsoft.com/office/drawing/2014/main" id="{00000000-0008-0000-0600-000061CA0C00}"/>
            </a:ext>
          </a:extLst>
        </xdr:cNvPr>
        <xdr:cNvSpPr>
          <a:spLocks noChangeShapeType="1"/>
        </xdr:cNvSpPr>
      </xdr:nvSpPr>
      <xdr:spPr bwMode="auto">
        <a:xfrm flipH="1">
          <a:off x="81695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14</xdr:row>
      <xdr:rowOff>76200</xdr:rowOff>
    </xdr:from>
    <xdr:to>
      <xdr:col>146</xdr:col>
      <xdr:colOff>123825</xdr:colOff>
      <xdr:row>15</xdr:row>
      <xdr:rowOff>142875</xdr:rowOff>
    </xdr:to>
    <xdr:sp macro="" textlink="">
      <xdr:nvSpPr>
        <xdr:cNvPr id="838242" name="Line 236">
          <a:extLst>
            <a:ext uri="{FF2B5EF4-FFF2-40B4-BE49-F238E27FC236}">
              <a16:creationId xmlns:a16="http://schemas.microsoft.com/office/drawing/2014/main" id="{00000000-0008-0000-0600-000062CA0C00}"/>
            </a:ext>
          </a:extLst>
        </xdr:cNvPr>
        <xdr:cNvSpPr>
          <a:spLocks noChangeShapeType="1"/>
        </xdr:cNvSpPr>
      </xdr:nvSpPr>
      <xdr:spPr bwMode="auto">
        <a:xfrm>
          <a:off x="81819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14</xdr:row>
      <xdr:rowOff>76200</xdr:rowOff>
    </xdr:from>
    <xdr:to>
      <xdr:col>146</xdr:col>
      <xdr:colOff>123825</xdr:colOff>
      <xdr:row>14</xdr:row>
      <xdr:rowOff>76200</xdr:rowOff>
    </xdr:to>
    <xdr:sp macro="" textlink="">
      <xdr:nvSpPr>
        <xdr:cNvPr id="838243" name="Line 237">
          <a:extLst>
            <a:ext uri="{FF2B5EF4-FFF2-40B4-BE49-F238E27FC236}">
              <a16:creationId xmlns:a16="http://schemas.microsoft.com/office/drawing/2014/main" id="{00000000-0008-0000-0600-000063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15</xdr:row>
      <xdr:rowOff>133350</xdr:rowOff>
    </xdr:from>
    <xdr:to>
      <xdr:col>146</xdr:col>
      <xdr:colOff>123825</xdr:colOff>
      <xdr:row>15</xdr:row>
      <xdr:rowOff>133350</xdr:rowOff>
    </xdr:to>
    <xdr:sp macro="" textlink="">
      <xdr:nvSpPr>
        <xdr:cNvPr id="838244" name="Line 238">
          <a:extLst>
            <a:ext uri="{FF2B5EF4-FFF2-40B4-BE49-F238E27FC236}">
              <a16:creationId xmlns:a16="http://schemas.microsoft.com/office/drawing/2014/main" id="{00000000-0008-0000-0600-000064CA0C00}"/>
            </a:ext>
          </a:extLst>
        </xdr:cNvPr>
        <xdr:cNvSpPr>
          <a:spLocks noChangeShapeType="1"/>
        </xdr:cNvSpPr>
      </xdr:nvSpPr>
      <xdr:spPr bwMode="auto">
        <a:xfrm flipH="1">
          <a:off x="81695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10</xdr:row>
      <xdr:rowOff>76200</xdr:rowOff>
    </xdr:from>
    <xdr:to>
      <xdr:col>146</xdr:col>
      <xdr:colOff>123825</xdr:colOff>
      <xdr:row>11</xdr:row>
      <xdr:rowOff>142875</xdr:rowOff>
    </xdr:to>
    <xdr:sp macro="" textlink="">
      <xdr:nvSpPr>
        <xdr:cNvPr id="838245" name="Line 240">
          <a:extLst>
            <a:ext uri="{FF2B5EF4-FFF2-40B4-BE49-F238E27FC236}">
              <a16:creationId xmlns:a16="http://schemas.microsoft.com/office/drawing/2014/main" id="{00000000-0008-0000-0600-000065CA0C00}"/>
            </a:ext>
          </a:extLst>
        </xdr:cNvPr>
        <xdr:cNvSpPr>
          <a:spLocks noChangeShapeType="1"/>
        </xdr:cNvSpPr>
      </xdr:nvSpPr>
      <xdr:spPr bwMode="auto">
        <a:xfrm>
          <a:off x="81819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10</xdr:row>
      <xdr:rowOff>76200</xdr:rowOff>
    </xdr:from>
    <xdr:to>
      <xdr:col>146</xdr:col>
      <xdr:colOff>123825</xdr:colOff>
      <xdr:row>10</xdr:row>
      <xdr:rowOff>76200</xdr:rowOff>
    </xdr:to>
    <xdr:sp macro="" textlink="">
      <xdr:nvSpPr>
        <xdr:cNvPr id="838246" name="Line 241">
          <a:extLst>
            <a:ext uri="{FF2B5EF4-FFF2-40B4-BE49-F238E27FC236}">
              <a16:creationId xmlns:a16="http://schemas.microsoft.com/office/drawing/2014/main" id="{00000000-0008-0000-0600-000066CA0C00}"/>
            </a:ext>
          </a:extLst>
        </xdr:cNvPr>
        <xdr:cNvSpPr>
          <a:spLocks noChangeShapeType="1"/>
        </xdr:cNvSpPr>
      </xdr:nvSpPr>
      <xdr:spPr bwMode="auto">
        <a:xfrm flipH="1" flipV="1">
          <a:off x="81695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11</xdr:row>
      <xdr:rowOff>133350</xdr:rowOff>
    </xdr:from>
    <xdr:to>
      <xdr:col>146</xdr:col>
      <xdr:colOff>123825</xdr:colOff>
      <xdr:row>11</xdr:row>
      <xdr:rowOff>133350</xdr:rowOff>
    </xdr:to>
    <xdr:sp macro="" textlink="">
      <xdr:nvSpPr>
        <xdr:cNvPr id="838247" name="Line 242">
          <a:extLst>
            <a:ext uri="{FF2B5EF4-FFF2-40B4-BE49-F238E27FC236}">
              <a16:creationId xmlns:a16="http://schemas.microsoft.com/office/drawing/2014/main" id="{00000000-0008-0000-0600-000067CA0C00}"/>
            </a:ext>
          </a:extLst>
        </xdr:cNvPr>
        <xdr:cNvSpPr>
          <a:spLocks noChangeShapeType="1"/>
        </xdr:cNvSpPr>
      </xdr:nvSpPr>
      <xdr:spPr bwMode="auto">
        <a:xfrm flipH="1">
          <a:off x="81695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6</xdr:row>
      <xdr:rowOff>76200</xdr:rowOff>
    </xdr:from>
    <xdr:to>
      <xdr:col>151</xdr:col>
      <xdr:colOff>123825</xdr:colOff>
      <xdr:row>7</xdr:row>
      <xdr:rowOff>142875</xdr:rowOff>
    </xdr:to>
    <xdr:sp macro="" textlink="">
      <xdr:nvSpPr>
        <xdr:cNvPr id="980" name="Line 216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>
          <a:spLocks noChangeShapeType="1"/>
        </xdr:cNvSpPr>
      </xdr:nvSpPr>
      <xdr:spPr bwMode="auto">
        <a:xfrm>
          <a:off x="81993105" y="108966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76200</xdr:rowOff>
    </xdr:from>
    <xdr:to>
      <xdr:col>151</xdr:col>
      <xdr:colOff>123825</xdr:colOff>
      <xdr:row>6</xdr:row>
      <xdr:rowOff>76200</xdr:rowOff>
    </xdr:to>
    <xdr:sp macro="" textlink="">
      <xdr:nvSpPr>
        <xdr:cNvPr id="981" name="Line 217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1089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7</xdr:row>
      <xdr:rowOff>133350</xdr:rowOff>
    </xdr:from>
    <xdr:to>
      <xdr:col>151</xdr:col>
      <xdr:colOff>123825</xdr:colOff>
      <xdr:row>7</xdr:row>
      <xdr:rowOff>133350</xdr:rowOff>
    </xdr:to>
    <xdr:sp macro="" textlink="">
      <xdr:nvSpPr>
        <xdr:cNvPr id="982" name="Line 218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>
          <a:spLocks noChangeShapeType="1"/>
        </xdr:cNvSpPr>
      </xdr:nvSpPr>
      <xdr:spPr bwMode="auto">
        <a:xfrm flipH="1">
          <a:off x="81869280" y="12915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114300</xdr:colOff>
      <xdr:row>16</xdr:row>
      <xdr:rowOff>66675</xdr:rowOff>
    </xdr:from>
    <xdr:to>
      <xdr:col>151</xdr:col>
      <xdr:colOff>114300</xdr:colOff>
      <xdr:row>19</xdr:row>
      <xdr:rowOff>85725</xdr:rowOff>
    </xdr:to>
    <xdr:sp macro="" textlink="">
      <xdr:nvSpPr>
        <xdr:cNvPr id="983" name="Line 219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>
          <a:spLocks noChangeShapeType="1"/>
        </xdr:cNvSpPr>
      </xdr:nvSpPr>
      <xdr:spPr bwMode="auto">
        <a:xfrm>
          <a:off x="81983580" y="2527935"/>
          <a:ext cx="0" cy="453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16</xdr:row>
      <xdr:rowOff>57150</xdr:rowOff>
    </xdr:from>
    <xdr:to>
      <xdr:col>151</xdr:col>
      <xdr:colOff>123825</xdr:colOff>
      <xdr:row>16</xdr:row>
      <xdr:rowOff>57150</xdr:rowOff>
    </xdr:to>
    <xdr:sp macro="" textlink="">
      <xdr:nvSpPr>
        <xdr:cNvPr id="984" name="Line 220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>
          <a:spLocks noChangeShapeType="1"/>
        </xdr:cNvSpPr>
      </xdr:nvSpPr>
      <xdr:spPr bwMode="auto">
        <a:xfrm flipH="1">
          <a:off x="81869280" y="25184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9525</xdr:colOff>
      <xdr:row>19</xdr:row>
      <xdr:rowOff>95250</xdr:rowOff>
    </xdr:from>
    <xdr:to>
      <xdr:col>151</xdr:col>
      <xdr:colOff>114300</xdr:colOff>
      <xdr:row>19</xdr:row>
      <xdr:rowOff>95250</xdr:rowOff>
    </xdr:to>
    <xdr:sp macro="" textlink="">
      <xdr:nvSpPr>
        <xdr:cNvPr id="985" name="Line 221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>
          <a:spLocks noChangeShapeType="1"/>
        </xdr:cNvSpPr>
      </xdr:nvSpPr>
      <xdr:spPr bwMode="auto">
        <a:xfrm flipH="1">
          <a:off x="81878805" y="2990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114300</xdr:colOff>
      <xdr:row>16</xdr:row>
      <xdr:rowOff>66675</xdr:rowOff>
    </xdr:from>
    <xdr:to>
      <xdr:col>151</xdr:col>
      <xdr:colOff>114300</xdr:colOff>
      <xdr:row>19</xdr:row>
      <xdr:rowOff>85725</xdr:rowOff>
    </xdr:to>
    <xdr:sp macro="" textlink="">
      <xdr:nvSpPr>
        <xdr:cNvPr id="986" name="Line 224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>
          <a:spLocks noChangeShapeType="1"/>
        </xdr:cNvSpPr>
      </xdr:nvSpPr>
      <xdr:spPr bwMode="auto">
        <a:xfrm>
          <a:off x="81983580" y="2527935"/>
          <a:ext cx="0" cy="453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16</xdr:row>
      <xdr:rowOff>57150</xdr:rowOff>
    </xdr:from>
    <xdr:to>
      <xdr:col>151</xdr:col>
      <xdr:colOff>123825</xdr:colOff>
      <xdr:row>16</xdr:row>
      <xdr:rowOff>57150</xdr:rowOff>
    </xdr:to>
    <xdr:sp macro="" textlink="">
      <xdr:nvSpPr>
        <xdr:cNvPr id="987" name="Line 225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>
          <a:spLocks noChangeShapeType="1"/>
        </xdr:cNvSpPr>
      </xdr:nvSpPr>
      <xdr:spPr bwMode="auto">
        <a:xfrm flipH="1">
          <a:off x="81869280" y="25184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9525</xdr:colOff>
      <xdr:row>19</xdr:row>
      <xdr:rowOff>95250</xdr:rowOff>
    </xdr:from>
    <xdr:to>
      <xdr:col>151</xdr:col>
      <xdr:colOff>114300</xdr:colOff>
      <xdr:row>19</xdr:row>
      <xdr:rowOff>95250</xdr:rowOff>
    </xdr:to>
    <xdr:sp macro="" textlink="">
      <xdr:nvSpPr>
        <xdr:cNvPr id="988" name="Line 226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>
          <a:spLocks noChangeShapeType="1"/>
        </xdr:cNvSpPr>
      </xdr:nvSpPr>
      <xdr:spPr bwMode="auto">
        <a:xfrm flipH="1">
          <a:off x="81878805" y="2990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6</xdr:row>
      <xdr:rowOff>76200</xdr:rowOff>
    </xdr:from>
    <xdr:to>
      <xdr:col>151</xdr:col>
      <xdr:colOff>123825</xdr:colOff>
      <xdr:row>7</xdr:row>
      <xdr:rowOff>142875</xdr:rowOff>
    </xdr:to>
    <xdr:sp macro="" textlink="">
      <xdr:nvSpPr>
        <xdr:cNvPr id="989" name="Line 227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>
          <a:spLocks noChangeShapeType="1"/>
        </xdr:cNvSpPr>
      </xdr:nvSpPr>
      <xdr:spPr bwMode="auto">
        <a:xfrm>
          <a:off x="81993105" y="108966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76200</xdr:rowOff>
    </xdr:from>
    <xdr:to>
      <xdr:col>151</xdr:col>
      <xdr:colOff>123825</xdr:colOff>
      <xdr:row>6</xdr:row>
      <xdr:rowOff>76200</xdr:rowOff>
    </xdr:to>
    <xdr:sp macro="" textlink="">
      <xdr:nvSpPr>
        <xdr:cNvPr id="990" name="Line 228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1089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7</xdr:row>
      <xdr:rowOff>133350</xdr:rowOff>
    </xdr:from>
    <xdr:to>
      <xdr:col>151</xdr:col>
      <xdr:colOff>123825</xdr:colOff>
      <xdr:row>7</xdr:row>
      <xdr:rowOff>133350</xdr:rowOff>
    </xdr:to>
    <xdr:sp macro="" textlink="">
      <xdr:nvSpPr>
        <xdr:cNvPr id="991" name="Line 229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>
          <a:spLocks noChangeShapeType="1"/>
        </xdr:cNvSpPr>
      </xdr:nvSpPr>
      <xdr:spPr bwMode="auto">
        <a:xfrm flipH="1">
          <a:off x="81869280" y="12915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8</xdr:row>
      <xdr:rowOff>76200</xdr:rowOff>
    </xdr:from>
    <xdr:to>
      <xdr:col>151</xdr:col>
      <xdr:colOff>123825</xdr:colOff>
      <xdr:row>9</xdr:row>
      <xdr:rowOff>142875</xdr:rowOff>
    </xdr:to>
    <xdr:sp macro="" textlink="">
      <xdr:nvSpPr>
        <xdr:cNvPr id="992" name="Line 230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>
          <a:spLocks noChangeShapeType="1"/>
        </xdr:cNvSpPr>
      </xdr:nvSpPr>
      <xdr:spPr bwMode="auto">
        <a:xfrm>
          <a:off x="81993105" y="137922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8</xdr:row>
      <xdr:rowOff>76200</xdr:rowOff>
    </xdr:from>
    <xdr:to>
      <xdr:col>151</xdr:col>
      <xdr:colOff>123825</xdr:colOff>
      <xdr:row>8</xdr:row>
      <xdr:rowOff>76200</xdr:rowOff>
    </xdr:to>
    <xdr:sp macro="" textlink="">
      <xdr:nvSpPr>
        <xdr:cNvPr id="993" name="Line 231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137922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9</xdr:row>
      <xdr:rowOff>133350</xdr:rowOff>
    </xdr:from>
    <xdr:to>
      <xdr:col>151</xdr:col>
      <xdr:colOff>123825</xdr:colOff>
      <xdr:row>9</xdr:row>
      <xdr:rowOff>133350</xdr:rowOff>
    </xdr:to>
    <xdr:sp macro="" textlink="">
      <xdr:nvSpPr>
        <xdr:cNvPr id="994" name="Line 232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>
          <a:spLocks noChangeShapeType="1"/>
        </xdr:cNvSpPr>
      </xdr:nvSpPr>
      <xdr:spPr bwMode="auto">
        <a:xfrm flipH="1">
          <a:off x="81869280" y="15811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12</xdr:row>
      <xdr:rowOff>76200</xdr:rowOff>
    </xdr:from>
    <xdr:to>
      <xdr:col>151</xdr:col>
      <xdr:colOff>123825</xdr:colOff>
      <xdr:row>13</xdr:row>
      <xdr:rowOff>142875</xdr:rowOff>
    </xdr:to>
    <xdr:sp macro="" textlink="">
      <xdr:nvSpPr>
        <xdr:cNvPr id="995" name="Line 233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>
          <a:spLocks noChangeShapeType="1"/>
        </xdr:cNvSpPr>
      </xdr:nvSpPr>
      <xdr:spPr bwMode="auto">
        <a:xfrm>
          <a:off x="81993105" y="195834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12</xdr:row>
      <xdr:rowOff>76200</xdr:rowOff>
    </xdr:from>
    <xdr:to>
      <xdr:col>151</xdr:col>
      <xdr:colOff>123825</xdr:colOff>
      <xdr:row>12</xdr:row>
      <xdr:rowOff>76200</xdr:rowOff>
    </xdr:to>
    <xdr:sp macro="" textlink="">
      <xdr:nvSpPr>
        <xdr:cNvPr id="996" name="Line 234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195834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13</xdr:row>
      <xdr:rowOff>133350</xdr:rowOff>
    </xdr:from>
    <xdr:to>
      <xdr:col>151</xdr:col>
      <xdr:colOff>123825</xdr:colOff>
      <xdr:row>13</xdr:row>
      <xdr:rowOff>133350</xdr:rowOff>
    </xdr:to>
    <xdr:sp macro="" textlink="">
      <xdr:nvSpPr>
        <xdr:cNvPr id="997" name="Line 235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>
          <a:spLocks noChangeShapeType="1"/>
        </xdr:cNvSpPr>
      </xdr:nvSpPr>
      <xdr:spPr bwMode="auto">
        <a:xfrm flipH="1">
          <a:off x="81869280" y="216027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14</xdr:row>
      <xdr:rowOff>76200</xdr:rowOff>
    </xdr:from>
    <xdr:to>
      <xdr:col>151</xdr:col>
      <xdr:colOff>123825</xdr:colOff>
      <xdr:row>15</xdr:row>
      <xdr:rowOff>142875</xdr:rowOff>
    </xdr:to>
    <xdr:sp macro="" textlink="">
      <xdr:nvSpPr>
        <xdr:cNvPr id="998" name="Line 236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>
          <a:spLocks noChangeShapeType="1"/>
        </xdr:cNvSpPr>
      </xdr:nvSpPr>
      <xdr:spPr bwMode="auto">
        <a:xfrm>
          <a:off x="81993105" y="224790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14</xdr:row>
      <xdr:rowOff>76200</xdr:rowOff>
    </xdr:from>
    <xdr:to>
      <xdr:col>151</xdr:col>
      <xdr:colOff>123825</xdr:colOff>
      <xdr:row>14</xdr:row>
      <xdr:rowOff>76200</xdr:rowOff>
    </xdr:to>
    <xdr:sp macro="" textlink="">
      <xdr:nvSpPr>
        <xdr:cNvPr id="999" name="Line 237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22479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15</xdr:row>
      <xdr:rowOff>133350</xdr:rowOff>
    </xdr:from>
    <xdr:to>
      <xdr:col>151</xdr:col>
      <xdr:colOff>123825</xdr:colOff>
      <xdr:row>15</xdr:row>
      <xdr:rowOff>133350</xdr:rowOff>
    </xdr:to>
    <xdr:sp macro="" textlink="">
      <xdr:nvSpPr>
        <xdr:cNvPr id="1000" name="Line 238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>
          <a:spLocks noChangeShapeType="1"/>
        </xdr:cNvSpPr>
      </xdr:nvSpPr>
      <xdr:spPr bwMode="auto">
        <a:xfrm flipH="1">
          <a:off x="81869280" y="244983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10</xdr:row>
      <xdr:rowOff>76200</xdr:rowOff>
    </xdr:from>
    <xdr:to>
      <xdr:col>151</xdr:col>
      <xdr:colOff>123825</xdr:colOff>
      <xdr:row>11</xdr:row>
      <xdr:rowOff>142875</xdr:rowOff>
    </xdr:to>
    <xdr:sp macro="" textlink="">
      <xdr:nvSpPr>
        <xdr:cNvPr id="1001" name="Line 240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>
          <a:spLocks noChangeShapeType="1"/>
        </xdr:cNvSpPr>
      </xdr:nvSpPr>
      <xdr:spPr bwMode="auto">
        <a:xfrm>
          <a:off x="81993105" y="166878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10</xdr:row>
      <xdr:rowOff>76200</xdr:rowOff>
    </xdr:from>
    <xdr:to>
      <xdr:col>151</xdr:col>
      <xdr:colOff>123825</xdr:colOff>
      <xdr:row>10</xdr:row>
      <xdr:rowOff>76200</xdr:rowOff>
    </xdr:to>
    <xdr:sp macro="" textlink="">
      <xdr:nvSpPr>
        <xdr:cNvPr id="1002" name="Line 241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>
          <a:spLocks noChangeShapeType="1"/>
        </xdr:cNvSpPr>
      </xdr:nvSpPr>
      <xdr:spPr bwMode="auto">
        <a:xfrm flipH="1" flipV="1">
          <a:off x="81869280" y="166878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11</xdr:row>
      <xdr:rowOff>133350</xdr:rowOff>
    </xdr:from>
    <xdr:to>
      <xdr:col>151</xdr:col>
      <xdr:colOff>123825</xdr:colOff>
      <xdr:row>11</xdr:row>
      <xdr:rowOff>133350</xdr:rowOff>
    </xdr:to>
    <xdr:sp macro="" textlink="">
      <xdr:nvSpPr>
        <xdr:cNvPr id="1003" name="Line 242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>
          <a:spLocks noChangeShapeType="1"/>
        </xdr:cNvSpPr>
      </xdr:nvSpPr>
      <xdr:spPr bwMode="auto">
        <a:xfrm flipH="1">
          <a:off x="81869280" y="18707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6</xdr:row>
      <xdr:rowOff>76200</xdr:rowOff>
    </xdr:from>
    <xdr:to>
      <xdr:col>156</xdr:col>
      <xdr:colOff>123825</xdr:colOff>
      <xdr:row>7</xdr:row>
      <xdr:rowOff>142875</xdr:rowOff>
    </xdr:to>
    <xdr:sp macro="" textlink="">
      <xdr:nvSpPr>
        <xdr:cNvPr id="1004" name="Line 216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>
          <a:spLocks noChangeShapeType="1"/>
        </xdr:cNvSpPr>
      </xdr:nvSpPr>
      <xdr:spPr bwMode="auto">
        <a:xfrm>
          <a:off x="85422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76200</xdr:rowOff>
    </xdr:from>
    <xdr:to>
      <xdr:col>156</xdr:col>
      <xdr:colOff>123825</xdr:colOff>
      <xdr:row>6</xdr:row>
      <xdr:rowOff>76200</xdr:rowOff>
    </xdr:to>
    <xdr:sp macro="" textlink="">
      <xdr:nvSpPr>
        <xdr:cNvPr id="1005" name="Line 217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7</xdr:row>
      <xdr:rowOff>133350</xdr:rowOff>
    </xdr:from>
    <xdr:to>
      <xdr:col>156</xdr:col>
      <xdr:colOff>123825</xdr:colOff>
      <xdr:row>7</xdr:row>
      <xdr:rowOff>133350</xdr:rowOff>
    </xdr:to>
    <xdr:sp macro="" textlink="">
      <xdr:nvSpPr>
        <xdr:cNvPr id="1006" name="Line 218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>
          <a:spLocks noChangeShapeType="1"/>
        </xdr:cNvSpPr>
      </xdr:nvSpPr>
      <xdr:spPr bwMode="auto">
        <a:xfrm flipH="1">
          <a:off x="85298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114300</xdr:colOff>
      <xdr:row>16</xdr:row>
      <xdr:rowOff>66675</xdr:rowOff>
    </xdr:from>
    <xdr:to>
      <xdr:col>156</xdr:col>
      <xdr:colOff>114300</xdr:colOff>
      <xdr:row>19</xdr:row>
      <xdr:rowOff>85725</xdr:rowOff>
    </xdr:to>
    <xdr:sp macro="" textlink="">
      <xdr:nvSpPr>
        <xdr:cNvPr id="1007" name="Line 219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>
          <a:spLocks noChangeShapeType="1"/>
        </xdr:cNvSpPr>
      </xdr:nvSpPr>
      <xdr:spPr bwMode="auto">
        <a:xfrm>
          <a:off x="85412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16</xdr:row>
      <xdr:rowOff>57150</xdr:rowOff>
    </xdr:from>
    <xdr:to>
      <xdr:col>156</xdr:col>
      <xdr:colOff>123825</xdr:colOff>
      <xdr:row>16</xdr:row>
      <xdr:rowOff>57150</xdr:rowOff>
    </xdr:to>
    <xdr:sp macro="" textlink="">
      <xdr:nvSpPr>
        <xdr:cNvPr id="1008" name="Line 220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>
          <a:spLocks noChangeShapeType="1"/>
        </xdr:cNvSpPr>
      </xdr:nvSpPr>
      <xdr:spPr bwMode="auto">
        <a:xfrm flipH="1">
          <a:off x="85298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9525</xdr:colOff>
      <xdr:row>19</xdr:row>
      <xdr:rowOff>95250</xdr:rowOff>
    </xdr:from>
    <xdr:to>
      <xdr:col>156</xdr:col>
      <xdr:colOff>114300</xdr:colOff>
      <xdr:row>19</xdr:row>
      <xdr:rowOff>95250</xdr:rowOff>
    </xdr:to>
    <xdr:sp macro="" textlink="">
      <xdr:nvSpPr>
        <xdr:cNvPr id="1009" name="Line 221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>
          <a:spLocks noChangeShapeType="1"/>
        </xdr:cNvSpPr>
      </xdr:nvSpPr>
      <xdr:spPr bwMode="auto">
        <a:xfrm flipH="1">
          <a:off x="85307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114300</xdr:colOff>
      <xdr:row>16</xdr:row>
      <xdr:rowOff>66675</xdr:rowOff>
    </xdr:from>
    <xdr:to>
      <xdr:col>156</xdr:col>
      <xdr:colOff>114300</xdr:colOff>
      <xdr:row>19</xdr:row>
      <xdr:rowOff>85725</xdr:rowOff>
    </xdr:to>
    <xdr:sp macro="" textlink="">
      <xdr:nvSpPr>
        <xdr:cNvPr id="1010" name="Line 224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>
          <a:spLocks noChangeShapeType="1"/>
        </xdr:cNvSpPr>
      </xdr:nvSpPr>
      <xdr:spPr bwMode="auto">
        <a:xfrm>
          <a:off x="85412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16</xdr:row>
      <xdr:rowOff>57150</xdr:rowOff>
    </xdr:from>
    <xdr:to>
      <xdr:col>156</xdr:col>
      <xdr:colOff>123825</xdr:colOff>
      <xdr:row>16</xdr:row>
      <xdr:rowOff>57150</xdr:rowOff>
    </xdr:to>
    <xdr:sp macro="" textlink="">
      <xdr:nvSpPr>
        <xdr:cNvPr id="1011" name="Line 225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>
          <a:spLocks noChangeShapeType="1"/>
        </xdr:cNvSpPr>
      </xdr:nvSpPr>
      <xdr:spPr bwMode="auto">
        <a:xfrm flipH="1">
          <a:off x="85298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9525</xdr:colOff>
      <xdr:row>19</xdr:row>
      <xdr:rowOff>95250</xdr:rowOff>
    </xdr:from>
    <xdr:to>
      <xdr:col>156</xdr:col>
      <xdr:colOff>114300</xdr:colOff>
      <xdr:row>19</xdr:row>
      <xdr:rowOff>95250</xdr:rowOff>
    </xdr:to>
    <xdr:sp macro="" textlink="">
      <xdr:nvSpPr>
        <xdr:cNvPr id="1012" name="Line 226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>
          <a:spLocks noChangeShapeType="1"/>
        </xdr:cNvSpPr>
      </xdr:nvSpPr>
      <xdr:spPr bwMode="auto">
        <a:xfrm flipH="1">
          <a:off x="85307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6</xdr:row>
      <xdr:rowOff>76200</xdr:rowOff>
    </xdr:from>
    <xdr:to>
      <xdr:col>156</xdr:col>
      <xdr:colOff>123825</xdr:colOff>
      <xdr:row>7</xdr:row>
      <xdr:rowOff>142875</xdr:rowOff>
    </xdr:to>
    <xdr:sp macro="" textlink="">
      <xdr:nvSpPr>
        <xdr:cNvPr id="1013" name="Line 227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>
          <a:spLocks noChangeShapeType="1"/>
        </xdr:cNvSpPr>
      </xdr:nvSpPr>
      <xdr:spPr bwMode="auto">
        <a:xfrm>
          <a:off x="85422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76200</xdr:rowOff>
    </xdr:from>
    <xdr:to>
      <xdr:col>156</xdr:col>
      <xdr:colOff>123825</xdr:colOff>
      <xdr:row>6</xdr:row>
      <xdr:rowOff>76200</xdr:rowOff>
    </xdr:to>
    <xdr:sp macro="" textlink="">
      <xdr:nvSpPr>
        <xdr:cNvPr id="1014" name="Line 228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7</xdr:row>
      <xdr:rowOff>133350</xdr:rowOff>
    </xdr:from>
    <xdr:to>
      <xdr:col>156</xdr:col>
      <xdr:colOff>123825</xdr:colOff>
      <xdr:row>7</xdr:row>
      <xdr:rowOff>133350</xdr:rowOff>
    </xdr:to>
    <xdr:sp macro="" textlink="">
      <xdr:nvSpPr>
        <xdr:cNvPr id="1015" name="Line 229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>
          <a:spLocks noChangeShapeType="1"/>
        </xdr:cNvSpPr>
      </xdr:nvSpPr>
      <xdr:spPr bwMode="auto">
        <a:xfrm flipH="1">
          <a:off x="85298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8</xdr:row>
      <xdr:rowOff>76200</xdr:rowOff>
    </xdr:from>
    <xdr:to>
      <xdr:col>156</xdr:col>
      <xdr:colOff>123825</xdr:colOff>
      <xdr:row>9</xdr:row>
      <xdr:rowOff>142875</xdr:rowOff>
    </xdr:to>
    <xdr:sp macro="" textlink="">
      <xdr:nvSpPr>
        <xdr:cNvPr id="1016" name="Line 230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>
          <a:spLocks noChangeShapeType="1"/>
        </xdr:cNvSpPr>
      </xdr:nvSpPr>
      <xdr:spPr bwMode="auto">
        <a:xfrm>
          <a:off x="85422105" y="130302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8</xdr:row>
      <xdr:rowOff>76200</xdr:rowOff>
    </xdr:from>
    <xdr:to>
      <xdr:col>156</xdr:col>
      <xdr:colOff>123825</xdr:colOff>
      <xdr:row>8</xdr:row>
      <xdr:rowOff>76200</xdr:rowOff>
    </xdr:to>
    <xdr:sp macro="" textlink="">
      <xdr:nvSpPr>
        <xdr:cNvPr id="1017" name="Line 231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130302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9</xdr:row>
      <xdr:rowOff>133350</xdr:rowOff>
    </xdr:from>
    <xdr:to>
      <xdr:col>156</xdr:col>
      <xdr:colOff>123825</xdr:colOff>
      <xdr:row>9</xdr:row>
      <xdr:rowOff>133350</xdr:rowOff>
    </xdr:to>
    <xdr:sp macro="" textlink="">
      <xdr:nvSpPr>
        <xdr:cNvPr id="1018" name="Line 232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>
          <a:spLocks noChangeShapeType="1"/>
        </xdr:cNvSpPr>
      </xdr:nvSpPr>
      <xdr:spPr bwMode="auto">
        <a:xfrm flipH="1">
          <a:off x="85298280" y="149733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12</xdr:row>
      <xdr:rowOff>76200</xdr:rowOff>
    </xdr:from>
    <xdr:to>
      <xdr:col>156</xdr:col>
      <xdr:colOff>123825</xdr:colOff>
      <xdr:row>13</xdr:row>
      <xdr:rowOff>142875</xdr:rowOff>
    </xdr:to>
    <xdr:sp macro="" textlink="">
      <xdr:nvSpPr>
        <xdr:cNvPr id="1019" name="Line 233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>
          <a:spLocks noChangeShapeType="1"/>
        </xdr:cNvSpPr>
      </xdr:nvSpPr>
      <xdr:spPr bwMode="auto">
        <a:xfrm>
          <a:off x="85422105" y="185166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12</xdr:row>
      <xdr:rowOff>76200</xdr:rowOff>
    </xdr:from>
    <xdr:to>
      <xdr:col>156</xdr:col>
      <xdr:colOff>123825</xdr:colOff>
      <xdr:row>12</xdr:row>
      <xdr:rowOff>76200</xdr:rowOff>
    </xdr:to>
    <xdr:sp macro="" textlink="">
      <xdr:nvSpPr>
        <xdr:cNvPr id="1020" name="Line 234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1851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13</xdr:row>
      <xdr:rowOff>133350</xdr:rowOff>
    </xdr:from>
    <xdr:to>
      <xdr:col>156</xdr:col>
      <xdr:colOff>123825</xdr:colOff>
      <xdr:row>13</xdr:row>
      <xdr:rowOff>133350</xdr:rowOff>
    </xdr:to>
    <xdr:sp macro="" textlink="">
      <xdr:nvSpPr>
        <xdr:cNvPr id="1021" name="Line 235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>
          <a:spLocks noChangeShapeType="1"/>
        </xdr:cNvSpPr>
      </xdr:nvSpPr>
      <xdr:spPr bwMode="auto">
        <a:xfrm flipH="1">
          <a:off x="85298280" y="204597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14</xdr:row>
      <xdr:rowOff>76200</xdr:rowOff>
    </xdr:from>
    <xdr:to>
      <xdr:col>156</xdr:col>
      <xdr:colOff>123825</xdr:colOff>
      <xdr:row>15</xdr:row>
      <xdr:rowOff>142875</xdr:rowOff>
    </xdr:to>
    <xdr:sp macro="" textlink="">
      <xdr:nvSpPr>
        <xdr:cNvPr id="1022" name="Line 236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>
          <a:spLocks noChangeShapeType="1"/>
        </xdr:cNvSpPr>
      </xdr:nvSpPr>
      <xdr:spPr bwMode="auto">
        <a:xfrm>
          <a:off x="85422105" y="212598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14</xdr:row>
      <xdr:rowOff>76200</xdr:rowOff>
    </xdr:from>
    <xdr:to>
      <xdr:col>156</xdr:col>
      <xdr:colOff>123825</xdr:colOff>
      <xdr:row>14</xdr:row>
      <xdr:rowOff>76200</xdr:rowOff>
    </xdr:to>
    <xdr:sp macro="" textlink="">
      <xdr:nvSpPr>
        <xdr:cNvPr id="1023" name="Line 237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212598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15</xdr:row>
      <xdr:rowOff>133350</xdr:rowOff>
    </xdr:from>
    <xdr:to>
      <xdr:col>156</xdr:col>
      <xdr:colOff>123825</xdr:colOff>
      <xdr:row>15</xdr:row>
      <xdr:rowOff>133350</xdr:rowOff>
    </xdr:to>
    <xdr:sp macro="" textlink="">
      <xdr:nvSpPr>
        <xdr:cNvPr id="1024" name="Line 238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>
          <a:spLocks noChangeShapeType="1"/>
        </xdr:cNvSpPr>
      </xdr:nvSpPr>
      <xdr:spPr bwMode="auto">
        <a:xfrm flipH="1">
          <a:off x="85298280" y="23202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10</xdr:row>
      <xdr:rowOff>76200</xdr:rowOff>
    </xdr:from>
    <xdr:to>
      <xdr:col>156</xdr:col>
      <xdr:colOff>123825</xdr:colOff>
      <xdr:row>11</xdr:row>
      <xdr:rowOff>142875</xdr:rowOff>
    </xdr:to>
    <xdr:sp macro="" textlink="">
      <xdr:nvSpPr>
        <xdr:cNvPr id="1025" name="Line 240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>
          <a:spLocks noChangeShapeType="1"/>
        </xdr:cNvSpPr>
      </xdr:nvSpPr>
      <xdr:spPr bwMode="auto">
        <a:xfrm>
          <a:off x="85422105" y="157734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10</xdr:row>
      <xdr:rowOff>76200</xdr:rowOff>
    </xdr:from>
    <xdr:to>
      <xdr:col>156</xdr:col>
      <xdr:colOff>123825</xdr:colOff>
      <xdr:row>10</xdr:row>
      <xdr:rowOff>76200</xdr:rowOff>
    </xdr:to>
    <xdr:sp macro="" textlink="">
      <xdr:nvSpPr>
        <xdr:cNvPr id="1026" name="Line 241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>
          <a:spLocks noChangeShapeType="1"/>
        </xdr:cNvSpPr>
      </xdr:nvSpPr>
      <xdr:spPr bwMode="auto">
        <a:xfrm flipH="1" flipV="1">
          <a:off x="85298280" y="157734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11</xdr:row>
      <xdr:rowOff>133350</xdr:rowOff>
    </xdr:from>
    <xdr:to>
      <xdr:col>156</xdr:col>
      <xdr:colOff>123825</xdr:colOff>
      <xdr:row>11</xdr:row>
      <xdr:rowOff>133350</xdr:rowOff>
    </xdr:to>
    <xdr:sp macro="" textlink="">
      <xdr:nvSpPr>
        <xdr:cNvPr id="1027" name="Line 242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>
          <a:spLocks noChangeShapeType="1"/>
        </xdr:cNvSpPr>
      </xdr:nvSpPr>
      <xdr:spPr bwMode="auto">
        <a:xfrm flipH="1">
          <a:off x="85298280" y="17716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6</xdr:row>
      <xdr:rowOff>76200</xdr:rowOff>
    </xdr:from>
    <xdr:to>
      <xdr:col>162</xdr:col>
      <xdr:colOff>123825</xdr:colOff>
      <xdr:row>7</xdr:row>
      <xdr:rowOff>142875</xdr:rowOff>
    </xdr:to>
    <xdr:sp macro="" textlink="">
      <xdr:nvSpPr>
        <xdr:cNvPr id="1028" name="Line 216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>
          <a:spLocks noChangeShapeType="1"/>
        </xdr:cNvSpPr>
      </xdr:nvSpPr>
      <xdr:spPr bwMode="auto">
        <a:xfrm>
          <a:off x="88851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6</xdr:row>
      <xdr:rowOff>76200</xdr:rowOff>
    </xdr:from>
    <xdr:to>
      <xdr:col>162</xdr:col>
      <xdr:colOff>123825</xdr:colOff>
      <xdr:row>6</xdr:row>
      <xdr:rowOff>76200</xdr:rowOff>
    </xdr:to>
    <xdr:sp macro="" textlink="">
      <xdr:nvSpPr>
        <xdr:cNvPr id="1029" name="Line 217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7</xdr:row>
      <xdr:rowOff>133350</xdr:rowOff>
    </xdr:from>
    <xdr:to>
      <xdr:col>162</xdr:col>
      <xdr:colOff>123825</xdr:colOff>
      <xdr:row>7</xdr:row>
      <xdr:rowOff>133350</xdr:rowOff>
    </xdr:to>
    <xdr:sp macro="" textlink="">
      <xdr:nvSpPr>
        <xdr:cNvPr id="1030" name="Line 218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>
          <a:spLocks noChangeShapeType="1"/>
        </xdr:cNvSpPr>
      </xdr:nvSpPr>
      <xdr:spPr bwMode="auto">
        <a:xfrm flipH="1">
          <a:off x="88727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114300</xdr:colOff>
      <xdr:row>16</xdr:row>
      <xdr:rowOff>66675</xdr:rowOff>
    </xdr:from>
    <xdr:to>
      <xdr:col>162</xdr:col>
      <xdr:colOff>114300</xdr:colOff>
      <xdr:row>19</xdr:row>
      <xdr:rowOff>85725</xdr:rowOff>
    </xdr:to>
    <xdr:sp macro="" textlink="">
      <xdr:nvSpPr>
        <xdr:cNvPr id="1031" name="Line 219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>
          <a:spLocks noChangeShapeType="1"/>
        </xdr:cNvSpPr>
      </xdr:nvSpPr>
      <xdr:spPr bwMode="auto">
        <a:xfrm>
          <a:off x="88841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16</xdr:row>
      <xdr:rowOff>57150</xdr:rowOff>
    </xdr:from>
    <xdr:to>
      <xdr:col>162</xdr:col>
      <xdr:colOff>123825</xdr:colOff>
      <xdr:row>16</xdr:row>
      <xdr:rowOff>57150</xdr:rowOff>
    </xdr:to>
    <xdr:sp macro="" textlink="">
      <xdr:nvSpPr>
        <xdr:cNvPr id="1032" name="Line 220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>
          <a:spLocks noChangeShapeType="1"/>
        </xdr:cNvSpPr>
      </xdr:nvSpPr>
      <xdr:spPr bwMode="auto">
        <a:xfrm flipH="1">
          <a:off x="88727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9525</xdr:colOff>
      <xdr:row>19</xdr:row>
      <xdr:rowOff>95250</xdr:rowOff>
    </xdr:from>
    <xdr:to>
      <xdr:col>162</xdr:col>
      <xdr:colOff>114300</xdr:colOff>
      <xdr:row>19</xdr:row>
      <xdr:rowOff>95250</xdr:rowOff>
    </xdr:to>
    <xdr:sp macro="" textlink="">
      <xdr:nvSpPr>
        <xdr:cNvPr id="1033" name="Line 221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>
          <a:spLocks noChangeShapeType="1"/>
        </xdr:cNvSpPr>
      </xdr:nvSpPr>
      <xdr:spPr bwMode="auto">
        <a:xfrm flipH="1">
          <a:off x="88736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114300</xdr:colOff>
      <xdr:row>16</xdr:row>
      <xdr:rowOff>66675</xdr:rowOff>
    </xdr:from>
    <xdr:to>
      <xdr:col>162</xdr:col>
      <xdr:colOff>114300</xdr:colOff>
      <xdr:row>19</xdr:row>
      <xdr:rowOff>85725</xdr:rowOff>
    </xdr:to>
    <xdr:sp macro="" textlink="">
      <xdr:nvSpPr>
        <xdr:cNvPr id="1034" name="Line 224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>
          <a:spLocks noChangeShapeType="1"/>
        </xdr:cNvSpPr>
      </xdr:nvSpPr>
      <xdr:spPr bwMode="auto">
        <a:xfrm>
          <a:off x="88841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16</xdr:row>
      <xdr:rowOff>57150</xdr:rowOff>
    </xdr:from>
    <xdr:to>
      <xdr:col>162</xdr:col>
      <xdr:colOff>123825</xdr:colOff>
      <xdr:row>16</xdr:row>
      <xdr:rowOff>57150</xdr:rowOff>
    </xdr:to>
    <xdr:sp macro="" textlink="">
      <xdr:nvSpPr>
        <xdr:cNvPr id="1035" name="Line 225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>
          <a:spLocks noChangeShapeType="1"/>
        </xdr:cNvSpPr>
      </xdr:nvSpPr>
      <xdr:spPr bwMode="auto">
        <a:xfrm flipH="1">
          <a:off x="88727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9525</xdr:colOff>
      <xdr:row>19</xdr:row>
      <xdr:rowOff>95250</xdr:rowOff>
    </xdr:from>
    <xdr:to>
      <xdr:col>162</xdr:col>
      <xdr:colOff>114300</xdr:colOff>
      <xdr:row>19</xdr:row>
      <xdr:rowOff>95250</xdr:rowOff>
    </xdr:to>
    <xdr:sp macro="" textlink="">
      <xdr:nvSpPr>
        <xdr:cNvPr id="1036" name="Line 226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>
          <a:spLocks noChangeShapeType="1"/>
        </xdr:cNvSpPr>
      </xdr:nvSpPr>
      <xdr:spPr bwMode="auto">
        <a:xfrm flipH="1">
          <a:off x="88736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6</xdr:row>
      <xdr:rowOff>76200</xdr:rowOff>
    </xdr:from>
    <xdr:to>
      <xdr:col>162</xdr:col>
      <xdr:colOff>123825</xdr:colOff>
      <xdr:row>7</xdr:row>
      <xdr:rowOff>142875</xdr:rowOff>
    </xdr:to>
    <xdr:sp macro="" textlink="">
      <xdr:nvSpPr>
        <xdr:cNvPr id="1037" name="Line 227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>
          <a:spLocks noChangeShapeType="1"/>
        </xdr:cNvSpPr>
      </xdr:nvSpPr>
      <xdr:spPr bwMode="auto">
        <a:xfrm>
          <a:off x="88851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6</xdr:row>
      <xdr:rowOff>76200</xdr:rowOff>
    </xdr:from>
    <xdr:to>
      <xdr:col>162</xdr:col>
      <xdr:colOff>123825</xdr:colOff>
      <xdr:row>6</xdr:row>
      <xdr:rowOff>76200</xdr:rowOff>
    </xdr:to>
    <xdr:sp macro="" textlink="">
      <xdr:nvSpPr>
        <xdr:cNvPr id="1038" name="Line 228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7</xdr:row>
      <xdr:rowOff>133350</xdr:rowOff>
    </xdr:from>
    <xdr:to>
      <xdr:col>162</xdr:col>
      <xdr:colOff>123825</xdr:colOff>
      <xdr:row>7</xdr:row>
      <xdr:rowOff>133350</xdr:rowOff>
    </xdr:to>
    <xdr:sp macro="" textlink="">
      <xdr:nvSpPr>
        <xdr:cNvPr id="1039" name="Line 229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>
          <a:spLocks noChangeShapeType="1"/>
        </xdr:cNvSpPr>
      </xdr:nvSpPr>
      <xdr:spPr bwMode="auto">
        <a:xfrm flipH="1">
          <a:off x="88727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8</xdr:row>
      <xdr:rowOff>76200</xdr:rowOff>
    </xdr:from>
    <xdr:to>
      <xdr:col>162</xdr:col>
      <xdr:colOff>123825</xdr:colOff>
      <xdr:row>9</xdr:row>
      <xdr:rowOff>142875</xdr:rowOff>
    </xdr:to>
    <xdr:sp macro="" textlink="">
      <xdr:nvSpPr>
        <xdr:cNvPr id="1040" name="Line 230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>
          <a:spLocks noChangeShapeType="1"/>
        </xdr:cNvSpPr>
      </xdr:nvSpPr>
      <xdr:spPr bwMode="auto">
        <a:xfrm>
          <a:off x="88851105" y="130302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8</xdr:row>
      <xdr:rowOff>76200</xdr:rowOff>
    </xdr:from>
    <xdr:to>
      <xdr:col>162</xdr:col>
      <xdr:colOff>123825</xdr:colOff>
      <xdr:row>8</xdr:row>
      <xdr:rowOff>76200</xdr:rowOff>
    </xdr:to>
    <xdr:sp macro="" textlink="">
      <xdr:nvSpPr>
        <xdr:cNvPr id="1041" name="Line 231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130302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9</xdr:row>
      <xdr:rowOff>133350</xdr:rowOff>
    </xdr:from>
    <xdr:to>
      <xdr:col>162</xdr:col>
      <xdr:colOff>123825</xdr:colOff>
      <xdr:row>9</xdr:row>
      <xdr:rowOff>133350</xdr:rowOff>
    </xdr:to>
    <xdr:sp macro="" textlink="">
      <xdr:nvSpPr>
        <xdr:cNvPr id="1042" name="Line 232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>
          <a:spLocks noChangeShapeType="1"/>
        </xdr:cNvSpPr>
      </xdr:nvSpPr>
      <xdr:spPr bwMode="auto">
        <a:xfrm flipH="1">
          <a:off x="88727280" y="149733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12</xdr:row>
      <xdr:rowOff>76200</xdr:rowOff>
    </xdr:from>
    <xdr:to>
      <xdr:col>162</xdr:col>
      <xdr:colOff>123825</xdr:colOff>
      <xdr:row>13</xdr:row>
      <xdr:rowOff>142875</xdr:rowOff>
    </xdr:to>
    <xdr:sp macro="" textlink="">
      <xdr:nvSpPr>
        <xdr:cNvPr id="1043" name="Line 233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>
          <a:spLocks noChangeShapeType="1"/>
        </xdr:cNvSpPr>
      </xdr:nvSpPr>
      <xdr:spPr bwMode="auto">
        <a:xfrm>
          <a:off x="88851105" y="185166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12</xdr:row>
      <xdr:rowOff>76200</xdr:rowOff>
    </xdr:from>
    <xdr:to>
      <xdr:col>162</xdr:col>
      <xdr:colOff>123825</xdr:colOff>
      <xdr:row>12</xdr:row>
      <xdr:rowOff>76200</xdr:rowOff>
    </xdr:to>
    <xdr:sp macro="" textlink="">
      <xdr:nvSpPr>
        <xdr:cNvPr id="1044" name="Line 234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1851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13</xdr:row>
      <xdr:rowOff>133350</xdr:rowOff>
    </xdr:from>
    <xdr:to>
      <xdr:col>162</xdr:col>
      <xdr:colOff>123825</xdr:colOff>
      <xdr:row>13</xdr:row>
      <xdr:rowOff>133350</xdr:rowOff>
    </xdr:to>
    <xdr:sp macro="" textlink="">
      <xdr:nvSpPr>
        <xdr:cNvPr id="1045" name="Line 235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>
          <a:spLocks noChangeShapeType="1"/>
        </xdr:cNvSpPr>
      </xdr:nvSpPr>
      <xdr:spPr bwMode="auto">
        <a:xfrm flipH="1">
          <a:off x="88727280" y="204597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14</xdr:row>
      <xdr:rowOff>76200</xdr:rowOff>
    </xdr:from>
    <xdr:to>
      <xdr:col>162</xdr:col>
      <xdr:colOff>123825</xdr:colOff>
      <xdr:row>15</xdr:row>
      <xdr:rowOff>142875</xdr:rowOff>
    </xdr:to>
    <xdr:sp macro="" textlink="">
      <xdr:nvSpPr>
        <xdr:cNvPr id="1046" name="Line 236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>
          <a:spLocks noChangeShapeType="1"/>
        </xdr:cNvSpPr>
      </xdr:nvSpPr>
      <xdr:spPr bwMode="auto">
        <a:xfrm>
          <a:off x="88851105" y="212598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14</xdr:row>
      <xdr:rowOff>76200</xdr:rowOff>
    </xdr:from>
    <xdr:to>
      <xdr:col>162</xdr:col>
      <xdr:colOff>123825</xdr:colOff>
      <xdr:row>14</xdr:row>
      <xdr:rowOff>76200</xdr:rowOff>
    </xdr:to>
    <xdr:sp macro="" textlink="">
      <xdr:nvSpPr>
        <xdr:cNvPr id="1047" name="Line 237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212598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15</xdr:row>
      <xdr:rowOff>133350</xdr:rowOff>
    </xdr:from>
    <xdr:to>
      <xdr:col>162</xdr:col>
      <xdr:colOff>123825</xdr:colOff>
      <xdr:row>15</xdr:row>
      <xdr:rowOff>133350</xdr:rowOff>
    </xdr:to>
    <xdr:sp macro="" textlink="">
      <xdr:nvSpPr>
        <xdr:cNvPr id="1048" name="Line 238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>
          <a:spLocks noChangeShapeType="1"/>
        </xdr:cNvSpPr>
      </xdr:nvSpPr>
      <xdr:spPr bwMode="auto">
        <a:xfrm flipH="1">
          <a:off x="88727280" y="23202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123825</xdr:colOff>
      <xdr:row>10</xdr:row>
      <xdr:rowOff>76200</xdr:rowOff>
    </xdr:from>
    <xdr:to>
      <xdr:col>162</xdr:col>
      <xdr:colOff>123825</xdr:colOff>
      <xdr:row>11</xdr:row>
      <xdr:rowOff>142875</xdr:rowOff>
    </xdr:to>
    <xdr:sp macro="" textlink="">
      <xdr:nvSpPr>
        <xdr:cNvPr id="1049" name="Line 240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>
          <a:spLocks noChangeShapeType="1"/>
        </xdr:cNvSpPr>
      </xdr:nvSpPr>
      <xdr:spPr bwMode="auto">
        <a:xfrm>
          <a:off x="88851105" y="157734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10</xdr:row>
      <xdr:rowOff>76200</xdr:rowOff>
    </xdr:from>
    <xdr:to>
      <xdr:col>162</xdr:col>
      <xdr:colOff>123825</xdr:colOff>
      <xdr:row>10</xdr:row>
      <xdr:rowOff>76200</xdr:rowOff>
    </xdr:to>
    <xdr:sp macro="" textlink="">
      <xdr:nvSpPr>
        <xdr:cNvPr id="1050" name="Line 241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>
          <a:spLocks noChangeShapeType="1"/>
        </xdr:cNvSpPr>
      </xdr:nvSpPr>
      <xdr:spPr bwMode="auto">
        <a:xfrm flipH="1" flipV="1">
          <a:off x="88727280" y="157734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0</xdr:colOff>
      <xdr:row>11</xdr:row>
      <xdr:rowOff>133350</xdr:rowOff>
    </xdr:from>
    <xdr:to>
      <xdr:col>162</xdr:col>
      <xdr:colOff>123825</xdr:colOff>
      <xdr:row>11</xdr:row>
      <xdr:rowOff>133350</xdr:rowOff>
    </xdr:to>
    <xdr:sp macro="" textlink="">
      <xdr:nvSpPr>
        <xdr:cNvPr id="1051" name="Line 242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>
          <a:spLocks noChangeShapeType="1"/>
        </xdr:cNvSpPr>
      </xdr:nvSpPr>
      <xdr:spPr bwMode="auto">
        <a:xfrm flipH="1">
          <a:off x="88727280" y="17716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662</xdr:row>
      <xdr:rowOff>95250</xdr:rowOff>
    </xdr:from>
    <xdr:to>
      <xdr:col>5</xdr:col>
      <xdr:colOff>0</xdr:colOff>
      <xdr:row>662</xdr:row>
      <xdr:rowOff>95250</xdr:rowOff>
    </xdr:to>
    <xdr:sp macro="" textlink="">
      <xdr:nvSpPr>
        <xdr:cNvPr id="732380" name="Line 1">
          <a:extLst>
            <a:ext uri="{FF2B5EF4-FFF2-40B4-BE49-F238E27FC236}">
              <a16:creationId xmlns:a16="http://schemas.microsoft.com/office/drawing/2014/main" id="{00000000-0008-0000-0800-0000DC2C0B00}"/>
            </a:ext>
          </a:extLst>
        </xdr:cNvPr>
        <xdr:cNvSpPr>
          <a:spLocks noChangeShapeType="1"/>
        </xdr:cNvSpPr>
      </xdr:nvSpPr>
      <xdr:spPr bwMode="auto">
        <a:xfrm flipV="1">
          <a:off x="3067050" y="9667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663</xdr:row>
      <xdr:rowOff>104775</xdr:rowOff>
    </xdr:from>
    <xdr:to>
      <xdr:col>5</xdr:col>
      <xdr:colOff>0</xdr:colOff>
      <xdr:row>663</xdr:row>
      <xdr:rowOff>104775</xdr:rowOff>
    </xdr:to>
    <xdr:sp macro="" textlink="">
      <xdr:nvSpPr>
        <xdr:cNvPr id="732381" name="Line 2">
          <a:extLst>
            <a:ext uri="{FF2B5EF4-FFF2-40B4-BE49-F238E27FC236}">
              <a16:creationId xmlns:a16="http://schemas.microsoft.com/office/drawing/2014/main" id="{00000000-0008-0000-0800-0000DD2C0B00}"/>
            </a:ext>
          </a:extLst>
        </xdr:cNvPr>
        <xdr:cNvSpPr>
          <a:spLocks noChangeShapeType="1"/>
        </xdr:cNvSpPr>
      </xdr:nvSpPr>
      <xdr:spPr bwMode="auto">
        <a:xfrm flipV="1">
          <a:off x="3067050" y="9683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9"/>
  <sheetViews>
    <sheetView topLeftCell="A6" zoomScale="75" zoomScaleNormal="75" workbookViewId="0">
      <selection activeCell="I68" sqref="I68"/>
    </sheetView>
  </sheetViews>
  <sheetFormatPr defaultRowHeight="16.5" x14ac:dyDescent="0.3"/>
  <cols>
    <col min="1" max="1" width="11.5703125" style="244" customWidth="1"/>
    <col min="2" max="2" width="9.85546875" style="244" customWidth="1"/>
    <col min="3" max="3" width="2.5703125" style="244" customWidth="1"/>
    <col min="4" max="4" width="9.85546875" style="244" customWidth="1"/>
    <col min="5" max="5" width="2.5703125" style="244" customWidth="1"/>
    <col min="6" max="6" width="13.5703125" style="244" customWidth="1"/>
    <col min="7" max="7" width="12.85546875" style="244" customWidth="1"/>
    <col min="8" max="8" width="10.7109375" style="244" customWidth="1"/>
    <col min="9" max="9" width="8" style="245" customWidth="1"/>
    <col min="10" max="10" width="12.85546875" style="244" customWidth="1"/>
    <col min="11" max="11" width="10.7109375" style="244" customWidth="1"/>
    <col min="12" max="12" width="9.85546875" style="244" customWidth="1"/>
    <col min="13" max="13" width="9.140625" style="244" customWidth="1"/>
    <col min="14" max="14" width="16" style="244" bestFit="1" customWidth="1"/>
    <col min="15" max="15" width="10" style="244" customWidth="1"/>
    <col min="16" max="16" width="9.42578125" style="244" bestFit="1" customWidth="1"/>
    <col min="17" max="17" width="9.140625" style="244"/>
    <col min="18" max="18" width="16.28515625" style="244" customWidth="1"/>
    <col min="19" max="19" width="9.5703125" style="245" bestFit="1" customWidth="1"/>
    <col min="20" max="16384" width="9.140625" style="244"/>
  </cols>
  <sheetData>
    <row r="1" spans="1:19" s="331" customFormat="1" ht="20.25" x14ac:dyDescent="0.35">
      <c r="A1" s="863" t="s">
        <v>369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5"/>
      <c r="S1" s="332"/>
    </row>
    <row r="2" spans="1:19" s="331" customFormat="1" ht="21" thickBot="1" x14ac:dyDescent="0.4">
      <c r="A2" s="866" t="s">
        <v>494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8"/>
      <c r="S2" s="332"/>
    </row>
    <row r="3" spans="1:19" ht="18" thickBot="1" x14ac:dyDescent="0.35">
      <c r="A3" s="831"/>
      <c r="B3" s="833" t="s">
        <v>377</v>
      </c>
      <c r="C3" s="834"/>
      <c r="D3" s="834"/>
      <c r="E3" s="835"/>
      <c r="F3" s="836" t="s">
        <v>380</v>
      </c>
      <c r="G3" s="833" t="s">
        <v>383</v>
      </c>
      <c r="H3" s="835"/>
      <c r="I3" s="837" t="s">
        <v>548</v>
      </c>
      <c r="J3" s="838"/>
      <c r="K3" s="838"/>
      <c r="L3" s="839"/>
      <c r="N3" s="246" t="s">
        <v>0</v>
      </c>
      <c r="O3" s="247"/>
      <c r="P3" s="248"/>
      <c r="R3" s="246" t="s">
        <v>449</v>
      </c>
      <c r="S3" s="248"/>
    </row>
    <row r="4" spans="1:19" ht="18" thickBot="1" x14ac:dyDescent="0.35">
      <c r="A4" s="832"/>
      <c r="B4" s="840" t="s">
        <v>378</v>
      </c>
      <c r="C4" s="841"/>
      <c r="D4" s="841"/>
      <c r="E4" s="842"/>
      <c r="F4" s="843" t="s">
        <v>331</v>
      </c>
      <c r="G4" s="840" t="s">
        <v>384</v>
      </c>
      <c r="H4" s="842"/>
      <c r="I4" s="844" t="s">
        <v>65</v>
      </c>
      <c r="J4" s="845" t="s">
        <v>1</v>
      </c>
      <c r="K4" s="833"/>
      <c r="L4" s="846" t="s">
        <v>488</v>
      </c>
      <c r="N4" s="249" t="s">
        <v>351</v>
      </c>
      <c r="O4" s="250"/>
      <c r="P4" s="251"/>
      <c r="R4" s="252" t="s">
        <v>187</v>
      </c>
      <c r="S4" s="253"/>
    </row>
    <row r="5" spans="1:19" ht="17.25" x14ac:dyDescent="0.3">
      <c r="A5" s="847" t="s">
        <v>65</v>
      </c>
      <c r="B5" s="844" t="s">
        <v>379</v>
      </c>
      <c r="C5" s="848"/>
      <c r="D5" s="848" t="s">
        <v>379</v>
      </c>
      <c r="E5" s="849"/>
      <c r="F5" s="843" t="s">
        <v>381</v>
      </c>
      <c r="G5" s="844" t="s">
        <v>379</v>
      </c>
      <c r="H5" s="848" t="s">
        <v>379</v>
      </c>
      <c r="I5" s="850" t="s">
        <v>71</v>
      </c>
      <c r="J5" s="851" t="s">
        <v>379</v>
      </c>
      <c r="K5" s="852" t="s">
        <v>379</v>
      </c>
      <c r="L5" s="853" t="s">
        <v>489</v>
      </c>
      <c r="N5" s="252"/>
      <c r="O5" s="254"/>
      <c r="P5" s="255"/>
      <c r="R5" s="252"/>
      <c r="S5" s="253"/>
    </row>
    <row r="6" spans="1:19" ht="18" thickBot="1" x14ac:dyDescent="0.35">
      <c r="A6" s="854" t="s">
        <v>71</v>
      </c>
      <c r="B6" s="855" t="s">
        <v>69</v>
      </c>
      <c r="C6" s="856"/>
      <c r="D6" s="856" t="s">
        <v>64</v>
      </c>
      <c r="E6" s="857"/>
      <c r="F6" s="858" t="s">
        <v>382</v>
      </c>
      <c r="G6" s="855" t="s">
        <v>69</v>
      </c>
      <c r="H6" s="856" t="s">
        <v>64</v>
      </c>
      <c r="I6" s="859" t="s">
        <v>2</v>
      </c>
      <c r="J6" s="860" t="s">
        <v>69</v>
      </c>
      <c r="K6" s="861" t="s">
        <v>64</v>
      </c>
      <c r="L6" s="862" t="s">
        <v>382</v>
      </c>
      <c r="N6" s="256" t="s">
        <v>200</v>
      </c>
      <c r="O6" s="254" t="s">
        <v>0</v>
      </c>
      <c r="P6" s="255"/>
      <c r="R6" s="256" t="s">
        <v>200</v>
      </c>
      <c r="S6" s="257" t="s">
        <v>2</v>
      </c>
    </row>
    <row r="7" spans="1:19" ht="15" hidden="1" customHeight="1" x14ac:dyDescent="0.3">
      <c r="A7" s="334" t="s">
        <v>217</v>
      </c>
      <c r="B7" s="258">
        <v>5652</v>
      </c>
      <c r="C7" s="259" t="s">
        <v>455</v>
      </c>
      <c r="D7" s="258"/>
      <c r="E7" s="259"/>
      <c r="F7" s="260">
        <v>2345</v>
      </c>
      <c r="G7" s="261">
        <f t="shared" ref="G7:G40" si="0">+B7/F7</f>
        <v>2.4102345415778252</v>
      </c>
      <c r="H7" s="262"/>
      <c r="I7" s="263">
        <v>0.29799999999999999</v>
      </c>
      <c r="J7" s="258">
        <f t="shared" ref="J7:J15" si="1">+B7*$I$58/$I7</f>
        <v>42225.624161073822</v>
      </c>
      <c r="K7" s="258"/>
      <c r="L7" s="264">
        <f t="shared" ref="L7:L15" si="2">+F7*I$58/$I7</f>
        <v>17519.300894854587</v>
      </c>
      <c r="N7" s="252">
        <v>1960</v>
      </c>
      <c r="P7" s="255"/>
      <c r="R7" s="252">
        <v>1960</v>
      </c>
      <c r="S7" s="253">
        <v>0.29799999999999999</v>
      </c>
    </row>
    <row r="8" spans="1:19" ht="15" hidden="1" customHeight="1" x14ac:dyDescent="0.3">
      <c r="A8" s="334" t="s">
        <v>218</v>
      </c>
      <c r="B8" s="258">
        <v>5745</v>
      </c>
      <c r="C8" s="259" t="s">
        <v>455</v>
      </c>
      <c r="D8" s="258"/>
      <c r="E8" s="259"/>
      <c r="F8" s="260">
        <v>2424</v>
      </c>
      <c r="G8" s="261">
        <f t="shared" si="0"/>
        <v>2.370049504950495</v>
      </c>
      <c r="H8" s="262"/>
      <c r="I8" s="265">
        <f t="shared" ref="I8:I49" si="3">((+S7*4)+(S8*8))/12</f>
        <v>0.29866666666666664</v>
      </c>
      <c r="J8" s="258">
        <f t="shared" si="1"/>
        <v>42824.614955357145</v>
      </c>
      <c r="K8" s="258"/>
      <c r="L8" s="264">
        <f t="shared" si="2"/>
        <v>18069.080357142859</v>
      </c>
      <c r="M8" s="266"/>
      <c r="N8" s="252">
        <v>1961</v>
      </c>
      <c r="P8" s="255"/>
      <c r="R8" s="252">
        <v>1961</v>
      </c>
      <c r="S8" s="253">
        <v>0.29899999999999999</v>
      </c>
    </row>
    <row r="9" spans="1:19" ht="15" hidden="1" customHeight="1" x14ac:dyDescent="0.3">
      <c r="A9" s="334" t="s">
        <v>219</v>
      </c>
      <c r="B9" s="258">
        <v>6147</v>
      </c>
      <c r="C9" s="259" t="s">
        <v>455</v>
      </c>
      <c r="D9" s="258"/>
      <c r="E9" s="259"/>
      <c r="F9" s="260">
        <v>2572</v>
      </c>
      <c r="G9" s="261">
        <f t="shared" si="0"/>
        <v>2.3899688958009331</v>
      </c>
      <c r="H9" s="262"/>
      <c r="I9" s="265">
        <f t="shared" si="3"/>
        <v>0.30166666666666669</v>
      </c>
      <c r="J9" s="258">
        <f t="shared" si="1"/>
        <v>45365.53922651933</v>
      </c>
      <c r="K9" s="258"/>
      <c r="L9" s="264">
        <f t="shared" si="2"/>
        <v>18981.644198895025</v>
      </c>
      <c r="M9" s="266"/>
      <c r="N9" s="252">
        <v>1962</v>
      </c>
      <c r="P9" s="255"/>
      <c r="R9" s="252">
        <v>1962</v>
      </c>
      <c r="S9" s="253">
        <v>0.30299999999999999</v>
      </c>
    </row>
    <row r="10" spans="1:19" ht="15" hidden="1" customHeight="1" x14ac:dyDescent="0.3">
      <c r="A10" s="334" t="s">
        <v>220</v>
      </c>
      <c r="B10" s="258">
        <v>6424</v>
      </c>
      <c r="C10" s="259" t="s">
        <v>455</v>
      </c>
      <c r="D10" s="258"/>
      <c r="E10" s="259"/>
      <c r="F10" s="260">
        <v>2629</v>
      </c>
      <c r="G10" s="261">
        <f t="shared" si="0"/>
        <v>2.4435146443514646</v>
      </c>
      <c r="H10" s="262"/>
      <c r="I10" s="265">
        <f t="shared" si="3"/>
        <v>0.30499999999999999</v>
      </c>
      <c r="J10" s="258">
        <f t="shared" si="1"/>
        <v>46891.689617486343</v>
      </c>
      <c r="K10" s="258"/>
      <c r="L10" s="264">
        <f t="shared" si="2"/>
        <v>19190.263387978142</v>
      </c>
      <c r="M10" s="266"/>
      <c r="N10" s="252">
        <v>1963</v>
      </c>
      <c r="P10" s="255"/>
      <c r="R10" s="252">
        <v>1963</v>
      </c>
      <c r="S10" s="253">
        <v>0.30599999999999999</v>
      </c>
    </row>
    <row r="11" spans="1:19" ht="15" hidden="1" customHeight="1" x14ac:dyDescent="0.3">
      <c r="A11" s="334" t="s">
        <v>221</v>
      </c>
      <c r="B11" s="258">
        <v>6566</v>
      </c>
      <c r="C11" s="259" t="s">
        <v>456</v>
      </c>
      <c r="D11" s="258"/>
      <c r="E11" s="259"/>
      <c r="F11" s="260">
        <v>2736</v>
      </c>
      <c r="G11" s="261">
        <f t="shared" si="0"/>
        <v>2.3998538011695905</v>
      </c>
      <c r="H11" s="262"/>
      <c r="I11" s="265">
        <f t="shared" si="3"/>
        <v>0.30866666666666664</v>
      </c>
      <c r="J11" s="258">
        <f t="shared" si="1"/>
        <v>47358.87041036717</v>
      </c>
      <c r="K11" s="258"/>
      <c r="L11" s="264">
        <f t="shared" si="2"/>
        <v>19734.064794816415</v>
      </c>
      <c r="M11" s="266"/>
      <c r="N11" s="252">
        <v>1964</v>
      </c>
      <c r="P11" s="255"/>
      <c r="R11" s="252">
        <v>1964</v>
      </c>
      <c r="S11" s="267">
        <v>0.31</v>
      </c>
    </row>
    <row r="12" spans="1:19" hidden="1" x14ac:dyDescent="0.3">
      <c r="A12" s="334" t="s">
        <v>222</v>
      </c>
      <c r="B12" s="258">
        <v>6865</v>
      </c>
      <c r="C12" s="259" t="s">
        <v>456</v>
      </c>
      <c r="D12" s="258"/>
      <c r="E12" s="259"/>
      <c r="F12" s="260">
        <v>2910</v>
      </c>
      <c r="G12" s="261">
        <f t="shared" si="0"/>
        <v>2.359106529209622</v>
      </c>
      <c r="H12" s="262"/>
      <c r="I12" s="265">
        <f t="shared" si="3"/>
        <v>0.3133333333333333</v>
      </c>
      <c r="J12" s="258">
        <f t="shared" si="1"/>
        <v>48778.015957446813</v>
      </c>
      <c r="K12" s="258"/>
      <c r="L12" s="264">
        <f t="shared" si="2"/>
        <v>20676.47872340426</v>
      </c>
      <c r="M12" s="266"/>
      <c r="N12" s="252">
        <v>1965</v>
      </c>
      <c r="P12" s="255"/>
      <c r="R12" s="252">
        <v>1965</v>
      </c>
      <c r="S12" s="253">
        <v>0.315</v>
      </c>
    </row>
    <row r="13" spans="1:19" hidden="1" x14ac:dyDescent="0.3">
      <c r="A13" s="334" t="s">
        <v>223</v>
      </c>
      <c r="B13" s="258">
        <v>7174</v>
      </c>
      <c r="C13" s="259" t="s">
        <v>457</v>
      </c>
      <c r="D13" s="258"/>
      <c r="E13" s="259"/>
      <c r="F13" s="260">
        <v>3219</v>
      </c>
      <c r="G13" s="261">
        <f t="shared" si="0"/>
        <v>2.2286424355389873</v>
      </c>
      <c r="H13" s="262"/>
      <c r="I13" s="265">
        <f t="shared" si="3"/>
        <v>0.32166666666666671</v>
      </c>
      <c r="J13" s="258">
        <f t="shared" si="1"/>
        <v>49653.001036269423</v>
      </c>
      <c r="K13" s="258"/>
      <c r="L13" s="264">
        <f t="shared" si="2"/>
        <v>22279.482901554402</v>
      </c>
      <c r="M13" s="266"/>
      <c r="N13" s="252">
        <v>1966</v>
      </c>
      <c r="P13" s="255"/>
      <c r="R13" s="252">
        <v>1966</v>
      </c>
      <c r="S13" s="253">
        <v>0.32500000000000001</v>
      </c>
    </row>
    <row r="14" spans="1:19" hidden="1" x14ac:dyDescent="0.3">
      <c r="A14" s="334" t="s">
        <v>224</v>
      </c>
      <c r="B14" s="258">
        <v>7673</v>
      </c>
      <c r="C14" s="259" t="s">
        <v>457</v>
      </c>
      <c r="D14" s="258"/>
      <c r="E14" s="259"/>
      <c r="F14" s="260">
        <v>3396</v>
      </c>
      <c r="G14" s="261">
        <f t="shared" si="0"/>
        <v>2.2594228504122498</v>
      </c>
      <c r="H14" s="262"/>
      <c r="I14" s="265">
        <f t="shared" si="3"/>
        <v>0.33100000000000002</v>
      </c>
      <c r="J14" s="258">
        <f t="shared" si="1"/>
        <v>51609.231621349441</v>
      </c>
      <c r="K14" s="258"/>
      <c r="L14" s="264">
        <f t="shared" si="2"/>
        <v>22841.776435045314</v>
      </c>
      <c r="M14" s="266"/>
      <c r="N14" s="252">
        <v>1967</v>
      </c>
      <c r="P14" s="255"/>
      <c r="R14" s="252">
        <v>1967</v>
      </c>
      <c r="S14" s="253">
        <v>0.33400000000000002</v>
      </c>
    </row>
    <row r="15" spans="1:19" hidden="1" x14ac:dyDescent="0.3">
      <c r="A15" s="334" t="s">
        <v>225</v>
      </c>
      <c r="B15" s="258">
        <v>8377</v>
      </c>
      <c r="C15" s="259" t="s">
        <v>457</v>
      </c>
      <c r="D15" s="258"/>
      <c r="E15" s="259"/>
      <c r="F15" s="260">
        <v>3658</v>
      </c>
      <c r="G15" s="261">
        <f t="shared" si="0"/>
        <v>2.2900492072170584</v>
      </c>
      <c r="H15" s="262"/>
      <c r="I15" s="265">
        <f t="shared" si="3"/>
        <v>0.34333333333333332</v>
      </c>
      <c r="J15" s="258">
        <f t="shared" si="1"/>
        <v>54320.371844660192</v>
      </c>
      <c r="K15" s="258"/>
      <c r="L15" s="264">
        <f t="shared" si="2"/>
        <v>23720.176699029125</v>
      </c>
      <c r="M15" s="266"/>
      <c r="N15" s="252">
        <v>1968</v>
      </c>
      <c r="P15" s="255"/>
      <c r="R15" s="252">
        <v>1968</v>
      </c>
      <c r="S15" s="253">
        <v>0.34799999999999998</v>
      </c>
    </row>
    <row r="16" spans="1:19" ht="15" hidden="1" customHeight="1" x14ac:dyDescent="0.3">
      <c r="A16" s="334" t="s">
        <v>226</v>
      </c>
      <c r="B16" s="258">
        <f>+Table2!K16</f>
        <v>8815</v>
      </c>
      <c r="C16" s="259" t="s">
        <v>456</v>
      </c>
      <c r="D16" s="258">
        <f>+Table2!M16</f>
        <v>5814</v>
      </c>
      <c r="E16" s="259" t="s">
        <v>453</v>
      </c>
      <c r="F16" s="260">
        <v>4034</v>
      </c>
      <c r="G16" s="261">
        <f t="shared" si="0"/>
        <v>2.1851760039662866</v>
      </c>
      <c r="H16" s="261">
        <f t="shared" ref="H16:H33" si="4">D16/F16</f>
        <v>1.4412493802677244</v>
      </c>
      <c r="I16" s="265">
        <f t="shared" si="3"/>
        <v>0.36066666666666664</v>
      </c>
      <c r="J16" s="258">
        <f t="shared" ref="J16:J47" si="5">+B16*$I$68/$I16</f>
        <v>65061.543438077635</v>
      </c>
      <c r="K16" s="258">
        <f t="shared" ref="K16:K47" si="6">+D16*$I$68/$I16</f>
        <v>42911.83364140481</v>
      </c>
      <c r="L16" s="264">
        <f t="shared" ref="L16:L47" si="7">+F16*I$68/$I16</f>
        <v>29774.051756007397</v>
      </c>
      <c r="M16" s="266"/>
      <c r="N16" s="252">
        <v>1969</v>
      </c>
      <c r="P16" s="255"/>
      <c r="R16" s="252">
        <v>1969</v>
      </c>
      <c r="S16" s="253">
        <v>0.36699999999999999</v>
      </c>
    </row>
    <row r="17" spans="1:19" ht="15" hidden="1" customHeight="1" x14ac:dyDescent="0.3">
      <c r="A17" s="334" t="s">
        <v>227</v>
      </c>
      <c r="B17" s="258">
        <f>+Table2!K17</f>
        <v>9728</v>
      </c>
      <c r="C17" s="259" t="s">
        <v>454</v>
      </c>
      <c r="D17" s="258">
        <f>+Table2!M17</f>
        <v>6411</v>
      </c>
      <c r="E17" s="259" t="s">
        <v>453</v>
      </c>
      <c r="F17" s="260">
        <v>4165</v>
      </c>
      <c r="G17" s="261">
        <f t="shared" si="0"/>
        <v>2.3356542617046818</v>
      </c>
      <c r="H17" s="261">
        <f t="shared" si="4"/>
        <v>1.5392557022809124</v>
      </c>
      <c r="I17" s="265">
        <f t="shared" si="3"/>
        <v>0.38100000000000001</v>
      </c>
      <c r="J17" s="258">
        <f t="shared" si="5"/>
        <v>67968.335958005249</v>
      </c>
      <c r="K17" s="258">
        <f t="shared" si="6"/>
        <v>44792.86614173228</v>
      </c>
      <c r="L17" s="264">
        <f t="shared" si="7"/>
        <v>29100.34120734908</v>
      </c>
      <c r="M17" s="266"/>
      <c r="N17" s="252">
        <v>1970</v>
      </c>
      <c r="P17" s="255"/>
      <c r="R17" s="252">
        <v>1970</v>
      </c>
      <c r="S17" s="253">
        <v>0.38800000000000001</v>
      </c>
    </row>
    <row r="18" spans="1:19" ht="15" hidden="1" customHeight="1" x14ac:dyDescent="0.3">
      <c r="A18" s="334" t="s">
        <v>228</v>
      </c>
      <c r="B18" s="258">
        <f>+Table2!K18</f>
        <v>10419</v>
      </c>
      <c r="C18" s="259" t="s">
        <v>454</v>
      </c>
      <c r="D18" s="258">
        <f>+Table2!M18</f>
        <v>6867</v>
      </c>
      <c r="E18" s="259" t="s">
        <v>453</v>
      </c>
      <c r="F18" s="260">
        <v>4340</v>
      </c>
      <c r="G18" s="261">
        <f t="shared" si="0"/>
        <v>2.4006912442396313</v>
      </c>
      <c r="H18" s="261">
        <f t="shared" si="4"/>
        <v>1.582258064516129</v>
      </c>
      <c r="I18" s="265">
        <f t="shared" si="3"/>
        <v>0.39933333333333332</v>
      </c>
      <c r="J18" s="258">
        <f t="shared" si="5"/>
        <v>69454.202003338898</v>
      </c>
      <c r="K18" s="258">
        <f t="shared" si="6"/>
        <v>45776.178631051749</v>
      </c>
      <c r="L18" s="264">
        <f t="shared" si="7"/>
        <v>28930.918196994993</v>
      </c>
      <c r="M18" s="266"/>
      <c r="N18" s="252">
        <v>1971</v>
      </c>
      <c r="P18" s="255"/>
      <c r="R18" s="252">
        <v>1971</v>
      </c>
      <c r="S18" s="253">
        <v>0.40500000000000003</v>
      </c>
    </row>
    <row r="19" spans="1:19" hidden="1" x14ac:dyDescent="0.3">
      <c r="A19" s="334" t="s">
        <v>229</v>
      </c>
      <c r="B19" s="258">
        <f>+Table2!K19</f>
        <v>10708</v>
      </c>
      <c r="C19" s="259"/>
      <c r="D19" s="258">
        <f>+Table2!M19</f>
        <v>6918</v>
      </c>
      <c r="E19" s="259" t="s">
        <v>452</v>
      </c>
      <c r="F19" s="260">
        <v>4689</v>
      </c>
      <c r="G19" s="261">
        <f t="shared" si="0"/>
        <v>2.2836425677116656</v>
      </c>
      <c r="H19" s="261">
        <f t="shared" si="4"/>
        <v>1.4753678822776712</v>
      </c>
      <c r="I19" s="265">
        <f t="shared" si="3"/>
        <v>0.41366666666666668</v>
      </c>
      <c r="J19" s="258">
        <f t="shared" si="5"/>
        <v>68907.403706688157</v>
      </c>
      <c r="K19" s="258">
        <f t="shared" si="6"/>
        <v>44518.249798549557</v>
      </c>
      <c r="L19" s="264">
        <f t="shared" si="7"/>
        <v>30174.338436744561</v>
      </c>
      <c r="M19" s="266"/>
      <c r="N19" s="252">
        <v>1972</v>
      </c>
      <c r="P19" s="255"/>
      <c r="R19" s="252">
        <v>1972</v>
      </c>
      <c r="S19" s="253">
        <v>0.41799999999999998</v>
      </c>
    </row>
    <row r="20" spans="1:19" hidden="1" x14ac:dyDescent="0.3">
      <c r="A20" s="334" t="s">
        <v>230</v>
      </c>
      <c r="B20" s="258">
        <f>+Table2!K20</f>
        <v>11289</v>
      </c>
      <c r="C20" s="259"/>
      <c r="D20" s="258">
        <f>+Table2!M20</f>
        <v>7329</v>
      </c>
      <c r="E20" s="259" t="s">
        <v>458</v>
      </c>
      <c r="F20" s="260">
        <v>5263</v>
      </c>
      <c r="G20" s="261">
        <f t="shared" si="0"/>
        <v>2.1449743492304769</v>
      </c>
      <c r="H20" s="261">
        <f t="shared" si="4"/>
        <v>1.3925517765532966</v>
      </c>
      <c r="I20" s="265">
        <f t="shared" si="3"/>
        <v>0.43533333333333335</v>
      </c>
      <c r="J20" s="258">
        <f t="shared" si="5"/>
        <v>69030.592649310871</v>
      </c>
      <c r="K20" s="258">
        <f t="shared" si="6"/>
        <v>44815.768759571205</v>
      </c>
      <c r="L20" s="264">
        <f t="shared" si="7"/>
        <v>32182.479326186829</v>
      </c>
      <c r="M20" s="266"/>
      <c r="N20" s="252">
        <v>1973</v>
      </c>
      <c r="P20" s="255"/>
      <c r="R20" s="252">
        <v>1973</v>
      </c>
      <c r="S20" s="253">
        <v>0.44400000000000001</v>
      </c>
    </row>
    <row r="21" spans="1:19" hidden="1" x14ac:dyDescent="0.3">
      <c r="A21" s="334" t="s">
        <v>231</v>
      </c>
      <c r="B21" s="258">
        <f>+Table2!K21</f>
        <v>12025</v>
      </c>
      <c r="C21" s="259"/>
      <c r="D21" s="258">
        <f>+Table2!M21</f>
        <v>8004</v>
      </c>
      <c r="E21" s="259" t="s">
        <v>452</v>
      </c>
      <c r="F21" s="260">
        <v>5841</v>
      </c>
      <c r="G21" s="261">
        <f t="shared" si="0"/>
        <v>2.058722821434686</v>
      </c>
      <c r="H21" s="261">
        <f t="shared" si="4"/>
        <v>1.3703133025166923</v>
      </c>
      <c r="I21" s="265">
        <f t="shared" si="3"/>
        <v>0.47666666666666663</v>
      </c>
      <c r="J21" s="258">
        <f t="shared" si="5"/>
        <v>67155</v>
      </c>
      <c r="K21" s="258">
        <f t="shared" si="6"/>
        <v>44699.261538461542</v>
      </c>
      <c r="L21" s="264">
        <f t="shared" si="7"/>
        <v>32619.738461538465</v>
      </c>
      <c r="M21" s="266"/>
      <c r="N21" s="252">
        <v>1974</v>
      </c>
      <c r="P21" s="255"/>
      <c r="R21" s="252">
        <v>1974</v>
      </c>
      <c r="S21" s="253">
        <v>0.49299999999999999</v>
      </c>
    </row>
    <row r="22" spans="1:19" hidden="1" x14ac:dyDescent="0.3">
      <c r="A22" s="334" t="s">
        <v>232</v>
      </c>
      <c r="B22" s="258">
        <f>+Table2!K22</f>
        <v>13049</v>
      </c>
      <c r="C22" s="259"/>
      <c r="D22" s="258">
        <f>+Table2!M22</f>
        <v>8678</v>
      </c>
      <c r="E22" s="259" t="s">
        <v>452</v>
      </c>
      <c r="F22" s="260">
        <v>6427</v>
      </c>
      <c r="G22" s="261">
        <f t="shared" si="0"/>
        <v>2.0303407499611015</v>
      </c>
      <c r="H22" s="261">
        <f t="shared" si="4"/>
        <v>1.3502411700637933</v>
      </c>
      <c r="I22" s="265">
        <f t="shared" si="3"/>
        <v>0.52300000000000002</v>
      </c>
      <c r="J22" s="258">
        <f t="shared" si="5"/>
        <v>66417.663479923518</v>
      </c>
      <c r="K22" s="258">
        <f t="shared" si="6"/>
        <v>44169.8585086042</v>
      </c>
      <c r="L22" s="264">
        <f t="shared" si="7"/>
        <v>32712.569789674948</v>
      </c>
      <c r="M22" s="266"/>
      <c r="N22" s="252">
        <v>1975</v>
      </c>
      <c r="P22" s="255"/>
      <c r="R22" s="252">
        <v>1975</v>
      </c>
      <c r="S22" s="253">
        <v>0.53800000000000003</v>
      </c>
    </row>
    <row r="23" spans="1:19" hidden="1" x14ac:dyDescent="0.3">
      <c r="A23" s="334" t="s">
        <v>233</v>
      </c>
      <c r="B23" s="258">
        <f>+Table2!K23</f>
        <v>14481</v>
      </c>
      <c r="C23" s="259"/>
      <c r="D23" s="258">
        <f>+Table2!M23</f>
        <v>9401</v>
      </c>
      <c r="E23" s="259" t="s">
        <v>452</v>
      </c>
      <c r="F23" s="260">
        <v>7064</v>
      </c>
      <c r="G23" s="261">
        <f t="shared" si="0"/>
        <v>2.0499716874292186</v>
      </c>
      <c r="H23" s="261">
        <f t="shared" si="4"/>
        <v>1.3308323895809739</v>
      </c>
      <c r="I23" s="265">
        <f t="shared" si="3"/>
        <v>0.55866666666666664</v>
      </c>
      <c r="J23" s="258">
        <f t="shared" si="5"/>
        <v>69000.755369928404</v>
      </c>
      <c r="K23" s="258">
        <f t="shared" si="6"/>
        <v>44794.979713603818</v>
      </c>
      <c r="L23" s="264">
        <f t="shared" si="7"/>
        <v>33659.369928400956</v>
      </c>
      <c r="M23" s="266"/>
      <c r="N23" s="252">
        <v>1976</v>
      </c>
      <c r="P23" s="255"/>
      <c r="R23" s="252">
        <v>1976</v>
      </c>
      <c r="S23" s="253">
        <v>0.56899999999999995</v>
      </c>
    </row>
    <row r="24" spans="1:19" hidden="1" x14ac:dyDescent="0.3">
      <c r="A24" s="334" t="s">
        <v>234</v>
      </c>
      <c r="B24" s="258">
        <f>+Table2!K24</f>
        <v>15801</v>
      </c>
      <c r="C24" s="259"/>
      <c r="D24" s="258">
        <f>+Table2!M24</f>
        <v>10225</v>
      </c>
      <c r="E24" s="259"/>
      <c r="F24" s="260">
        <v>7728</v>
      </c>
      <c r="G24" s="261">
        <f t="shared" si="0"/>
        <v>2.0446428571428572</v>
      </c>
      <c r="H24" s="261">
        <f t="shared" si="4"/>
        <v>1.3231107660455486</v>
      </c>
      <c r="I24" s="265">
        <f t="shared" si="3"/>
        <v>0.59366666666666668</v>
      </c>
      <c r="J24" s="258">
        <f t="shared" si="5"/>
        <v>70851.648512071857</v>
      </c>
      <c r="K24" s="258">
        <f t="shared" si="6"/>
        <v>45848.877035373385</v>
      </c>
      <c r="L24" s="264">
        <f t="shared" si="7"/>
        <v>34652.334643458729</v>
      </c>
      <c r="M24" s="266"/>
      <c r="N24" s="252">
        <v>1977</v>
      </c>
      <c r="P24" s="255"/>
      <c r="R24" s="252">
        <v>1977</v>
      </c>
      <c r="S24" s="253">
        <v>0.60599999999999998</v>
      </c>
    </row>
    <row r="25" spans="1:19" hidden="1" x14ac:dyDescent="0.3">
      <c r="A25" s="334" t="s">
        <v>235</v>
      </c>
      <c r="B25" s="258">
        <f>+Table2!K25</f>
        <v>17032</v>
      </c>
      <c r="C25" s="259"/>
      <c r="D25" s="258">
        <f>+Table2!M25</f>
        <v>10952</v>
      </c>
      <c r="E25" s="259"/>
      <c r="F25" s="260">
        <v>8813</v>
      </c>
      <c r="G25" s="261">
        <f t="shared" si="0"/>
        <v>1.9325995688187905</v>
      </c>
      <c r="H25" s="261">
        <f t="shared" si="4"/>
        <v>1.242709633495972</v>
      </c>
      <c r="I25" s="265">
        <f t="shared" si="3"/>
        <v>0.63666666666666671</v>
      </c>
      <c r="J25" s="258">
        <f t="shared" si="5"/>
        <v>71213.378010471206</v>
      </c>
      <c r="K25" s="258">
        <f t="shared" si="6"/>
        <v>45791.974869109945</v>
      </c>
      <c r="L25" s="264">
        <f t="shared" si="7"/>
        <v>36848.491099476436</v>
      </c>
      <c r="M25" s="266"/>
      <c r="N25" s="252">
        <v>1978</v>
      </c>
      <c r="P25" s="255"/>
      <c r="R25" s="252">
        <v>1978</v>
      </c>
      <c r="S25" s="253">
        <v>0.65200000000000002</v>
      </c>
    </row>
    <row r="26" spans="1:19" hidden="1" x14ac:dyDescent="0.3">
      <c r="A26" s="334" t="s">
        <v>236</v>
      </c>
      <c r="B26" s="258">
        <f>+Table2!K26</f>
        <v>18336</v>
      </c>
      <c r="C26" s="259"/>
      <c r="D26" s="258">
        <f>+Table2!M26</f>
        <v>11807</v>
      </c>
      <c r="E26" s="259"/>
      <c r="F26" s="260">
        <v>9840</v>
      </c>
      <c r="G26" s="261">
        <f t="shared" si="0"/>
        <v>1.8634146341463416</v>
      </c>
      <c r="H26" s="261">
        <f t="shared" si="4"/>
        <v>1.1998983739837399</v>
      </c>
      <c r="I26" s="265">
        <f t="shared" si="3"/>
        <v>0.70133333333333336</v>
      </c>
      <c r="J26" s="258">
        <f t="shared" si="5"/>
        <v>69596.623574144483</v>
      </c>
      <c r="K26" s="258">
        <f t="shared" si="6"/>
        <v>44814.972433460076</v>
      </c>
      <c r="L26" s="264">
        <f t="shared" si="7"/>
        <v>37348.973384030411</v>
      </c>
      <c r="M26" s="266"/>
      <c r="N26" s="252">
        <v>1979</v>
      </c>
      <c r="P26" s="255"/>
      <c r="R26" s="252">
        <v>1979</v>
      </c>
      <c r="S26" s="253">
        <v>0.72599999999999998</v>
      </c>
    </row>
    <row r="27" spans="1:19" hidden="1" x14ac:dyDescent="0.3">
      <c r="A27" s="334" t="s">
        <v>237</v>
      </c>
      <c r="B27" s="258">
        <f>+Table2!K27</f>
        <v>19877</v>
      </c>
      <c r="C27" s="259"/>
      <c r="D27" s="258">
        <f>+Table2!M27</f>
        <v>12732</v>
      </c>
      <c r="E27" s="259"/>
      <c r="F27" s="260">
        <v>10725</v>
      </c>
      <c r="G27" s="261">
        <f t="shared" si="0"/>
        <v>1.8533333333333333</v>
      </c>
      <c r="H27" s="261">
        <f t="shared" si="4"/>
        <v>1.1871328671328671</v>
      </c>
      <c r="I27" s="265">
        <f t="shared" si="3"/>
        <v>0.79133333333333322</v>
      </c>
      <c r="J27" s="258">
        <f t="shared" si="5"/>
        <v>66865.08930075822</v>
      </c>
      <c r="K27" s="258">
        <f t="shared" si="6"/>
        <v>42829.718618365638</v>
      </c>
      <c r="L27" s="264">
        <f t="shared" si="7"/>
        <v>36078.285593934292</v>
      </c>
      <c r="M27" s="266"/>
      <c r="N27" s="252">
        <v>1980</v>
      </c>
      <c r="P27" s="255"/>
      <c r="R27" s="252">
        <v>1980</v>
      </c>
      <c r="S27" s="253">
        <v>0.82399999999999995</v>
      </c>
    </row>
    <row r="28" spans="1:19" hidden="1" x14ac:dyDescent="0.3">
      <c r="A28" s="334" t="s">
        <v>238</v>
      </c>
      <c r="B28" s="258">
        <f>+Table2!K28</f>
        <v>22430</v>
      </c>
      <c r="C28" s="259"/>
      <c r="D28" s="258">
        <f>+Table2!M28</f>
        <v>14040</v>
      </c>
      <c r="E28" s="259"/>
      <c r="F28" s="260">
        <v>11630</v>
      </c>
      <c r="G28" s="261">
        <f t="shared" si="0"/>
        <v>1.9286328460877042</v>
      </c>
      <c r="H28" s="261">
        <f t="shared" si="4"/>
        <v>1.2072226999140154</v>
      </c>
      <c r="I28" s="265">
        <f t="shared" si="3"/>
        <v>0.8806666666666666</v>
      </c>
      <c r="J28" s="258">
        <f t="shared" si="5"/>
        <v>67799.386828160481</v>
      </c>
      <c r="K28" s="258">
        <f t="shared" si="6"/>
        <v>42438.849356548068</v>
      </c>
      <c r="L28" s="264">
        <f t="shared" si="7"/>
        <v>35154.118092354278</v>
      </c>
      <c r="M28" s="266"/>
      <c r="N28" s="252">
        <v>1981</v>
      </c>
      <c r="P28" s="255"/>
      <c r="R28" s="252">
        <v>1981</v>
      </c>
      <c r="S28" s="253">
        <v>0.90900000000000003</v>
      </c>
    </row>
    <row r="29" spans="1:19" hidden="1" x14ac:dyDescent="0.3">
      <c r="A29" s="334" t="s">
        <v>239</v>
      </c>
      <c r="B29" s="258">
        <f>+Table2!K29</f>
        <v>24158</v>
      </c>
      <c r="C29" s="259"/>
      <c r="D29" s="258">
        <f>+Table2!M29</f>
        <v>15233</v>
      </c>
      <c r="E29" s="259"/>
      <c r="F29" s="260">
        <v>12024</v>
      </c>
      <c r="G29" s="261">
        <f t="shared" si="0"/>
        <v>2.0091483699268129</v>
      </c>
      <c r="H29" s="261">
        <f t="shared" si="4"/>
        <v>1.2668829008649367</v>
      </c>
      <c r="I29" s="265">
        <f t="shared" si="3"/>
        <v>0.94633333333333336</v>
      </c>
      <c r="J29" s="258">
        <f t="shared" si="5"/>
        <v>67955.543501232823</v>
      </c>
      <c r="K29" s="258">
        <f t="shared" si="6"/>
        <v>42849.854878478334</v>
      </c>
      <c r="L29" s="264">
        <f t="shared" si="7"/>
        <v>33823.058823529413</v>
      </c>
      <c r="M29" s="266"/>
      <c r="N29" s="252">
        <v>1982</v>
      </c>
      <c r="P29" s="255"/>
      <c r="R29" s="252">
        <v>1982</v>
      </c>
      <c r="S29" s="253">
        <v>0.96499999999999997</v>
      </c>
    </row>
    <row r="30" spans="1:19" hidden="1" x14ac:dyDescent="0.3">
      <c r="A30" s="334" t="s">
        <v>240</v>
      </c>
      <c r="B30" s="258">
        <f>+Table2!K30</f>
        <v>24681</v>
      </c>
      <c r="C30" s="259"/>
      <c r="D30" s="258">
        <f>+Table2!M30</f>
        <v>15440</v>
      </c>
      <c r="E30" s="259"/>
      <c r="F30" s="260">
        <v>12685</v>
      </c>
      <c r="G30" s="261">
        <f t="shared" si="0"/>
        <v>1.9456838785967678</v>
      </c>
      <c r="H30" s="261">
        <f t="shared" si="4"/>
        <v>1.2171856523452897</v>
      </c>
      <c r="I30" s="265">
        <f t="shared" si="3"/>
        <v>0.98566666666666658</v>
      </c>
      <c r="J30" s="258">
        <f t="shared" si="5"/>
        <v>66656.227933716611</v>
      </c>
      <c r="K30" s="258">
        <f t="shared" si="6"/>
        <v>41698.965167399394</v>
      </c>
      <c r="L30" s="264">
        <f t="shared" si="7"/>
        <v>34258.508623605012</v>
      </c>
      <c r="M30" s="266"/>
      <c r="N30" s="252">
        <v>1983</v>
      </c>
      <c r="P30" s="255"/>
      <c r="R30" s="252">
        <v>1983</v>
      </c>
      <c r="S30" s="253">
        <v>0.996</v>
      </c>
    </row>
    <row r="31" spans="1:19" hidden="1" x14ac:dyDescent="0.3">
      <c r="A31" s="334" t="s">
        <v>241</v>
      </c>
      <c r="B31" s="258">
        <f>+Table2!K31</f>
        <v>25667</v>
      </c>
      <c r="C31" s="259"/>
      <c r="D31" s="258">
        <f>+Table2!M31</f>
        <v>16249</v>
      </c>
      <c r="E31" s="259"/>
      <c r="F31" s="260">
        <v>13447</v>
      </c>
      <c r="G31" s="261">
        <f t="shared" si="0"/>
        <v>1.908752881683647</v>
      </c>
      <c r="H31" s="261">
        <f t="shared" si="4"/>
        <v>1.2083736149326987</v>
      </c>
      <c r="I31" s="265">
        <f t="shared" si="3"/>
        <v>1.0246666666666666</v>
      </c>
      <c r="J31" s="258">
        <f t="shared" si="5"/>
        <v>66680.761873780095</v>
      </c>
      <c r="K31" s="258">
        <f t="shared" si="6"/>
        <v>42213.569941444373</v>
      </c>
      <c r="L31" s="264">
        <f t="shared" si="7"/>
        <v>34934.203643461289</v>
      </c>
      <c r="M31" s="266"/>
      <c r="N31" s="252">
        <v>1984</v>
      </c>
      <c r="P31" s="255"/>
      <c r="R31" s="252">
        <v>1984</v>
      </c>
      <c r="S31" s="253">
        <v>1.0389999999999999</v>
      </c>
    </row>
    <row r="32" spans="1:19" hidden="1" x14ac:dyDescent="0.3">
      <c r="A32" s="334" t="s">
        <v>242</v>
      </c>
      <c r="B32" s="258">
        <f>+Table2!K32</f>
        <v>26806</v>
      </c>
      <c r="C32" s="259"/>
      <c r="D32" s="258">
        <f>+Table2!M32</f>
        <v>17099</v>
      </c>
      <c r="E32" s="259"/>
      <c r="F32" s="260">
        <v>14096</v>
      </c>
      <c r="G32" s="261">
        <f t="shared" si="0"/>
        <v>1.9016742338251986</v>
      </c>
      <c r="H32" s="261">
        <f t="shared" si="4"/>
        <v>1.2130391600454029</v>
      </c>
      <c r="I32" s="265">
        <f t="shared" si="3"/>
        <v>1.0636666666666665</v>
      </c>
      <c r="J32" s="258">
        <f t="shared" si="5"/>
        <v>67086.404261986841</v>
      </c>
      <c r="K32" s="258">
        <f t="shared" si="6"/>
        <v>42793.047320589161</v>
      </c>
      <c r="L32" s="264">
        <f t="shared" si="7"/>
        <v>35277.548104042624</v>
      </c>
      <c r="M32" s="266"/>
      <c r="N32" s="252">
        <v>1985</v>
      </c>
      <c r="P32" s="255"/>
      <c r="R32" s="252">
        <v>1985</v>
      </c>
      <c r="S32" s="253">
        <v>1.0760000000000001</v>
      </c>
    </row>
    <row r="33" spans="1:19" hidden="1" x14ac:dyDescent="0.3">
      <c r="A33" s="334" t="s">
        <v>243</v>
      </c>
      <c r="B33" s="258">
        <f>+Table2!K33</f>
        <v>27562</v>
      </c>
      <c r="C33" s="259"/>
      <c r="D33" s="258">
        <f>+Table2!M33</f>
        <v>17505</v>
      </c>
      <c r="E33" s="259"/>
      <c r="F33" s="260">
        <v>14884</v>
      </c>
      <c r="G33" s="261">
        <f t="shared" si="0"/>
        <v>1.8517871539908626</v>
      </c>
      <c r="H33" s="261">
        <f t="shared" si="4"/>
        <v>1.1760951357162053</v>
      </c>
      <c r="I33" s="265">
        <f t="shared" si="3"/>
        <v>1.0900000000000001</v>
      </c>
      <c r="J33" s="258">
        <f t="shared" si="5"/>
        <v>67311.96697247705</v>
      </c>
      <c r="K33" s="258">
        <f t="shared" si="6"/>
        <v>42750.743119266052</v>
      </c>
      <c r="L33" s="264">
        <f t="shared" si="7"/>
        <v>36349.73211009174</v>
      </c>
      <c r="M33" s="266"/>
      <c r="N33" s="252">
        <v>1986</v>
      </c>
      <c r="P33" s="255"/>
      <c r="R33" s="252">
        <v>1986</v>
      </c>
      <c r="S33" s="253">
        <v>1.097</v>
      </c>
    </row>
    <row r="34" spans="1:19" hidden="1" x14ac:dyDescent="0.3">
      <c r="A34" s="334" t="s">
        <v>244</v>
      </c>
      <c r="B34" s="258">
        <f>+Table2!K34</f>
        <v>28673</v>
      </c>
      <c r="C34" s="259" t="s">
        <v>452</v>
      </c>
      <c r="D34" s="258">
        <f>+Table2!M34</f>
        <v>18038</v>
      </c>
      <c r="E34" s="259" t="s">
        <v>452</v>
      </c>
      <c r="F34" s="260">
        <v>15568</v>
      </c>
      <c r="G34" s="261">
        <f t="shared" si="0"/>
        <v>1.8417908530318603</v>
      </c>
      <c r="H34" s="261">
        <f t="shared" ref="H34:H55" si="8">D34/F34</f>
        <v>1.1586587872559095</v>
      </c>
      <c r="I34" s="265">
        <f t="shared" si="3"/>
        <v>1.123</v>
      </c>
      <c r="J34" s="258">
        <f t="shared" si="5"/>
        <v>67967.52092609083</v>
      </c>
      <c r="K34" s="258">
        <f t="shared" si="6"/>
        <v>42757.930543187882</v>
      </c>
      <c r="L34" s="264">
        <f t="shared" si="7"/>
        <v>36902.952804986642</v>
      </c>
      <c r="M34" s="266"/>
      <c r="N34" s="252">
        <v>1987</v>
      </c>
      <c r="P34" s="255"/>
      <c r="R34" s="252">
        <v>1987</v>
      </c>
      <c r="S34" s="253">
        <v>1.1359999999999999</v>
      </c>
    </row>
    <row r="35" spans="1:19" hidden="1" x14ac:dyDescent="0.3">
      <c r="A35" s="334" t="s">
        <v>245</v>
      </c>
      <c r="B35" s="258">
        <f>+Table2!K35</f>
        <v>29683</v>
      </c>
      <c r="C35" s="259" t="s">
        <v>452</v>
      </c>
      <c r="D35" s="258">
        <f>+Table2!M35</f>
        <v>18732</v>
      </c>
      <c r="E35" s="259" t="s">
        <v>452</v>
      </c>
      <c r="F35" s="260">
        <f t="shared" ref="F35:F41" si="9">O35</f>
        <v>16360</v>
      </c>
      <c r="G35" s="261">
        <f t="shared" si="0"/>
        <v>1.8143643031784842</v>
      </c>
      <c r="H35" s="261">
        <f t="shared" si="8"/>
        <v>1.1449877750611246</v>
      </c>
      <c r="I35" s="265">
        <f t="shared" si="3"/>
        <v>1.1673333333333333</v>
      </c>
      <c r="J35" s="258">
        <f t="shared" si="5"/>
        <v>67689.445459737282</v>
      </c>
      <c r="K35" s="258">
        <f t="shared" si="6"/>
        <v>42716.662478583661</v>
      </c>
      <c r="L35" s="264">
        <f t="shared" si="7"/>
        <v>37307.527127355796</v>
      </c>
      <c r="M35" s="266"/>
      <c r="N35" s="252">
        <v>1988</v>
      </c>
      <c r="O35" s="268">
        <v>16360</v>
      </c>
      <c r="P35" s="269">
        <v>33909</v>
      </c>
      <c r="R35" s="252">
        <v>1988</v>
      </c>
      <c r="S35" s="253">
        <v>1.1830000000000001</v>
      </c>
    </row>
    <row r="36" spans="1:19" hidden="1" x14ac:dyDescent="0.3">
      <c r="A36" s="334" t="s">
        <v>246</v>
      </c>
      <c r="B36" s="258">
        <f>+Table2!K36</f>
        <v>30756</v>
      </c>
      <c r="C36" s="259" t="s">
        <v>452</v>
      </c>
      <c r="D36" s="258">
        <f>+Table2!M36</f>
        <v>19577</v>
      </c>
      <c r="E36" s="259" t="s">
        <v>452</v>
      </c>
      <c r="F36" s="260">
        <f t="shared" si="9"/>
        <v>17558</v>
      </c>
      <c r="G36" s="261">
        <f t="shared" si="0"/>
        <v>1.7516801458024831</v>
      </c>
      <c r="H36" s="261">
        <f t="shared" si="8"/>
        <v>1.1149903178038501</v>
      </c>
      <c r="I36" s="265">
        <f t="shared" si="3"/>
        <v>1.2203333333333335</v>
      </c>
      <c r="J36" s="258">
        <f t="shared" si="5"/>
        <v>67090.252936356177</v>
      </c>
      <c r="K36" s="258">
        <f t="shared" si="6"/>
        <v>42704.70417918601</v>
      </c>
      <c r="L36" s="264">
        <f t="shared" si="7"/>
        <v>38300.515706091224</v>
      </c>
      <c r="M36" s="266"/>
      <c r="N36" s="252">
        <v>1989</v>
      </c>
      <c r="O36" s="268">
        <v>17558</v>
      </c>
      <c r="P36" s="270"/>
      <c r="R36" s="252">
        <v>1989</v>
      </c>
      <c r="S36" s="253">
        <v>1.2390000000000001</v>
      </c>
    </row>
    <row r="37" spans="1:19" hidden="1" x14ac:dyDescent="0.3">
      <c r="A37" s="334" t="s">
        <v>247</v>
      </c>
      <c r="B37" s="258">
        <f>+Table2!K37</f>
        <v>32085</v>
      </c>
      <c r="C37" s="259" t="s">
        <v>452</v>
      </c>
      <c r="D37" s="258">
        <f>+Table2!M37</f>
        <v>20518</v>
      </c>
      <c r="E37" s="259" t="s">
        <v>452</v>
      </c>
      <c r="F37" s="260">
        <f t="shared" si="9"/>
        <v>19201</v>
      </c>
      <c r="G37" s="261">
        <f t="shared" si="0"/>
        <v>1.6710067184000834</v>
      </c>
      <c r="H37" s="261">
        <f t="shared" si="8"/>
        <v>1.0685901775949169</v>
      </c>
      <c r="I37" s="265">
        <f t="shared" si="3"/>
        <v>1.2843333333333333</v>
      </c>
      <c r="J37" s="258">
        <f t="shared" si="5"/>
        <v>66501.637684920846</v>
      </c>
      <c r="K37" s="258">
        <f t="shared" si="6"/>
        <v>42527.056319750838</v>
      </c>
      <c r="L37" s="264">
        <f t="shared" si="7"/>
        <v>39797.349078640022</v>
      </c>
      <c r="M37" s="266"/>
      <c r="N37" s="252">
        <v>1990</v>
      </c>
      <c r="O37" s="271">
        <v>19201</v>
      </c>
      <c r="P37" s="272">
        <v>35004</v>
      </c>
      <c r="R37" s="252">
        <v>1990</v>
      </c>
      <c r="S37" s="253">
        <v>1.3069999999999999</v>
      </c>
    </row>
    <row r="38" spans="1:19" hidden="1" x14ac:dyDescent="0.3">
      <c r="A38" s="334" t="s">
        <v>248</v>
      </c>
      <c r="B38" s="258">
        <f>+Table2!K38</f>
        <v>34826</v>
      </c>
      <c r="C38" s="259" t="s">
        <v>452</v>
      </c>
      <c r="D38" s="258">
        <f>+Table2!M38</f>
        <v>21560</v>
      </c>
      <c r="E38" s="259" t="s">
        <v>452</v>
      </c>
      <c r="F38" s="260">
        <f t="shared" si="9"/>
        <v>20063</v>
      </c>
      <c r="G38" s="261">
        <f t="shared" si="0"/>
        <v>1.7358321287942979</v>
      </c>
      <c r="H38" s="261">
        <f t="shared" si="8"/>
        <v>1.074614962866969</v>
      </c>
      <c r="I38" s="265">
        <f t="shared" si="3"/>
        <v>1.3436666666666668</v>
      </c>
      <c r="J38" s="258">
        <f t="shared" si="5"/>
        <v>68995.394691143621</v>
      </c>
      <c r="K38" s="258">
        <f t="shared" si="6"/>
        <v>42713.510295212101</v>
      </c>
      <c r="L38" s="264">
        <f t="shared" si="7"/>
        <v>39747.734557181837</v>
      </c>
      <c r="M38" s="266"/>
      <c r="N38" s="252">
        <v>1991</v>
      </c>
      <c r="O38" s="271">
        <v>20063</v>
      </c>
      <c r="P38" s="255"/>
      <c r="R38" s="252">
        <v>1991</v>
      </c>
      <c r="S38" s="253">
        <v>1.3620000000000001</v>
      </c>
    </row>
    <row r="39" spans="1:19" hidden="1" x14ac:dyDescent="0.3">
      <c r="A39" s="334" t="s">
        <v>249</v>
      </c>
      <c r="B39" s="258">
        <f>+Table2!K39</f>
        <v>36665</v>
      </c>
      <c r="C39" s="259"/>
      <c r="D39" s="258">
        <f>+Table2!M39</f>
        <v>22715</v>
      </c>
      <c r="E39" s="259"/>
      <c r="F39" s="260">
        <f t="shared" si="9"/>
        <v>21391</v>
      </c>
      <c r="G39" s="261">
        <f t="shared" si="0"/>
        <v>1.7140386143705297</v>
      </c>
      <c r="H39" s="261">
        <f t="shared" si="8"/>
        <v>1.0618951895657052</v>
      </c>
      <c r="I39" s="265">
        <f t="shared" si="3"/>
        <v>1.3893333333333333</v>
      </c>
      <c r="J39" s="258">
        <f t="shared" si="5"/>
        <v>70251.125239923218</v>
      </c>
      <c r="K39" s="258">
        <f t="shared" si="6"/>
        <v>43522.550383877162</v>
      </c>
      <c r="L39" s="264">
        <f t="shared" si="7"/>
        <v>40985.730806142034</v>
      </c>
      <c r="M39" s="266"/>
      <c r="N39" s="252">
        <v>1992</v>
      </c>
      <c r="O39" s="273">
        <v>21391</v>
      </c>
      <c r="P39" s="274">
        <v>35370</v>
      </c>
      <c r="R39" s="252">
        <v>1992</v>
      </c>
      <c r="S39" s="253">
        <v>1.403</v>
      </c>
    </row>
    <row r="40" spans="1:19" hidden="1" x14ac:dyDescent="0.3">
      <c r="A40" s="334" t="s">
        <v>250</v>
      </c>
      <c r="B40" s="258">
        <f>+Table2!K40</f>
        <v>37698</v>
      </c>
      <c r="C40" s="259"/>
      <c r="D40" s="258">
        <f>+Table2!M40</f>
        <v>23562</v>
      </c>
      <c r="E40" s="259"/>
      <c r="F40" s="260">
        <f t="shared" si="9"/>
        <v>21945</v>
      </c>
      <c r="G40" s="261">
        <f t="shared" si="0"/>
        <v>1.7178400546821599</v>
      </c>
      <c r="H40" s="261">
        <f t="shared" si="8"/>
        <v>1.0736842105263158</v>
      </c>
      <c r="I40" s="265">
        <f t="shared" si="3"/>
        <v>1.431</v>
      </c>
      <c r="J40" s="258">
        <f t="shared" si="5"/>
        <v>70127.236897274634</v>
      </c>
      <c r="K40" s="258">
        <f t="shared" si="6"/>
        <v>43830.918238993712</v>
      </c>
      <c r="L40" s="264">
        <f t="shared" si="7"/>
        <v>40822.914046121587</v>
      </c>
      <c r="M40" s="266"/>
      <c r="N40" s="252">
        <v>1993</v>
      </c>
      <c r="O40" s="273">
        <v>21945</v>
      </c>
      <c r="P40" s="255"/>
      <c r="R40" s="252">
        <v>1993</v>
      </c>
      <c r="S40" s="253">
        <v>1.4450000000000001</v>
      </c>
    </row>
    <row r="41" spans="1:19" hidden="1" x14ac:dyDescent="0.3">
      <c r="A41" s="334" t="s">
        <v>251</v>
      </c>
      <c r="B41" s="258">
        <f>+Table2!K41</f>
        <v>37777</v>
      </c>
      <c r="C41" s="259"/>
      <c r="D41" s="258">
        <f>+Table2!M41</f>
        <v>23837</v>
      </c>
      <c r="E41" s="259"/>
      <c r="F41" s="260">
        <f t="shared" si="9"/>
        <v>22541</v>
      </c>
      <c r="G41" s="261">
        <f t="shared" ref="G41:G46" si="10">+B41/F41</f>
        <v>1.6759238720553657</v>
      </c>
      <c r="H41" s="261">
        <f t="shared" si="8"/>
        <v>1.0574952309125594</v>
      </c>
      <c r="I41" s="265">
        <f t="shared" si="3"/>
        <v>1.4696666666666667</v>
      </c>
      <c r="J41" s="258">
        <f t="shared" si="5"/>
        <v>68425.294171013826</v>
      </c>
      <c r="K41" s="258">
        <f t="shared" si="6"/>
        <v>43175.840780222272</v>
      </c>
      <c r="L41" s="264">
        <f t="shared" si="7"/>
        <v>40828.402358811523</v>
      </c>
      <c r="M41" s="266"/>
      <c r="N41" s="252">
        <v>1994</v>
      </c>
      <c r="O41" s="275">
        <v>22541</v>
      </c>
      <c r="P41" s="276">
        <v>36100</v>
      </c>
      <c r="R41" s="252">
        <v>1994</v>
      </c>
      <c r="S41" s="253">
        <v>1.482</v>
      </c>
    </row>
    <row r="42" spans="1:19" hidden="1" x14ac:dyDescent="0.3">
      <c r="A42" s="334" t="s">
        <v>252</v>
      </c>
      <c r="B42" s="258">
        <f>+Table2!K42</f>
        <v>38100</v>
      </c>
      <c r="C42" s="277"/>
      <c r="D42" s="258">
        <f>+Table2!M42</f>
        <v>24042</v>
      </c>
      <c r="E42" s="259"/>
      <c r="F42" s="260">
        <f t="shared" ref="F42:F49" si="11">O42</f>
        <v>23548</v>
      </c>
      <c r="G42" s="261">
        <f t="shared" si="10"/>
        <v>1.6179718022762017</v>
      </c>
      <c r="H42" s="261">
        <f t="shared" si="8"/>
        <v>1.0209784270426363</v>
      </c>
      <c r="I42" s="265">
        <f t="shared" si="3"/>
        <v>1.51</v>
      </c>
      <c r="J42" s="258">
        <f t="shared" si="5"/>
        <v>67167.019867549665</v>
      </c>
      <c r="K42" s="258">
        <f t="shared" si="6"/>
        <v>42383.976158940393</v>
      </c>
      <c r="L42" s="264">
        <f t="shared" si="7"/>
        <v>41513.096688741723</v>
      </c>
      <c r="M42" s="266"/>
      <c r="N42" s="252">
        <v>1995</v>
      </c>
      <c r="O42" s="278">
        <v>23548</v>
      </c>
      <c r="P42" s="279">
        <v>36465</v>
      </c>
      <c r="R42" s="252">
        <v>1995</v>
      </c>
      <c r="S42" s="253">
        <v>1.524</v>
      </c>
    </row>
    <row r="43" spans="1:19" x14ac:dyDescent="0.3">
      <c r="A43" s="334" t="s">
        <v>253</v>
      </c>
      <c r="B43" s="258">
        <f>+Table2!K43</f>
        <v>39900</v>
      </c>
      <c r="C43" s="280" t="s">
        <v>452</v>
      </c>
      <c r="D43" s="258">
        <f>+Table2!M43</f>
        <v>25092</v>
      </c>
      <c r="E43" s="259"/>
      <c r="F43" s="260">
        <f t="shared" si="11"/>
        <v>24861</v>
      </c>
      <c r="G43" s="261">
        <f t="shared" si="10"/>
        <v>1.6049233739592133</v>
      </c>
      <c r="H43" s="281">
        <f t="shared" si="8"/>
        <v>1.0092916616387113</v>
      </c>
      <c r="I43" s="263">
        <f t="shared" si="3"/>
        <v>1.554</v>
      </c>
      <c r="J43" s="258">
        <f t="shared" si="5"/>
        <v>68348.648648648654</v>
      </c>
      <c r="K43" s="258">
        <f t="shared" si="6"/>
        <v>42982.563706563706</v>
      </c>
      <c r="L43" s="264">
        <f t="shared" si="7"/>
        <v>42586.861003861006</v>
      </c>
      <c r="M43" s="266"/>
      <c r="N43" s="252">
        <v>1996</v>
      </c>
      <c r="O43" s="282">
        <v>24861</v>
      </c>
      <c r="P43" s="283">
        <v>37196</v>
      </c>
      <c r="R43" s="252">
        <v>1996</v>
      </c>
      <c r="S43" s="253">
        <v>1.569</v>
      </c>
    </row>
    <row r="44" spans="1:19" x14ac:dyDescent="0.3">
      <c r="A44" s="334" t="s">
        <v>254</v>
      </c>
      <c r="B44" s="258">
        <f>+Table2!K44</f>
        <v>39868</v>
      </c>
      <c r="C44" s="280" t="s">
        <v>452</v>
      </c>
      <c r="D44" s="258">
        <f>+Table2!M44</f>
        <v>25314</v>
      </c>
      <c r="E44" s="259"/>
      <c r="F44" s="260">
        <f t="shared" si="11"/>
        <v>26368</v>
      </c>
      <c r="G44" s="261">
        <f t="shared" si="10"/>
        <v>1.5119842233009708</v>
      </c>
      <c r="H44" s="281">
        <f t="shared" si="8"/>
        <v>0.96002730582524276</v>
      </c>
      <c r="I44" s="263">
        <f t="shared" si="3"/>
        <v>1.593</v>
      </c>
      <c r="J44" s="258">
        <f t="shared" si="5"/>
        <v>66621.855618330199</v>
      </c>
      <c r="K44" s="258">
        <f t="shared" si="6"/>
        <v>42301.235404896426</v>
      </c>
      <c r="L44" s="264">
        <f t="shared" si="7"/>
        <v>44062.533584431883</v>
      </c>
      <c r="M44" s="266"/>
      <c r="N44" s="252">
        <v>1997</v>
      </c>
      <c r="O44" s="282">
        <v>26368</v>
      </c>
      <c r="P44" s="284"/>
      <c r="R44" s="252">
        <v>1997</v>
      </c>
      <c r="S44" s="253">
        <v>1.605</v>
      </c>
    </row>
    <row r="45" spans="1:19" x14ac:dyDescent="0.3">
      <c r="A45" s="334" t="s">
        <v>255</v>
      </c>
      <c r="B45" s="258">
        <f>+Table2!K45</f>
        <v>40914</v>
      </c>
      <c r="C45" s="280" t="s">
        <v>452</v>
      </c>
      <c r="D45" s="258">
        <f>+Table2!M45</f>
        <v>26332</v>
      </c>
      <c r="E45" s="259"/>
      <c r="F45" s="260">
        <f t="shared" si="11"/>
        <v>28231</v>
      </c>
      <c r="G45" s="261">
        <f t="shared" si="10"/>
        <v>1.4492579079735044</v>
      </c>
      <c r="H45" s="281">
        <f t="shared" si="8"/>
        <v>0.93273351988948316</v>
      </c>
      <c r="I45" s="263">
        <f t="shared" si="3"/>
        <v>1.6216666666666668</v>
      </c>
      <c r="J45" s="285">
        <f t="shared" si="5"/>
        <v>67161.193011305237</v>
      </c>
      <c r="K45" s="285">
        <f t="shared" si="6"/>
        <v>43224.532785200405</v>
      </c>
      <c r="L45" s="286">
        <f t="shared" si="7"/>
        <v>46341.781294964021</v>
      </c>
      <c r="M45" s="266"/>
      <c r="N45" s="252">
        <v>1998</v>
      </c>
      <c r="O45" s="287">
        <v>28231</v>
      </c>
      <c r="P45" s="288">
        <v>37561</v>
      </c>
      <c r="R45" s="252">
        <v>1998</v>
      </c>
      <c r="S45" s="253">
        <v>1.63</v>
      </c>
    </row>
    <row r="46" spans="1:19" x14ac:dyDescent="0.3">
      <c r="A46" s="334" t="s">
        <v>256</v>
      </c>
      <c r="B46" s="258">
        <f>+Table2!K46</f>
        <v>40900</v>
      </c>
      <c r="C46" s="280" t="s">
        <v>452</v>
      </c>
      <c r="D46" s="258">
        <f>+Table2!M46</f>
        <v>26662</v>
      </c>
      <c r="E46" s="259"/>
      <c r="F46" s="260">
        <f t="shared" si="11"/>
        <v>29774</v>
      </c>
      <c r="G46" s="261">
        <f t="shared" si="10"/>
        <v>1.3736817357425941</v>
      </c>
      <c r="H46" s="281">
        <f t="shared" si="8"/>
        <v>0.89547927722173704</v>
      </c>
      <c r="I46" s="263">
        <f t="shared" si="3"/>
        <v>1.6539999999999999</v>
      </c>
      <c r="J46" s="285">
        <f t="shared" si="5"/>
        <v>65825.755743651753</v>
      </c>
      <c r="K46" s="285">
        <f t="shared" si="6"/>
        <v>42910.667472793226</v>
      </c>
      <c r="L46" s="286">
        <f t="shared" si="7"/>
        <v>47919.218863361544</v>
      </c>
      <c r="M46" s="266"/>
      <c r="N46" s="252">
        <v>1999</v>
      </c>
      <c r="O46" s="287">
        <v>29774</v>
      </c>
      <c r="P46" s="289"/>
      <c r="R46" s="252">
        <v>1999</v>
      </c>
      <c r="S46" s="253">
        <v>1.6659999999999999</v>
      </c>
    </row>
    <row r="47" spans="1:19" x14ac:dyDescent="0.3">
      <c r="A47" s="334" t="s">
        <v>257</v>
      </c>
      <c r="B47" s="258">
        <f>+Table2!K47</f>
        <v>43359.299165199503</v>
      </c>
      <c r="C47" s="280" t="s">
        <v>452</v>
      </c>
      <c r="D47" s="258">
        <f>+Table2!M47</f>
        <v>27734.776671803691</v>
      </c>
      <c r="E47" s="259"/>
      <c r="F47" s="260">
        <f>O47</f>
        <v>31709</v>
      </c>
      <c r="G47" s="261">
        <f t="shared" ref="G47:G55" si="12">+B47/F47</f>
        <v>1.3674130109810938</v>
      </c>
      <c r="H47" s="281">
        <f>D47/F47</f>
        <v>0.87466576277409225</v>
      </c>
      <c r="I47" s="263">
        <f t="shared" si="3"/>
        <v>1.7033333333333331</v>
      </c>
      <c r="J47" s="285">
        <f t="shared" si="5"/>
        <v>67762.693372462483</v>
      </c>
      <c r="K47" s="285">
        <f t="shared" si="6"/>
        <v>43344.408317225883</v>
      </c>
      <c r="L47" s="286">
        <f t="shared" si="7"/>
        <v>49555.396086105677</v>
      </c>
      <c r="M47" s="266"/>
      <c r="N47" s="252">
        <v>2000</v>
      </c>
      <c r="O47" s="290">
        <v>31709</v>
      </c>
      <c r="P47" s="276">
        <v>38600</v>
      </c>
      <c r="R47" s="252">
        <v>2000</v>
      </c>
      <c r="S47" s="253">
        <v>1.722</v>
      </c>
    </row>
    <row r="48" spans="1:19" x14ac:dyDescent="0.3">
      <c r="A48" s="334" t="s">
        <v>268</v>
      </c>
      <c r="B48" s="258">
        <f>+Table2!K48</f>
        <v>44588</v>
      </c>
      <c r="C48" s="280" t="s">
        <v>452</v>
      </c>
      <c r="D48" s="258">
        <f>+Table2!M48</f>
        <v>28896</v>
      </c>
      <c r="E48" s="259"/>
      <c r="F48" s="260">
        <f>O48</f>
        <v>32250</v>
      </c>
      <c r="G48" s="261">
        <f t="shared" si="12"/>
        <v>1.3825736434108526</v>
      </c>
      <c r="H48" s="281">
        <f>D48/F48</f>
        <v>0.89600000000000002</v>
      </c>
      <c r="I48" s="263">
        <f t="shared" si="3"/>
        <v>1.7540000000000002</v>
      </c>
      <c r="J48" s="285">
        <f t="shared" ref="J48:J68" si="13">+B48*$I$68/$I48</f>
        <v>67670.043329532491</v>
      </c>
      <c r="K48" s="285">
        <f t="shared" ref="K48:K68" si="14">+D48*$I$68/$I48</f>
        <v>43854.704675028501</v>
      </c>
      <c r="L48" s="286">
        <f t="shared" ref="L48:L68" si="15">+F48*I$68/$I48</f>
        <v>48944.982896237168</v>
      </c>
      <c r="M48" s="266"/>
      <c r="N48" s="252">
        <v>2001</v>
      </c>
      <c r="O48" s="290">
        <v>32250</v>
      </c>
      <c r="P48" s="276"/>
      <c r="R48" s="252">
        <v>2001</v>
      </c>
      <c r="S48" s="253">
        <v>1.77</v>
      </c>
    </row>
    <row r="49" spans="1:19" x14ac:dyDescent="0.3">
      <c r="A49" s="334" t="s">
        <v>278</v>
      </c>
      <c r="B49" s="258">
        <f>+Table2!K49</f>
        <v>46053.13974353925</v>
      </c>
      <c r="C49" s="280" t="s">
        <v>452</v>
      </c>
      <c r="D49" s="258">
        <f>+Table2!M49</f>
        <v>30122.058525702381</v>
      </c>
      <c r="E49" s="259"/>
      <c r="F49" s="260">
        <f t="shared" si="11"/>
        <v>32567</v>
      </c>
      <c r="G49" s="261">
        <f t="shared" si="12"/>
        <v>1.4141044536966638</v>
      </c>
      <c r="H49" s="281">
        <f t="shared" si="8"/>
        <v>0.92492579991102597</v>
      </c>
      <c r="I49" s="263">
        <f t="shared" si="3"/>
        <v>1.7893333333333334</v>
      </c>
      <c r="J49" s="285">
        <f t="shared" si="13"/>
        <v>68513.482487314526</v>
      </c>
      <c r="K49" s="285">
        <f t="shared" si="14"/>
        <v>44812.734609958861</v>
      </c>
      <c r="L49" s="286">
        <f t="shared" si="15"/>
        <v>48450.086065573763</v>
      </c>
      <c r="M49" s="266"/>
      <c r="N49" s="252">
        <v>2002</v>
      </c>
      <c r="O49" s="291">
        <v>32567</v>
      </c>
      <c r="P49" s="292">
        <v>39026</v>
      </c>
      <c r="R49" s="252">
        <v>2002</v>
      </c>
      <c r="S49" s="253">
        <v>1.7989999999999999</v>
      </c>
    </row>
    <row r="50" spans="1:19" x14ac:dyDescent="0.3">
      <c r="A50" s="334" t="s">
        <v>284</v>
      </c>
      <c r="B50" s="258">
        <f>+Table2!K50</f>
        <v>47676.611587606443</v>
      </c>
      <c r="C50" s="280" t="s">
        <v>452</v>
      </c>
      <c r="D50" s="258">
        <f>+Table2!M50</f>
        <v>31512.064479300749</v>
      </c>
      <c r="E50" s="259"/>
      <c r="F50" s="260">
        <f t="shared" ref="F50:F55" si="16">O50</f>
        <v>33136</v>
      </c>
      <c r="G50" s="261">
        <f t="shared" si="12"/>
        <v>1.4388161391720922</v>
      </c>
      <c r="H50" s="281">
        <f t="shared" si="8"/>
        <v>0.9509918058697715</v>
      </c>
      <c r="I50" s="263">
        <f t="shared" ref="I50:I56" si="17">((+S49*4)+(S50*8))/12</f>
        <v>1.8263333333333334</v>
      </c>
      <c r="J50" s="285">
        <f t="shared" si="13"/>
        <v>69491.772246509412</v>
      </c>
      <c r="K50" s="285">
        <f t="shared" si="14"/>
        <v>45930.890113468842</v>
      </c>
      <c r="L50" s="286">
        <f t="shared" si="15"/>
        <v>48297.882095272857</v>
      </c>
      <c r="M50" s="266"/>
      <c r="N50" s="252">
        <v>2003</v>
      </c>
      <c r="O50" s="293">
        <v>33136</v>
      </c>
      <c r="P50" s="294">
        <v>39332</v>
      </c>
      <c r="R50" s="252">
        <v>2003</v>
      </c>
      <c r="S50" s="253">
        <v>1.84</v>
      </c>
    </row>
    <row r="51" spans="1:19" x14ac:dyDescent="0.3">
      <c r="A51" s="334" t="s">
        <v>317</v>
      </c>
      <c r="B51" s="258">
        <f>+Table2!K51</f>
        <v>48141.14217664006</v>
      </c>
      <c r="C51" s="280" t="s">
        <v>452</v>
      </c>
      <c r="D51" s="258">
        <f>+Table2!M51</f>
        <v>31828.1784719307</v>
      </c>
      <c r="E51" s="259"/>
      <c r="F51" s="260">
        <f t="shared" si="16"/>
        <v>35218</v>
      </c>
      <c r="G51" s="261">
        <f t="shared" si="12"/>
        <v>1.3669470775353529</v>
      </c>
      <c r="H51" s="281">
        <f t="shared" si="8"/>
        <v>0.90374747208616901</v>
      </c>
      <c r="I51" s="263">
        <f t="shared" si="17"/>
        <v>1.8726666666666667</v>
      </c>
      <c r="J51" s="285">
        <f t="shared" si="13"/>
        <v>68432.745002251249</v>
      </c>
      <c r="K51" s="285">
        <f t="shared" si="14"/>
        <v>45243.829347959872</v>
      </c>
      <c r="L51" s="286">
        <f t="shared" si="15"/>
        <v>50062.46849412602</v>
      </c>
      <c r="M51" s="266"/>
      <c r="N51" s="252">
        <v>2004</v>
      </c>
      <c r="O51" s="295">
        <v>35218</v>
      </c>
      <c r="P51" s="296">
        <v>39759</v>
      </c>
      <c r="R51" s="252">
        <v>2004</v>
      </c>
      <c r="S51" s="253">
        <v>1.889</v>
      </c>
    </row>
    <row r="52" spans="1:19" x14ac:dyDescent="0.3">
      <c r="A52" s="334" t="s">
        <v>322</v>
      </c>
      <c r="B52" s="258">
        <f>+Table2!K52</f>
        <v>48481.414094311105</v>
      </c>
      <c r="C52" s="280" t="s">
        <v>452</v>
      </c>
      <c r="D52" s="258">
        <f>+Table2!M52</f>
        <v>32512.595992190592</v>
      </c>
      <c r="E52" s="259"/>
      <c r="F52" s="260">
        <f t="shared" si="16"/>
        <v>35955</v>
      </c>
      <c r="G52" s="261">
        <f t="shared" si="12"/>
        <v>1.348391436359647</v>
      </c>
      <c r="H52" s="281">
        <f t="shared" si="8"/>
        <v>0.90425798893590859</v>
      </c>
      <c r="I52" s="263">
        <f t="shared" si="17"/>
        <v>1.9316666666666666</v>
      </c>
      <c r="J52" s="285">
        <f t="shared" si="13"/>
        <v>66811.487999511388</v>
      </c>
      <c r="K52" s="285">
        <f t="shared" si="14"/>
        <v>44805.106400972225</v>
      </c>
      <c r="L52" s="286">
        <f t="shared" si="15"/>
        <v>49549.030198446933</v>
      </c>
      <c r="M52" s="266"/>
      <c r="N52" s="252">
        <v>2005</v>
      </c>
      <c r="O52" s="295">
        <v>35955</v>
      </c>
      <c r="P52" s="296"/>
      <c r="R52" s="252">
        <v>2005</v>
      </c>
      <c r="S52" s="253">
        <v>1.9530000000000001</v>
      </c>
    </row>
    <row r="53" spans="1:19" x14ac:dyDescent="0.3">
      <c r="A53" s="334" t="s">
        <v>325</v>
      </c>
      <c r="B53" s="258">
        <f>+Table2!K53</f>
        <v>49198.121836877952</v>
      </c>
      <c r="C53" s="280" t="s">
        <v>452</v>
      </c>
      <c r="D53" s="258">
        <f>+Table2!M53</f>
        <v>33350.167996201191</v>
      </c>
      <c r="E53" s="259"/>
      <c r="F53" s="260">
        <f t="shared" si="16"/>
        <v>39267</v>
      </c>
      <c r="G53" s="261">
        <f t="shared" si="12"/>
        <v>1.2529126706108935</v>
      </c>
      <c r="H53" s="281">
        <f t="shared" si="8"/>
        <v>0.84931795136377086</v>
      </c>
      <c r="I53" s="263">
        <f t="shared" si="17"/>
        <v>1.9950000000000001</v>
      </c>
      <c r="J53" s="285">
        <f t="shared" si="13"/>
        <v>65646.817207904314</v>
      </c>
      <c r="K53" s="285">
        <f t="shared" si="14"/>
        <v>44500.324413978728</v>
      </c>
      <c r="L53" s="286">
        <f t="shared" si="15"/>
        <v>52395.365413533829</v>
      </c>
      <c r="N53" s="252">
        <v>2006</v>
      </c>
      <c r="O53" s="290">
        <f>AVERAGE(38537,39073,39447,40011)</f>
        <v>39267</v>
      </c>
      <c r="P53" s="276">
        <v>40118</v>
      </c>
      <c r="R53" s="252">
        <v>2006</v>
      </c>
      <c r="S53" s="253">
        <v>2.016</v>
      </c>
    </row>
    <row r="54" spans="1:19" x14ac:dyDescent="0.3">
      <c r="A54" s="334" t="s">
        <v>329</v>
      </c>
      <c r="B54" s="297">
        <f>+Table2!K54</f>
        <v>50899.91909909065</v>
      </c>
      <c r="C54" s="298" t="s">
        <v>452</v>
      </c>
      <c r="D54" s="299">
        <f>+Table2!M54</f>
        <v>34735.474262291616</v>
      </c>
      <c r="E54" s="300"/>
      <c r="F54" s="301">
        <f t="shared" si="16"/>
        <v>41528.75</v>
      </c>
      <c r="G54" s="302">
        <f t="shared" si="12"/>
        <v>1.2256549763498938</v>
      </c>
      <c r="H54" s="303">
        <f t="shared" si="8"/>
        <v>0.83641993227081524</v>
      </c>
      <c r="I54" s="304">
        <f t="shared" si="17"/>
        <v>2.0539999999999998</v>
      </c>
      <c r="J54" s="305">
        <f t="shared" si="13"/>
        <v>65966.691646435895</v>
      </c>
      <c r="K54" s="305">
        <f t="shared" si="14"/>
        <v>45017.445222113092</v>
      </c>
      <c r="L54" s="306">
        <f t="shared" si="15"/>
        <v>53821.58349561831</v>
      </c>
      <c r="N54" s="252">
        <v>2007</v>
      </c>
      <c r="O54" s="290">
        <f>AVERAGE(40622,41260,41820,42413)</f>
        <v>41528.75</v>
      </c>
      <c r="P54" s="307"/>
      <c r="R54" s="252">
        <v>2007</v>
      </c>
      <c r="S54" s="253">
        <v>2.073</v>
      </c>
    </row>
    <row r="55" spans="1:19" x14ac:dyDescent="0.3">
      <c r="A55" s="334" t="s">
        <v>339</v>
      </c>
      <c r="B55" s="297">
        <f>+Table2!K55</f>
        <v>53103.220246524317</v>
      </c>
      <c r="C55" s="298" t="s">
        <v>452</v>
      </c>
      <c r="D55" s="299">
        <f>+Table2!M55</f>
        <v>36316.323806194916</v>
      </c>
      <c r="E55" s="300"/>
      <c r="F55" s="301">
        <f t="shared" si="16"/>
        <v>43727.75</v>
      </c>
      <c r="G55" s="302">
        <f t="shared" si="12"/>
        <v>1.2144055032908008</v>
      </c>
      <c r="H55" s="303">
        <f t="shared" si="8"/>
        <v>0.83050977482708155</v>
      </c>
      <c r="I55" s="304">
        <f t="shared" si="17"/>
        <v>2.1263333333333332</v>
      </c>
      <c r="J55" s="305">
        <f t="shared" si="13"/>
        <v>66481.002804317803</v>
      </c>
      <c r="K55" s="305">
        <f t="shared" si="14"/>
        <v>45465.145307457686</v>
      </c>
      <c r="L55" s="306">
        <f t="shared" si="15"/>
        <v>54743.660683492715</v>
      </c>
      <c r="N55" s="252">
        <v>2008</v>
      </c>
      <c r="O55" s="273">
        <f>AVERAGE(43617,43934,44103,43257)</f>
        <v>43727.75</v>
      </c>
      <c r="P55" s="274">
        <v>40848</v>
      </c>
      <c r="R55" s="252">
        <v>2008</v>
      </c>
      <c r="S55" s="253">
        <v>2.153</v>
      </c>
    </row>
    <row r="56" spans="1:19" x14ac:dyDescent="0.3">
      <c r="A56" s="334" t="s">
        <v>347</v>
      </c>
      <c r="B56" s="297">
        <f>+Table2!K56</f>
        <v>55901.93749537535</v>
      </c>
      <c r="C56" s="298" t="s">
        <v>452</v>
      </c>
      <c r="D56" s="299">
        <f>+Table2!M56</f>
        <v>38402.429358479458</v>
      </c>
      <c r="E56" s="300"/>
      <c r="F56" s="301">
        <f t="shared" ref="F56:F67" si="18">O56</f>
        <v>41638.25</v>
      </c>
      <c r="G56" s="302">
        <f t="shared" ref="G56:G67" si="19">+B56/F56</f>
        <v>1.3425621272597996</v>
      </c>
      <c r="H56" s="303">
        <f t="shared" ref="H56:H67" si="20">D56/F56</f>
        <v>0.9222873045452068</v>
      </c>
      <c r="I56" s="304">
        <f t="shared" si="17"/>
        <v>2.1483333333333334</v>
      </c>
      <c r="J56" s="305">
        <f t="shared" si="13"/>
        <v>69268.095087365014</v>
      </c>
      <c r="K56" s="305">
        <f t="shared" si="14"/>
        <v>47584.453197333889</v>
      </c>
      <c r="L56" s="306">
        <f t="shared" si="15"/>
        <v>51593.958805275404</v>
      </c>
      <c r="N56" s="252">
        <v>2009</v>
      </c>
      <c r="O56" s="273">
        <f>AVERAGE(41861,41758,41424,41510)</f>
        <v>41638.25</v>
      </c>
      <c r="P56" s="307"/>
      <c r="R56" s="252">
        <v>2009</v>
      </c>
      <c r="S56" s="253">
        <v>2.1459999999999999</v>
      </c>
    </row>
    <row r="57" spans="1:19" x14ac:dyDescent="0.3">
      <c r="A57" s="334" t="s">
        <v>350</v>
      </c>
      <c r="B57" s="297">
        <f>+Table2!K57</f>
        <v>56295.556558619064</v>
      </c>
      <c r="C57" s="298" t="s">
        <v>452</v>
      </c>
      <c r="D57" s="299">
        <f>+Table2!M57</f>
        <v>38677.350137230249</v>
      </c>
      <c r="E57" s="300"/>
      <c r="F57" s="301">
        <f t="shared" si="18"/>
        <v>42513.5</v>
      </c>
      <c r="G57" s="302">
        <f t="shared" si="19"/>
        <v>1.3241807086835726</v>
      </c>
      <c r="H57" s="303">
        <f t="shared" si="20"/>
        <v>0.90976631275313136</v>
      </c>
      <c r="I57" s="304">
        <f t="shared" ref="I57:I62" si="21">((+S56*4)+(S57*8))/12</f>
        <v>2.1693333333333333</v>
      </c>
      <c r="J57" s="305">
        <f t="shared" si="13"/>
        <v>69080.564640001816</v>
      </c>
      <c r="K57" s="305">
        <f t="shared" si="14"/>
        <v>47461.173662556968</v>
      </c>
      <c r="L57" s="306">
        <f t="shared" si="15"/>
        <v>52168.53272894898</v>
      </c>
      <c r="N57" s="252">
        <v>2010</v>
      </c>
      <c r="O57" s="308">
        <f>AVERAGE(42003,42346,42664,43041)</f>
        <v>42513.5</v>
      </c>
      <c r="P57" s="309">
        <v>41061</v>
      </c>
      <c r="R57" s="252">
        <v>2010</v>
      </c>
      <c r="S57" s="253">
        <v>2.181</v>
      </c>
    </row>
    <row r="58" spans="1:19" x14ac:dyDescent="0.3">
      <c r="A58" s="334" t="s">
        <v>362</v>
      </c>
      <c r="B58" s="297">
        <f>+Table2!K58</f>
        <v>56226.354120632874</v>
      </c>
      <c r="C58" s="298" t="s">
        <v>452</v>
      </c>
      <c r="D58" s="299">
        <f>+Table2!M58</f>
        <v>38914.422415407607</v>
      </c>
      <c r="E58" s="300"/>
      <c r="F58" s="301">
        <f t="shared" si="18"/>
        <v>44144.75</v>
      </c>
      <c r="G58" s="302">
        <f t="shared" si="19"/>
        <v>1.273681561694944</v>
      </c>
      <c r="H58" s="303">
        <f t="shared" si="20"/>
        <v>0.88151869509755088</v>
      </c>
      <c r="I58" s="304">
        <f t="shared" si="21"/>
        <v>2.2263333333333333</v>
      </c>
      <c r="J58" s="305">
        <f t="shared" si="13"/>
        <v>67229.175626197655</v>
      </c>
      <c r="K58" s="305">
        <f t="shared" si="14"/>
        <v>46529.507023423444</v>
      </c>
      <c r="L58" s="306">
        <f t="shared" si="15"/>
        <v>52783.346833358293</v>
      </c>
      <c r="N58" s="252">
        <v>2011</v>
      </c>
      <c r="O58" s="308">
        <f>AVERAGE(43971,44004,44437,44167)</f>
        <v>44144.75</v>
      </c>
      <c r="P58" s="310"/>
      <c r="R58" s="252">
        <v>2011</v>
      </c>
      <c r="S58" s="253">
        <v>2.2490000000000001</v>
      </c>
    </row>
    <row r="59" spans="1:19" x14ac:dyDescent="0.3">
      <c r="A59" s="334" t="s">
        <v>432</v>
      </c>
      <c r="B59" s="297">
        <f>+Table2!K59</f>
        <v>55605.202772066979</v>
      </c>
      <c r="C59" s="298" t="s">
        <v>452</v>
      </c>
      <c r="D59" s="299">
        <f>+Table2!M59</f>
        <v>39158.339750772102</v>
      </c>
      <c r="E59" s="300"/>
      <c r="F59" s="301">
        <f t="shared" si="18"/>
        <v>45939</v>
      </c>
      <c r="G59" s="302">
        <f t="shared" si="19"/>
        <v>1.2104138699594458</v>
      </c>
      <c r="H59" s="303">
        <f t="shared" si="20"/>
        <v>0.85239861013021834</v>
      </c>
      <c r="I59" s="304">
        <f t="shared" si="21"/>
        <v>2.2803333333333331</v>
      </c>
      <c r="J59" s="305">
        <f t="shared" si="13"/>
        <v>64912.022999229193</v>
      </c>
      <c r="K59" s="305">
        <f t="shared" si="14"/>
        <v>45712.396031233155</v>
      </c>
      <c r="L59" s="306">
        <f t="shared" si="15"/>
        <v>53627.95702382693</v>
      </c>
      <c r="N59" s="252">
        <v>2012</v>
      </c>
      <c r="O59" s="311">
        <f>AVERAGE(45529,45628,45789,46810)</f>
        <v>45939</v>
      </c>
      <c r="P59" s="294">
        <v>41579</v>
      </c>
      <c r="R59" s="252">
        <v>2012</v>
      </c>
      <c r="S59" s="253">
        <v>2.2959999999999998</v>
      </c>
    </row>
    <row r="60" spans="1:19" x14ac:dyDescent="0.3">
      <c r="A60" s="334" t="s">
        <v>448</v>
      </c>
      <c r="B60" s="297">
        <f>+Table2!K60</f>
        <v>55653.314721968061</v>
      </c>
      <c r="C60" s="298" t="s">
        <v>452</v>
      </c>
      <c r="D60" s="299">
        <f>+Table2!M60</f>
        <v>39487.30803855574</v>
      </c>
      <c r="E60" s="300"/>
      <c r="F60" s="301">
        <f t="shared" si="18"/>
        <v>46853</v>
      </c>
      <c r="G60" s="302">
        <f t="shared" si="19"/>
        <v>1.1878282014378601</v>
      </c>
      <c r="H60" s="303">
        <f t="shared" si="20"/>
        <v>0.84279145494537677</v>
      </c>
      <c r="I60" s="304">
        <f t="shared" si="21"/>
        <v>2.3186666666666667</v>
      </c>
      <c r="J60" s="305">
        <f t="shared" si="13"/>
        <v>63894.101692012206</v>
      </c>
      <c r="K60" s="305">
        <f t="shared" si="14"/>
        <v>45334.336112119912</v>
      </c>
      <c r="L60" s="306">
        <f t="shared" si="15"/>
        <v>53790.69263944796</v>
      </c>
      <c r="N60" s="252">
        <v>2013</v>
      </c>
      <c r="O60" s="311">
        <f>AVERAGE(46293,46645,47077,47397)</f>
        <v>46853</v>
      </c>
      <c r="P60" s="294"/>
      <c r="R60" s="252">
        <v>2013</v>
      </c>
      <c r="S60" s="253">
        <v>2.33</v>
      </c>
    </row>
    <row r="61" spans="1:19" x14ac:dyDescent="0.3">
      <c r="A61" s="334" t="s">
        <v>465</v>
      </c>
      <c r="B61" s="297">
        <f>+Table2!K61</f>
        <v>56507</v>
      </c>
      <c r="C61" s="298" t="s">
        <v>452</v>
      </c>
      <c r="D61" s="299">
        <f>+Table2!M61</f>
        <v>40229</v>
      </c>
      <c r="E61" s="300"/>
      <c r="F61" s="301">
        <f>O61</f>
        <v>49524.75</v>
      </c>
      <c r="G61" s="302">
        <f>+B61/F61</f>
        <v>1.1409850630240435</v>
      </c>
      <c r="H61" s="303">
        <f>D61/F61</f>
        <v>0.81230092024694722</v>
      </c>
      <c r="I61" s="304">
        <f t="shared" si="21"/>
        <v>2.3546666666666667</v>
      </c>
      <c r="J61" s="305">
        <f t="shared" si="13"/>
        <v>63882.347395243487</v>
      </c>
      <c r="K61" s="305">
        <f t="shared" si="14"/>
        <v>45479.727349943372</v>
      </c>
      <c r="L61" s="306">
        <f t="shared" si="15"/>
        <v>55988.767483012452</v>
      </c>
      <c r="N61" s="252">
        <v>2014</v>
      </c>
      <c r="O61" s="290">
        <f>AVERAGE(48710,49321,49657,50411)</f>
        <v>49524.75</v>
      </c>
      <c r="P61" s="276">
        <v>42309</v>
      </c>
      <c r="R61" s="252">
        <v>2014</v>
      </c>
      <c r="S61" s="253">
        <v>2.367</v>
      </c>
    </row>
    <row r="62" spans="1:19" x14ac:dyDescent="0.3">
      <c r="A62" s="334" t="s">
        <v>478</v>
      </c>
      <c r="B62" s="297">
        <f>+Table2!K62</f>
        <v>56306.748124217665</v>
      </c>
      <c r="C62" s="298" t="s">
        <v>452</v>
      </c>
      <c r="D62" s="299">
        <f>+Table2!M62</f>
        <v>41147.00858279477</v>
      </c>
      <c r="E62" s="300"/>
      <c r="F62" s="301">
        <f>O62</f>
        <v>51501.5</v>
      </c>
      <c r="G62" s="302">
        <f>+B62/F62</f>
        <v>1.0933030712545784</v>
      </c>
      <c r="H62" s="303">
        <f>D62/F62</f>
        <v>0.79894777011921536</v>
      </c>
      <c r="I62" s="304">
        <f t="shared" si="21"/>
        <v>2.3690000000000002</v>
      </c>
      <c r="J62" s="305">
        <f t="shared" si="13"/>
        <v>63270.816169973579</v>
      </c>
      <c r="K62" s="305">
        <f t="shared" si="14"/>
        <v>46236.106731700995</v>
      </c>
      <c r="L62" s="306">
        <f t="shared" si="15"/>
        <v>57871.250738708302</v>
      </c>
      <c r="N62" s="252">
        <v>2015</v>
      </c>
      <c r="O62" s="290">
        <f>AVERAGE(50734,51583,51677,52012)</f>
        <v>51501.5</v>
      </c>
      <c r="P62" s="276"/>
      <c r="R62" s="252">
        <v>2015</v>
      </c>
      <c r="S62" s="253">
        <v>2.37</v>
      </c>
    </row>
    <row r="63" spans="1:19" x14ac:dyDescent="0.3">
      <c r="A63" s="334" t="s">
        <v>501</v>
      </c>
      <c r="B63" s="297">
        <f>+Table2!K63</f>
        <v>57822</v>
      </c>
      <c r="C63" s="298" t="s">
        <v>452</v>
      </c>
      <c r="D63" s="299">
        <f>+Table2!M63</f>
        <v>43048</v>
      </c>
      <c r="E63" s="300"/>
      <c r="F63" s="301">
        <f>O63</f>
        <v>54570</v>
      </c>
      <c r="G63" s="302">
        <f>+B63/F63</f>
        <v>1.0595931830676195</v>
      </c>
      <c r="H63" s="303">
        <f>D63/F63</f>
        <v>0.78885834707714864</v>
      </c>
      <c r="I63" s="304">
        <f t="shared" ref="I63:I68" si="22">((+S62*4)+(S63*8))/12</f>
        <v>2.39</v>
      </c>
      <c r="J63" s="305">
        <f t="shared" si="13"/>
        <v>64402.579079497904</v>
      </c>
      <c r="K63" s="305">
        <f t="shared" si="14"/>
        <v>47947.186610878656</v>
      </c>
      <c r="L63" s="306">
        <f t="shared" si="15"/>
        <v>60780.476987447691</v>
      </c>
      <c r="N63" s="252">
        <v>2016</v>
      </c>
      <c r="O63" s="312">
        <f>AVERAGE(53958,54481,54730,55111)</f>
        <v>54570</v>
      </c>
      <c r="P63" s="313">
        <v>43040</v>
      </c>
      <c r="R63" s="252">
        <v>2016</v>
      </c>
      <c r="S63" s="253">
        <v>2.4</v>
      </c>
    </row>
    <row r="64" spans="1:19" x14ac:dyDescent="0.3">
      <c r="A64" s="334" t="s">
        <v>505</v>
      </c>
      <c r="B64" s="297">
        <f>+Table2!K64</f>
        <v>58820.624313845299</v>
      </c>
      <c r="C64" s="298" t="s">
        <v>452</v>
      </c>
      <c r="D64" s="299">
        <f>+Table2!M64</f>
        <v>44704.040055013698</v>
      </c>
      <c r="E64" s="300"/>
      <c r="F64" s="301">
        <f>O64</f>
        <v>56558.75</v>
      </c>
      <c r="G64" s="302">
        <f>+B64/F64</f>
        <v>1.0399915895214322</v>
      </c>
      <c r="H64" s="303">
        <f>D64/F64</f>
        <v>0.79040007169560322</v>
      </c>
      <c r="I64" s="304">
        <f t="shared" si="22"/>
        <v>2.4339999999999997</v>
      </c>
      <c r="J64" s="305">
        <f t="shared" si="13"/>
        <v>64330.526673564586</v>
      </c>
      <c r="K64" s="305">
        <f t="shared" si="14"/>
        <v>48891.600093034707</v>
      </c>
      <c r="L64" s="306">
        <f t="shared" si="15"/>
        <v>61856.775883319642</v>
      </c>
      <c r="N64" s="252">
        <v>2017</v>
      </c>
      <c r="O64" s="312">
        <f>AVERAGE(56164,56328,56682,57061)</f>
        <v>56558.75</v>
      </c>
      <c r="P64" s="313"/>
      <c r="R64" s="252">
        <v>2017</v>
      </c>
      <c r="S64" s="253">
        <v>2.4510000000000001</v>
      </c>
    </row>
    <row r="65" spans="1:19" x14ac:dyDescent="0.3">
      <c r="A65" s="334" t="s">
        <v>510</v>
      </c>
      <c r="B65" s="297">
        <f>+Table2!K65</f>
        <v>60388</v>
      </c>
      <c r="C65" s="298" t="s">
        <v>452</v>
      </c>
      <c r="D65" s="299">
        <f>+Table2!M65</f>
        <v>47275</v>
      </c>
      <c r="E65" s="300"/>
      <c r="F65" s="301">
        <f t="shared" si="18"/>
        <v>62017</v>
      </c>
      <c r="G65" s="302">
        <f t="shared" si="19"/>
        <v>0.9737330086911653</v>
      </c>
      <c r="H65" s="303">
        <f t="shared" si="20"/>
        <v>0.76229098472999335</v>
      </c>
      <c r="I65" s="304">
        <f t="shared" si="22"/>
        <v>2.4910000000000001</v>
      </c>
      <c r="J65" s="305">
        <f t="shared" si="13"/>
        <v>64533.462866318747</v>
      </c>
      <c r="K65" s="305">
        <f t="shared" si="14"/>
        <v>50520.293054997994</v>
      </c>
      <c r="L65" s="306">
        <f t="shared" si="15"/>
        <v>66274.289040545962</v>
      </c>
      <c r="N65" s="252">
        <v>2018</v>
      </c>
      <c r="O65" s="293">
        <f>AVERAGE(61196,61668,62471,62733)</f>
        <v>62017</v>
      </c>
      <c r="P65" s="294">
        <v>43770</v>
      </c>
      <c r="R65" s="252">
        <v>2018</v>
      </c>
      <c r="S65" s="253">
        <v>2.5110000000000001</v>
      </c>
    </row>
    <row r="66" spans="1:19" x14ac:dyDescent="0.3">
      <c r="A66" s="334" t="s">
        <v>521</v>
      </c>
      <c r="B66" s="297">
        <f>+Table2!K66</f>
        <v>77203</v>
      </c>
      <c r="C66" s="298" t="s">
        <v>452</v>
      </c>
      <c r="D66" s="299">
        <f>+Table2!M66</f>
        <v>50404</v>
      </c>
      <c r="E66" s="300"/>
      <c r="F66" s="301">
        <f t="shared" si="18"/>
        <v>64250.25</v>
      </c>
      <c r="G66" s="302">
        <f t="shared" si="19"/>
        <v>1.2015984373601658</v>
      </c>
      <c r="H66" s="303">
        <f t="shared" si="20"/>
        <v>0.7844950019649729</v>
      </c>
      <c r="I66" s="304">
        <f t="shared" si="22"/>
        <v>2.5416666666666665</v>
      </c>
      <c r="J66" s="305">
        <f t="shared" si="13"/>
        <v>80858.119081967219</v>
      </c>
      <c r="K66" s="305">
        <f t="shared" si="14"/>
        <v>52790.340196721314</v>
      </c>
      <c r="L66" s="306">
        <f t="shared" si="15"/>
        <v>67292.130688524601</v>
      </c>
      <c r="N66" s="252">
        <v>2019</v>
      </c>
      <c r="O66" s="293">
        <f>AVERAGE(63558,64115,64459,64869)</f>
        <v>64250.25</v>
      </c>
      <c r="P66" s="294"/>
      <c r="R66" s="252">
        <v>2019</v>
      </c>
      <c r="S66" s="253">
        <v>2.5569999999999999</v>
      </c>
    </row>
    <row r="67" spans="1:19" x14ac:dyDescent="0.3">
      <c r="A67" s="334" t="s">
        <v>533</v>
      </c>
      <c r="B67" s="297">
        <f>+Table2!K67</f>
        <v>81082</v>
      </c>
      <c r="C67" s="298" t="s">
        <v>452</v>
      </c>
      <c r="D67" s="299">
        <f>+Table2!M67</f>
        <v>53464</v>
      </c>
      <c r="E67" s="300"/>
      <c r="F67" s="301">
        <f t="shared" si="18"/>
        <v>68359.25</v>
      </c>
      <c r="G67" s="302">
        <f t="shared" si="19"/>
        <v>1.1861159974692526</v>
      </c>
      <c r="H67" s="303">
        <f t="shared" si="20"/>
        <v>0.78210337298902488</v>
      </c>
      <c r="I67" s="304">
        <f t="shared" si="22"/>
        <v>2.577666666666667</v>
      </c>
      <c r="J67" s="305">
        <f t="shared" si="13"/>
        <v>83734.753911806532</v>
      </c>
      <c r="K67" s="305">
        <f t="shared" si="14"/>
        <v>55213.177809388333</v>
      </c>
      <c r="L67" s="306">
        <f t="shared" si="15"/>
        <v>70595.754623044093</v>
      </c>
      <c r="N67" s="252">
        <v>2020</v>
      </c>
      <c r="O67" s="554">
        <f>AVERAGE(66159,70662,68605,68011)</f>
        <v>68359.25</v>
      </c>
      <c r="P67" s="555">
        <v>44440</v>
      </c>
      <c r="R67" s="252">
        <v>2020</v>
      </c>
      <c r="S67" s="253">
        <v>2.5880000000000001</v>
      </c>
    </row>
    <row r="68" spans="1:19" ht="17.25" thickBot="1" x14ac:dyDescent="0.35">
      <c r="A68" s="348" t="s">
        <v>543</v>
      </c>
      <c r="B68" s="314">
        <f>+Table2!K68</f>
        <v>83879</v>
      </c>
      <c r="C68" s="315" t="s">
        <v>452</v>
      </c>
      <c r="D68" s="314">
        <f>+Table2!M68</f>
        <v>56377</v>
      </c>
      <c r="E68" s="316"/>
      <c r="F68" s="317">
        <f t="shared" ref="F68" si="23">O68</f>
        <v>72208.75</v>
      </c>
      <c r="G68" s="318">
        <f t="shared" ref="G68" si="24">+B68/F68</f>
        <v>1.1616182249381135</v>
      </c>
      <c r="H68" s="319">
        <f t="shared" ref="H68" si="25">D68/F68</f>
        <v>0.78075025533609155</v>
      </c>
      <c r="I68" s="320">
        <f t="shared" si="22"/>
        <v>2.6619999999999999</v>
      </c>
      <c r="J68" s="321">
        <f t="shared" si="13"/>
        <v>83879</v>
      </c>
      <c r="K68" s="321">
        <f t="shared" si="14"/>
        <v>56377</v>
      </c>
      <c r="L68" s="322">
        <f t="shared" si="15"/>
        <v>72208.75</v>
      </c>
      <c r="N68" s="323">
        <v>2021</v>
      </c>
      <c r="O68" s="563">
        <f>AVERAGE(74882,71283,71541,71129)</f>
        <v>72208.75</v>
      </c>
      <c r="P68" s="324"/>
      <c r="R68" s="323">
        <v>2021</v>
      </c>
      <c r="S68" s="325">
        <v>2.6989999999999998</v>
      </c>
    </row>
    <row r="69" spans="1:19" ht="17.25" thickTop="1" x14ac:dyDescent="0.3">
      <c r="D69" s="326"/>
      <c r="J69" s="327"/>
      <c r="L69" s="328"/>
      <c r="S69" s="329"/>
    </row>
    <row r="70" spans="1:19" x14ac:dyDescent="0.3">
      <c r="A70" s="330" t="s">
        <v>385</v>
      </c>
      <c r="G70" s="330" t="s">
        <v>386</v>
      </c>
      <c r="I70" s="244"/>
      <c r="N70" s="244" t="s">
        <v>282</v>
      </c>
      <c r="S70" s="329"/>
    </row>
    <row r="71" spans="1:19" x14ac:dyDescent="0.3">
      <c r="A71" s="244" t="s">
        <v>585</v>
      </c>
      <c r="G71" s="244" t="s">
        <v>3</v>
      </c>
      <c r="I71" s="244"/>
    </row>
    <row r="72" spans="1:19" x14ac:dyDescent="0.3">
      <c r="G72" s="244" t="s">
        <v>264</v>
      </c>
      <c r="I72" s="244"/>
    </row>
    <row r="73" spans="1:19" x14ac:dyDescent="0.3">
      <c r="A73" s="330" t="s">
        <v>387</v>
      </c>
      <c r="G73" s="244" t="s">
        <v>281</v>
      </c>
      <c r="I73" s="244"/>
    </row>
    <row r="74" spans="1:19" x14ac:dyDescent="0.3">
      <c r="A74" s="244" t="s">
        <v>477</v>
      </c>
      <c r="G74" s="244" t="s">
        <v>313</v>
      </c>
      <c r="I74" s="244"/>
    </row>
    <row r="75" spans="1:19" x14ac:dyDescent="0.3">
      <c r="G75" s="244" t="s">
        <v>326</v>
      </c>
      <c r="I75" s="244"/>
    </row>
    <row r="76" spans="1:19" x14ac:dyDescent="0.3">
      <c r="A76" s="330" t="s">
        <v>388</v>
      </c>
      <c r="G76" s="244" t="s">
        <v>337</v>
      </c>
      <c r="I76" s="244"/>
    </row>
    <row r="77" spans="1:19" x14ac:dyDescent="0.3">
      <c r="A77" s="244" t="s">
        <v>315</v>
      </c>
      <c r="G77" s="244" t="s">
        <v>338</v>
      </c>
      <c r="I77" s="244"/>
    </row>
    <row r="78" spans="1:19" x14ac:dyDescent="0.3">
      <c r="A78" s="244" t="s">
        <v>321</v>
      </c>
      <c r="G78" s="244" t="s">
        <v>349</v>
      </c>
      <c r="I78" s="244"/>
    </row>
    <row r="79" spans="1:19" x14ac:dyDescent="0.3">
      <c r="G79" s="244" t="s">
        <v>361</v>
      </c>
      <c r="I79" s="244"/>
    </row>
    <row r="80" spans="1:19" x14ac:dyDescent="0.3">
      <c r="A80" s="330"/>
      <c r="G80" s="244" t="s">
        <v>462</v>
      </c>
      <c r="I80" s="244"/>
    </row>
    <row r="81" spans="7:9" x14ac:dyDescent="0.3">
      <c r="G81" s="244" t="s">
        <v>463</v>
      </c>
      <c r="I81" s="244"/>
    </row>
    <row r="82" spans="7:9" x14ac:dyDescent="0.3">
      <c r="G82" s="244" t="s">
        <v>479</v>
      </c>
      <c r="I82" s="244"/>
    </row>
    <row r="83" spans="7:9" x14ac:dyDescent="0.3">
      <c r="G83" s="244" t="s">
        <v>507</v>
      </c>
      <c r="I83" s="244"/>
    </row>
    <row r="84" spans="7:9" x14ac:dyDescent="0.3">
      <c r="G84" s="244" t="s">
        <v>513</v>
      </c>
      <c r="I84" s="244"/>
    </row>
    <row r="85" spans="7:9" x14ac:dyDescent="0.3">
      <c r="G85" s="244" t="s">
        <v>552</v>
      </c>
      <c r="I85" s="244"/>
    </row>
    <row r="86" spans="7:9" x14ac:dyDescent="0.3">
      <c r="G86" s="244" t="s">
        <v>601</v>
      </c>
      <c r="I86" s="244"/>
    </row>
    <row r="87" spans="7:9" x14ac:dyDescent="0.3">
      <c r="G87" s="244" t="s">
        <v>258</v>
      </c>
      <c r="I87" s="244"/>
    </row>
    <row r="88" spans="7:9" x14ac:dyDescent="0.3">
      <c r="G88" s="244" t="s">
        <v>602</v>
      </c>
      <c r="I88" s="244"/>
    </row>
    <row r="89" spans="7:9" x14ac:dyDescent="0.3">
      <c r="G89" s="244" t="s">
        <v>4</v>
      </c>
      <c r="I89" s="244"/>
    </row>
  </sheetData>
  <mergeCells count="2">
    <mergeCell ref="A1:L1"/>
    <mergeCell ref="A2:L2"/>
  </mergeCells>
  <phoneticPr fontId="0" type="noConversion"/>
  <printOptions horizontalCentered="1" verticalCentered="1"/>
  <pageMargins left="0.75" right="0.75" top="1" bottom="1" header="0.5" footer="0.5"/>
  <pageSetup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workbookViewId="0">
      <pane ySplit="6" topLeftCell="A7" activePane="bottomLeft" state="frozen"/>
      <selection pane="bottomLeft" activeCell="O34" sqref="O34"/>
    </sheetView>
  </sheetViews>
  <sheetFormatPr defaultRowHeight="14.25" x14ac:dyDescent="0.25"/>
  <cols>
    <col min="1" max="1" width="5.28515625" style="540" customWidth="1"/>
    <col min="2" max="2" width="23.140625" style="541" bestFit="1" customWidth="1"/>
    <col min="3" max="3" width="9.7109375" style="542" bestFit="1" customWidth="1"/>
    <col min="4" max="4" width="9" style="542" bestFit="1" customWidth="1"/>
    <col min="5" max="5" width="9.85546875" style="543" bestFit="1" customWidth="1"/>
    <col min="6" max="7" width="7.42578125" style="542" bestFit="1" customWidth="1"/>
    <col min="8" max="9" width="7.42578125" style="542" customWidth="1"/>
    <col min="10" max="10" width="7.42578125" style="553" customWidth="1"/>
    <col min="11" max="16384" width="9.140625" style="541"/>
  </cols>
  <sheetData>
    <row r="1" spans="1:10" x14ac:dyDescent="0.25">
      <c r="A1" s="552" t="s">
        <v>539</v>
      </c>
    </row>
    <row r="3" spans="1:10" x14ac:dyDescent="0.25">
      <c r="D3" s="542" t="s">
        <v>426</v>
      </c>
      <c r="E3" s="891" t="s">
        <v>540</v>
      </c>
      <c r="F3" s="891"/>
      <c r="G3" s="891"/>
      <c r="H3" s="891"/>
      <c r="I3" s="891"/>
      <c r="J3" s="891"/>
    </row>
    <row r="4" spans="1:10" x14ac:dyDescent="0.25">
      <c r="D4" s="542" t="s">
        <v>335</v>
      </c>
      <c r="E4" s="543" t="s">
        <v>38</v>
      </c>
      <c r="F4" s="542" t="s">
        <v>332</v>
      </c>
      <c r="G4" s="542" t="s">
        <v>38</v>
      </c>
      <c r="H4" s="542" t="s">
        <v>333</v>
      </c>
      <c r="I4" s="542" t="s">
        <v>427</v>
      </c>
      <c r="J4" s="544" t="s">
        <v>334</v>
      </c>
    </row>
    <row r="5" spans="1:10" x14ac:dyDescent="0.25">
      <c r="A5" s="540" t="s">
        <v>195</v>
      </c>
      <c r="C5" s="542" t="s">
        <v>196</v>
      </c>
      <c r="D5" s="542" t="s">
        <v>428</v>
      </c>
      <c r="E5" s="543" t="s">
        <v>6</v>
      </c>
      <c r="F5" s="542" t="s">
        <v>335</v>
      </c>
      <c r="G5" s="542" t="s">
        <v>335</v>
      </c>
      <c r="H5" s="542" t="s">
        <v>336</v>
      </c>
      <c r="I5" s="542" t="s">
        <v>336</v>
      </c>
      <c r="J5" s="544" t="s">
        <v>541</v>
      </c>
    </row>
    <row r="6" spans="1:10" x14ac:dyDescent="0.25">
      <c r="A6" s="549"/>
      <c r="B6" s="545"/>
      <c r="E6" s="547"/>
      <c r="F6" s="546"/>
      <c r="G6" s="551"/>
      <c r="I6" s="546"/>
      <c r="J6" s="544"/>
    </row>
    <row r="7" spans="1:10" x14ac:dyDescent="0.25">
      <c r="A7" s="549" t="s">
        <v>390</v>
      </c>
      <c r="B7" s="545" t="s">
        <v>152</v>
      </c>
      <c r="C7" s="546">
        <v>293</v>
      </c>
      <c r="D7" s="546">
        <v>9666</v>
      </c>
      <c r="E7" s="550">
        <v>253.2</v>
      </c>
      <c r="F7" s="546">
        <v>167016</v>
      </c>
      <c r="G7" s="546">
        <v>190506</v>
      </c>
      <c r="H7" s="546">
        <v>12391</v>
      </c>
      <c r="I7" s="546">
        <v>37298</v>
      </c>
      <c r="J7" s="548">
        <v>248.7</v>
      </c>
    </row>
    <row r="8" spans="1:10" x14ac:dyDescent="0.25">
      <c r="A8" s="549" t="s">
        <v>391</v>
      </c>
      <c r="B8" s="545" t="s">
        <v>128</v>
      </c>
      <c r="C8" s="546">
        <v>163</v>
      </c>
      <c r="D8" s="546">
        <v>5503</v>
      </c>
      <c r="E8" s="550">
        <v>141.35</v>
      </c>
      <c r="F8" s="546">
        <v>177432</v>
      </c>
      <c r="G8" s="546">
        <v>198802</v>
      </c>
      <c r="H8" s="546">
        <v>12396</v>
      </c>
      <c r="I8" s="546">
        <v>38491</v>
      </c>
      <c r="J8" s="548">
        <v>255.9</v>
      </c>
    </row>
    <row r="9" spans="1:10" x14ac:dyDescent="0.25">
      <c r="A9" s="549" t="s">
        <v>392</v>
      </c>
      <c r="B9" s="545" t="s">
        <v>129</v>
      </c>
      <c r="C9" s="546">
        <v>1317</v>
      </c>
      <c r="D9" s="546">
        <v>3463</v>
      </c>
      <c r="E9" s="550">
        <v>1019.85</v>
      </c>
      <c r="F9" s="551">
        <v>143011</v>
      </c>
      <c r="G9" s="546">
        <v>153458</v>
      </c>
      <c r="H9" s="546">
        <v>12232</v>
      </c>
      <c r="I9" s="546">
        <v>33333</v>
      </c>
      <c r="J9" s="548">
        <v>249</v>
      </c>
    </row>
    <row r="10" spans="1:10" x14ac:dyDescent="0.25">
      <c r="A10" s="549" t="s">
        <v>393</v>
      </c>
      <c r="B10" s="545" t="s">
        <v>136</v>
      </c>
      <c r="C10" s="546">
        <v>1393</v>
      </c>
      <c r="D10" s="546">
        <v>3039</v>
      </c>
      <c r="E10" s="550">
        <v>1211.6600000000001</v>
      </c>
      <c r="F10" s="546">
        <v>138741</v>
      </c>
      <c r="G10" s="546">
        <v>147380</v>
      </c>
      <c r="H10" s="546">
        <v>12199</v>
      </c>
      <c r="I10" s="546">
        <v>33173</v>
      </c>
      <c r="J10" s="548">
        <v>243.2</v>
      </c>
    </row>
    <row r="11" spans="1:10" x14ac:dyDescent="0.25">
      <c r="A11" s="549" t="s">
        <v>394</v>
      </c>
      <c r="B11" s="545" t="s">
        <v>146</v>
      </c>
      <c r="C11" s="546">
        <v>610</v>
      </c>
      <c r="D11" s="546">
        <v>2236</v>
      </c>
      <c r="E11" s="550">
        <v>532.72</v>
      </c>
      <c r="F11" s="546">
        <v>126156</v>
      </c>
      <c r="G11" s="546">
        <v>132358</v>
      </c>
      <c r="H11" s="546">
        <v>12215</v>
      </c>
      <c r="I11" s="546">
        <v>30736</v>
      </c>
      <c r="J11" s="548">
        <v>246.5</v>
      </c>
    </row>
    <row r="12" spans="1:10" x14ac:dyDescent="0.25">
      <c r="A12" s="549" t="s">
        <v>395</v>
      </c>
      <c r="B12" s="545" t="s">
        <v>137</v>
      </c>
      <c r="C12" s="546">
        <v>912</v>
      </c>
      <c r="D12" s="546">
        <v>3009</v>
      </c>
      <c r="E12" s="550">
        <v>747.51</v>
      </c>
      <c r="F12" s="546">
        <v>144735</v>
      </c>
      <c r="G12" s="546">
        <v>154082</v>
      </c>
      <c r="H12" s="546">
        <v>12201</v>
      </c>
      <c r="I12" s="546">
        <v>33987</v>
      </c>
      <c r="J12" s="548">
        <v>241.3</v>
      </c>
    </row>
    <row r="13" spans="1:10" x14ac:dyDescent="0.25">
      <c r="A13" s="549" t="s">
        <v>396</v>
      </c>
      <c r="B13" s="545" t="s">
        <v>145</v>
      </c>
      <c r="C13" s="546">
        <v>1033</v>
      </c>
      <c r="D13" s="546">
        <v>2995</v>
      </c>
      <c r="E13" s="550">
        <v>898.16</v>
      </c>
      <c r="F13" s="546">
        <v>135796</v>
      </c>
      <c r="G13" s="546">
        <v>143542</v>
      </c>
      <c r="H13" s="546">
        <v>12142</v>
      </c>
      <c r="I13" s="546">
        <v>32944</v>
      </c>
      <c r="J13" s="548">
        <v>244.7</v>
      </c>
    </row>
    <row r="14" spans="1:10" x14ac:dyDescent="0.25">
      <c r="A14" s="549" t="s">
        <v>397</v>
      </c>
      <c r="B14" s="545" t="s">
        <v>130</v>
      </c>
      <c r="C14" s="546">
        <v>781</v>
      </c>
      <c r="D14" s="546">
        <v>2725</v>
      </c>
      <c r="E14" s="550">
        <v>224.06</v>
      </c>
      <c r="F14" s="546">
        <v>119730</v>
      </c>
      <c r="G14" s="546">
        <v>129324</v>
      </c>
      <c r="H14" s="546">
        <v>12224</v>
      </c>
      <c r="I14" s="546">
        <v>28714</v>
      </c>
      <c r="J14" s="548">
        <v>228</v>
      </c>
    </row>
    <row r="15" spans="1:10" x14ac:dyDescent="0.25">
      <c r="A15" s="549" t="s">
        <v>398</v>
      </c>
      <c r="B15" s="545" t="s">
        <v>502</v>
      </c>
      <c r="C15" s="546">
        <v>33638</v>
      </c>
      <c r="D15" s="546">
        <v>5379</v>
      </c>
      <c r="E15" s="550">
        <v>27321.33</v>
      </c>
      <c r="F15" s="546">
        <v>77906</v>
      </c>
      <c r="G15" s="546">
        <v>87274</v>
      </c>
      <c r="H15" s="546">
        <v>12218</v>
      </c>
      <c r="I15" s="546">
        <v>20440</v>
      </c>
      <c r="J15" s="548">
        <v>181</v>
      </c>
    </row>
    <row r="16" spans="1:10" x14ac:dyDescent="0.25">
      <c r="A16" s="549" t="s">
        <v>399</v>
      </c>
      <c r="B16" s="545" t="s">
        <v>131</v>
      </c>
      <c r="C16" s="546">
        <v>29851</v>
      </c>
      <c r="D16" s="546">
        <v>7177</v>
      </c>
      <c r="E16" s="550">
        <v>23521.24</v>
      </c>
      <c r="F16" s="546">
        <v>80958</v>
      </c>
      <c r="G16" s="546">
        <v>94101</v>
      </c>
      <c r="H16" s="546">
        <v>12318</v>
      </c>
      <c r="I16" s="546">
        <v>21410</v>
      </c>
      <c r="J16" s="548">
        <v>181.1</v>
      </c>
    </row>
    <row r="17" spans="1:10" x14ac:dyDescent="0.25">
      <c r="A17" s="549" t="s">
        <v>400</v>
      </c>
      <c r="B17" s="545" t="s">
        <v>132</v>
      </c>
      <c r="C17" s="546">
        <v>14253</v>
      </c>
      <c r="D17" s="546">
        <v>6904</v>
      </c>
      <c r="E17" s="550">
        <v>7893.93</v>
      </c>
      <c r="F17" s="546">
        <v>79381</v>
      </c>
      <c r="G17" s="546">
        <v>91680</v>
      </c>
      <c r="H17" s="546">
        <v>12377</v>
      </c>
      <c r="I17" s="546">
        <v>21015</v>
      </c>
      <c r="J17" s="548">
        <v>181.1</v>
      </c>
    </row>
    <row r="18" spans="1:10" x14ac:dyDescent="0.25">
      <c r="A18" s="549" t="s">
        <v>503</v>
      </c>
      <c r="B18" s="545" t="s">
        <v>504</v>
      </c>
      <c r="C18" s="546">
        <v>4767</v>
      </c>
      <c r="D18" s="546">
        <v>6092</v>
      </c>
      <c r="E18" s="550">
        <v>3743.15</v>
      </c>
      <c r="F18" s="546">
        <v>82142</v>
      </c>
      <c r="G18" s="546">
        <v>93823</v>
      </c>
      <c r="H18" s="546">
        <v>12570</v>
      </c>
      <c r="I18" s="546">
        <v>21411</v>
      </c>
      <c r="J18" s="548">
        <v>180.9</v>
      </c>
    </row>
    <row r="19" spans="1:10" x14ac:dyDescent="0.25">
      <c r="A19" s="549" t="s">
        <v>401</v>
      </c>
      <c r="B19" s="545" t="s">
        <v>133</v>
      </c>
      <c r="C19" s="546">
        <v>4995</v>
      </c>
      <c r="D19" s="546">
        <v>5878</v>
      </c>
      <c r="E19" s="550">
        <v>2027.1</v>
      </c>
      <c r="F19" s="546">
        <v>88979</v>
      </c>
      <c r="G19" s="546">
        <v>108289</v>
      </c>
      <c r="H19" s="546">
        <v>12345</v>
      </c>
      <c r="I19" s="546">
        <v>24439</v>
      </c>
      <c r="J19" s="548">
        <v>182.2</v>
      </c>
    </row>
    <row r="20" spans="1:10" x14ac:dyDescent="0.25">
      <c r="A20" s="549" t="s">
        <v>402</v>
      </c>
      <c r="B20" s="545" t="s">
        <v>144</v>
      </c>
      <c r="C20" s="546">
        <v>1149</v>
      </c>
      <c r="D20" s="546">
        <v>7824</v>
      </c>
      <c r="E20" s="550">
        <v>790.6</v>
      </c>
      <c r="F20" s="546">
        <v>90426</v>
      </c>
      <c r="G20" s="546">
        <v>106888</v>
      </c>
      <c r="H20" s="546">
        <v>12579</v>
      </c>
      <c r="I20" s="546">
        <v>24341</v>
      </c>
      <c r="J20" s="548">
        <v>180.9</v>
      </c>
    </row>
    <row r="21" spans="1:10" x14ac:dyDescent="0.25">
      <c r="A21" s="549" t="s">
        <v>403</v>
      </c>
      <c r="B21" s="545" t="s">
        <v>138</v>
      </c>
      <c r="C21" s="546">
        <v>2992</v>
      </c>
      <c r="D21" s="546">
        <v>8616</v>
      </c>
      <c r="E21" s="550">
        <v>2738.21</v>
      </c>
      <c r="F21" s="546">
        <v>81531</v>
      </c>
      <c r="G21" s="546">
        <v>95622</v>
      </c>
      <c r="H21" s="546">
        <v>12476</v>
      </c>
      <c r="I21" s="546">
        <v>21863</v>
      </c>
      <c r="J21" s="548">
        <v>181</v>
      </c>
    </row>
    <row r="22" spans="1:10" x14ac:dyDescent="0.25">
      <c r="A22" s="549" t="s">
        <v>404</v>
      </c>
      <c r="B22" s="545" t="s">
        <v>139</v>
      </c>
      <c r="C22" s="546">
        <v>644</v>
      </c>
      <c r="D22" s="546">
        <v>8680</v>
      </c>
      <c r="E22" s="550">
        <v>538.72</v>
      </c>
      <c r="F22" s="546">
        <v>81010</v>
      </c>
      <c r="G22" s="546">
        <v>92741</v>
      </c>
      <c r="H22" s="546">
        <v>12813</v>
      </c>
      <c r="I22" s="546">
        <v>20697</v>
      </c>
      <c r="J22" s="548">
        <v>181.3</v>
      </c>
    </row>
    <row r="23" spans="1:10" x14ac:dyDescent="0.25">
      <c r="A23" s="549" t="s">
        <v>405</v>
      </c>
      <c r="B23" s="545" t="s">
        <v>140</v>
      </c>
      <c r="C23" s="546">
        <v>323</v>
      </c>
      <c r="D23" s="546">
        <v>5709</v>
      </c>
      <c r="E23" s="550">
        <v>200.71</v>
      </c>
      <c r="F23" s="546">
        <v>77721</v>
      </c>
      <c r="G23" s="546">
        <v>88929</v>
      </c>
      <c r="H23" s="546">
        <v>12364</v>
      </c>
      <c r="I23" s="546">
        <v>20560</v>
      </c>
      <c r="J23" s="548">
        <v>180.9</v>
      </c>
    </row>
    <row r="24" spans="1:10" x14ac:dyDescent="0.25">
      <c r="A24" s="549" t="s">
        <v>406</v>
      </c>
      <c r="B24" s="545" t="s">
        <v>261</v>
      </c>
      <c r="C24" s="546">
        <v>1653</v>
      </c>
      <c r="D24" s="546">
        <v>8063</v>
      </c>
      <c r="E24" s="550">
        <v>1455.9</v>
      </c>
      <c r="F24" s="546">
        <v>82661</v>
      </c>
      <c r="G24" s="546">
        <v>94308</v>
      </c>
      <c r="H24" s="546">
        <v>12703</v>
      </c>
      <c r="I24" s="546">
        <v>21138</v>
      </c>
      <c r="J24" s="548">
        <v>181.1</v>
      </c>
    </row>
    <row r="25" spans="1:10" x14ac:dyDescent="0.25">
      <c r="A25" s="549" t="s">
        <v>407</v>
      </c>
      <c r="B25" s="545" t="s">
        <v>141</v>
      </c>
      <c r="C25" s="546">
        <v>1242</v>
      </c>
      <c r="D25" s="546">
        <v>10329</v>
      </c>
      <c r="E25" s="550">
        <v>1093.4100000000001</v>
      </c>
      <c r="F25" s="546">
        <v>84252</v>
      </c>
      <c r="G25" s="546">
        <v>99473</v>
      </c>
      <c r="H25" s="546">
        <v>12597</v>
      </c>
      <c r="I25" s="546">
        <v>22319</v>
      </c>
      <c r="J25" s="548">
        <v>181</v>
      </c>
    </row>
    <row r="26" spans="1:10" x14ac:dyDescent="0.25">
      <c r="A26" s="549" t="s">
        <v>408</v>
      </c>
      <c r="B26" s="545" t="s">
        <v>142</v>
      </c>
      <c r="C26" s="546">
        <v>666</v>
      </c>
      <c r="D26" s="546">
        <v>6615</v>
      </c>
      <c r="E26" s="550">
        <v>567.20000000000005</v>
      </c>
      <c r="F26" s="546">
        <v>72121</v>
      </c>
      <c r="G26" s="546">
        <v>83876</v>
      </c>
      <c r="H26" s="546">
        <v>13523</v>
      </c>
      <c r="I26" s="546">
        <v>18884</v>
      </c>
      <c r="J26" s="548">
        <v>180.9</v>
      </c>
    </row>
    <row r="27" spans="1:10" x14ac:dyDescent="0.25">
      <c r="A27" s="549" t="s">
        <v>409</v>
      </c>
      <c r="B27" s="545" t="s">
        <v>143</v>
      </c>
      <c r="C27" s="546">
        <v>222</v>
      </c>
      <c r="D27" s="546">
        <v>9212</v>
      </c>
      <c r="E27" s="550">
        <v>177.19</v>
      </c>
      <c r="F27" s="546">
        <v>87473</v>
      </c>
      <c r="G27" s="546">
        <v>103317</v>
      </c>
      <c r="H27" s="546">
        <v>13693</v>
      </c>
      <c r="I27" s="546">
        <v>21977</v>
      </c>
      <c r="J27" s="548">
        <v>180.9</v>
      </c>
    </row>
    <row r="28" spans="1:10" x14ac:dyDescent="0.25">
      <c r="A28" s="549" t="s">
        <v>410</v>
      </c>
      <c r="B28" s="545" t="s">
        <v>534</v>
      </c>
      <c r="C28" s="546">
        <v>16</v>
      </c>
      <c r="D28" s="546">
        <v>6619</v>
      </c>
      <c r="E28" s="550">
        <v>12</v>
      </c>
      <c r="F28" s="546">
        <v>77678</v>
      </c>
      <c r="G28" s="546">
        <v>89939</v>
      </c>
      <c r="H28" s="546">
        <v>12304</v>
      </c>
      <c r="I28" s="546">
        <v>20506</v>
      </c>
      <c r="J28" s="548">
        <v>182.3</v>
      </c>
    </row>
    <row r="29" spans="1:10" x14ac:dyDescent="0.25">
      <c r="A29" s="549" t="s">
        <v>411</v>
      </c>
      <c r="B29" s="545" t="s">
        <v>134</v>
      </c>
      <c r="C29" s="546">
        <v>511</v>
      </c>
      <c r="D29" s="546">
        <v>4697</v>
      </c>
      <c r="E29" s="550">
        <v>102.86</v>
      </c>
      <c r="F29" s="546">
        <v>96829</v>
      </c>
      <c r="G29" s="546">
        <v>116754</v>
      </c>
      <c r="H29" s="546">
        <v>11844</v>
      </c>
      <c r="I29" s="546">
        <v>26713</v>
      </c>
      <c r="J29" s="548">
        <v>197</v>
      </c>
    </row>
    <row r="30" spans="1:10" x14ac:dyDescent="0.25">
      <c r="A30" s="549" t="s">
        <v>412</v>
      </c>
      <c r="B30" s="545" t="s">
        <v>135</v>
      </c>
      <c r="C30" s="546">
        <v>163</v>
      </c>
      <c r="D30" s="546">
        <v>4543</v>
      </c>
      <c r="E30" s="550">
        <v>111.6</v>
      </c>
      <c r="F30" s="546">
        <v>63889</v>
      </c>
      <c r="G30" s="546">
        <v>77893</v>
      </c>
      <c r="H30" s="546">
        <v>12134</v>
      </c>
      <c r="I30" s="546">
        <v>15005</v>
      </c>
      <c r="J30" s="548">
        <v>180.6</v>
      </c>
    </row>
    <row r="31" spans="1:10" x14ac:dyDescent="0.25">
      <c r="A31" s="549" t="s">
        <v>413</v>
      </c>
      <c r="B31" s="545" t="s">
        <v>262</v>
      </c>
      <c r="C31" s="546">
        <v>3918</v>
      </c>
      <c r="D31" s="546">
        <v>3108</v>
      </c>
      <c r="E31" s="550">
        <v>65.53</v>
      </c>
      <c r="F31" s="546">
        <v>93487</v>
      </c>
      <c r="G31" s="546">
        <v>108440</v>
      </c>
      <c r="H31" s="546">
        <v>12613</v>
      </c>
      <c r="I31" s="546">
        <v>24540</v>
      </c>
      <c r="J31" s="548">
        <v>181.1</v>
      </c>
    </row>
    <row r="32" spans="1:10" x14ac:dyDescent="0.25">
      <c r="A32" s="549" t="s">
        <v>414</v>
      </c>
      <c r="B32" s="545" t="s">
        <v>193</v>
      </c>
      <c r="C32" s="546">
        <v>261</v>
      </c>
      <c r="D32" s="546">
        <v>0</v>
      </c>
      <c r="E32" s="550">
        <v>211.72</v>
      </c>
      <c r="F32" s="546">
        <v>54029</v>
      </c>
      <c r="G32" s="546">
        <v>30683</v>
      </c>
      <c r="H32" s="546">
        <v>60</v>
      </c>
      <c r="I32" s="546">
        <v>65</v>
      </c>
      <c r="J32" s="548">
        <v>195.6</v>
      </c>
    </row>
    <row r="33" spans="1:10" x14ac:dyDescent="0.25">
      <c r="A33" s="549" t="s">
        <v>415</v>
      </c>
      <c r="B33" s="545" t="s">
        <v>194</v>
      </c>
      <c r="C33" s="546">
        <v>108</v>
      </c>
      <c r="D33" s="546">
        <v>0</v>
      </c>
      <c r="E33" s="550">
        <v>103.54</v>
      </c>
      <c r="F33" s="546">
        <v>63870</v>
      </c>
      <c r="G33" s="546">
        <v>4129</v>
      </c>
      <c r="H33" s="546">
        <v>3639</v>
      </c>
      <c r="I33" s="546">
        <v>4461</v>
      </c>
      <c r="J33" s="548">
        <v>182.6</v>
      </c>
    </row>
    <row r="34" spans="1:10" x14ac:dyDescent="0.25">
      <c r="A34" s="549" t="s">
        <v>416</v>
      </c>
      <c r="B34" s="545" t="s">
        <v>263</v>
      </c>
      <c r="C34" s="546">
        <v>1876</v>
      </c>
      <c r="D34" s="546">
        <v>1806</v>
      </c>
      <c r="E34" s="550">
        <v>8.52</v>
      </c>
      <c r="F34" s="546">
        <v>53507</v>
      </c>
      <c r="G34" s="546">
        <v>59593</v>
      </c>
      <c r="H34" s="546">
        <v>18999</v>
      </c>
      <c r="I34" s="546">
        <v>10249</v>
      </c>
      <c r="J34" s="548">
        <v>260</v>
      </c>
    </row>
    <row r="35" spans="1:10" x14ac:dyDescent="0.25">
      <c r="A35" s="549" t="s">
        <v>417</v>
      </c>
      <c r="B35" s="545" t="s">
        <v>105</v>
      </c>
      <c r="C35" s="546">
        <v>27493</v>
      </c>
      <c r="D35" s="546">
        <v>364</v>
      </c>
      <c r="E35" s="550">
        <v>14573.38</v>
      </c>
      <c r="F35" s="546">
        <v>46969</v>
      </c>
      <c r="G35" s="546">
        <v>49357</v>
      </c>
      <c r="H35" s="546">
        <v>21138</v>
      </c>
      <c r="I35" s="546">
        <v>10827</v>
      </c>
      <c r="J35" s="548">
        <v>260</v>
      </c>
    </row>
    <row r="36" spans="1:10" x14ac:dyDescent="0.25">
      <c r="A36" s="549" t="s">
        <v>418</v>
      </c>
      <c r="B36" s="545" t="s">
        <v>106</v>
      </c>
      <c r="C36" s="546">
        <v>1737</v>
      </c>
      <c r="D36" s="546">
        <v>301</v>
      </c>
      <c r="E36" s="550">
        <v>1613.87</v>
      </c>
      <c r="F36" s="546">
        <v>69333</v>
      </c>
      <c r="G36" s="546">
        <v>68757</v>
      </c>
      <c r="H36" s="546">
        <v>12167</v>
      </c>
      <c r="I36" s="546">
        <v>16940</v>
      </c>
      <c r="J36" s="548">
        <v>260</v>
      </c>
    </row>
    <row r="37" spans="1:10" x14ac:dyDescent="0.25">
      <c r="A37" s="549" t="s">
        <v>419</v>
      </c>
      <c r="B37" s="545" t="s">
        <v>107</v>
      </c>
      <c r="C37" s="546">
        <v>264</v>
      </c>
      <c r="D37" s="546">
        <v>155</v>
      </c>
      <c r="E37" s="550">
        <v>227.32</v>
      </c>
      <c r="F37" s="546">
        <v>59429</v>
      </c>
      <c r="G37" s="546">
        <v>58127</v>
      </c>
      <c r="H37" s="546">
        <v>12182</v>
      </c>
      <c r="I37" s="546">
        <v>14720</v>
      </c>
      <c r="J37" s="548">
        <v>260</v>
      </c>
    </row>
    <row r="38" spans="1:10" x14ac:dyDescent="0.25">
      <c r="A38" s="549" t="s">
        <v>420</v>
      </c>
      <c r="B38" s="545" t="s">
        <v>108</v>
      </c>
      <c r="C38" s="546">
        <v>10549</v>
      </c>
      <c r="D38" s="546">
        <v>610</v>
      </c>
      <c r="E38" s="550">
        <v>7910.09</v>
      </c>
      <c r="F38" s="546">
        <v>57169</v>
      </c>
      <c r="G38" s="546">
        <v>59789</v>
      </c>
      <c r="H38" s="546">
        <v>15027</v>
      </c>
      <c r="I38" s="546">
        <v>12937</v>
      </c>
      <c r="J38" s="548">
        <v>260</v>
      </c>
    </row>
    <row r="39" spans="1:10" x14ac:dyDescent="0.25">
      <c r="A39" s="549" t="s">
        <v>421</v>
      </c>
      <c r="B39" s="545" t="s">
        <v>109</v>
      </c>
      <c r="C39" s="546">
        <v>5779</v>
      </c>
      <c r="D39" s="546">
        <v>239</v>
      </c>
      <c r="E39" s="550">
        <v>2457.0300000000002</v>
      </c>
      <c r="F39" s="546">
        <v>54769</v>
      </c>
      <c r="G39" s="546">
        <v>59069</v>
      </c>
      <c r="H39" s="546">
        <v>25858</v>
      </c>
      <c r="I39" s="546">
        <v>14007</v>
      </c>
      <c r="J39" s="548">
        <v>260</v>
      </c>
    </row>
    <row r="40" spans="1:10" x14ac:dyDescent="0.25">
      <c r="A40" s="549" t="s">
        <v>422</v>
      </c>
      <c r="B40" s="545" t="s">
        <v>110</v>
      </c>
      <c r="C40" s="546">
        <v>12100</v>
      </c>
      <c r="D40" s="546">
        <v>3117</v>
      </c>
      <c r="E40" s="550">
        <v>2309.4899999999998</v>
      </c>
      <c r="F40" s="546">
        <v>77833</v>
      </c>
      <c r="G40" s="546">
        <v>81477</v>
      </c>
      <c r="H40" s="546">
        <v>14993</v>
      </c>
      <c r="I40" s="546">
        <v>17505</v>
      </c>
      <c r="J40" s="548">
        <v>260</v>
      </c>
    </row>
    <row r="41" spans="1:10" x14ac:dyDescent="0.25">
      <c r="A41" s="549" t="s">
        <v>423</v>
      </c>
      <c r="B41" s="545" t="s">
        <v>111</v>
      </c>
      <c r="C41" s="546">
        <v>11794</v>
      </c>
      <c r="D41" s="546">
        <v>318</v>
      </c>
      <c r="E41" s="550">
        <v>8396.99</v>
      </c>
      <c r="F41" s="546">
        <v>48623</v>
      </c>
      <c r="G41" s="546">
        <v>49966</v>
      </c>
      <c r="H41" s="546">
        <v>15083</v>
      </c>
      <c r="I41" s="546">
        <v>12594</v>
      </c>
      <c r="J41" s="548">
        <v>260</v>
      </c>
    </row>
    <row r="42" spans="1:10" x14ac:dyDescent="0.25">
      <c r="A42" s="549" t="s">
        <v>424</v>
      </c>
      <c r="B42" s="545" t="s">
        <v>112</v>
      </c>
      <c r="C42" s="546">
        <v>2316</v>
      </c>
      <c r="D42" s="546">
        <v>569</v>
      </c>
      <c r="E42" s="550">
        <v>1708.32</v>
      </c>
      <c r="F42" s="546">
        <v>75092</v>
      </c>
      <c r="G42" s="546">
        <v>77066</v>
      </c>
      <c r="H42" s="546">
        <v>13180</v>
      </c>
      <c r="I42" s="546">
        <v>17187</v>
      </c>
      <c r="J42" s="548">
        <v>260</v>
      </c>
    </row>
    <row r="43" spans="1:10" x14ac:dyDescent="0.25">
      <c r="A43" s="549" t="s">
        <v>425</v>
      </c>
      <c r="B43" s="545" t="s">
        <v>104</v>
      </c>
      <c r="C43" s="546">
        <v>2028</v>
      </c>
      <c r="D43" s="546">
        <v>1443</v>
      </c>
      <c r="E43" s="550">
        <v>1782.36</v>
      </c>
      <c r="F43" s="546">
        <v>110681</v>
      </c>
      <c r="G43" s="546">
        <v>116364</v>
      </c>
      <c r="H43" s="546">
        <v>12690</v>
      </c>
      <c r="I43" s="546">
        <v>24168</v>
      </c>
      <c r="J43" s="548">
        <v>260</v>
      </c>
    </row>
    <row r="44" spans="1:10" x14ac:dyDescent="0.25">
      <c r="A44" s="549"/>
      <c r="B44" s="545" t="s">
        <v>158</v>
      </c>
      <c r="C44" s="546">
        <v>183811</v>
      </c>
      <c r="D44" s="546">
        <v>3980</v>
      </c>
      <c r="E44" s="550">
        <v>118691.79</v>
      </c>
      <c r="F44" s="546">
        <v>74382</v>
      </c>
      <c r="G44" s="546">
        <v>82718</v>
      </c>
      <c r="H44" s="546">
        <v>14103</v>
      </c>
      <c r="I44" s="546">
        <v>18867</v>
      </c>
      <c r="J44" s="548">
        <v>211</v>
      </c>
    </row>
  </sheetData>
  <autoFilter ref="A6:J6" xr:uid="{00000000-0009-0000-0000-000009000000}"/>
  <mergeCells count="1">
    <mergeCell ref="E3:J3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M71"/>
  <sheetViews>
    <sheetView zoomScale="75" zoomScaleNormal="75" workbookViewId="0">
      <pane ySplit="6" topLeftCell="A30" activePane="bottomLeft" state="frozen"/>
      <selection pane="bottomLeft" activeCell="A3" sqref="A3"/>
    </sheetView>
  </sheetViews>
  <sheetFormatPr defaultRowHeight="16.5" x14ac:dyDescent="0.3"/>
  <cols>
    <col min="1" max="1" width="11.5703125" style="333" customWidth="1"/>
    <col min="2" max="2" width="9.28515625" style="353" bestFit="1" customWidth="1"/>
    <col min="3" max="3" width="11" style="354" bestFit="1" customWidth="1"/>
    <col min="4" max="4" width="9.28515625" style="353" customWidth="1"/>
    <col min="5" max="5" width="11" style="354" customWidth="1"/>
    <col min="6" max="6" width="10.42578125" style="353" customWidth="1"/>
    <col min="7" max="7" width="9.85546875" style="354" customWidth="1"/>
    <col min="8" max="8" width="9.28515625" style="353" customWidth="1"/>
    <col min="9" max="9" width="9.85546875" style="354" customWidth="1"/>
    <col min="10" max="10" width="10.42578125" style="353" customWidth="1"/>
    <col min="11" max="11" width="9.85546875" style="354" customWidth="1"/>
    <col min="12" max="12" width="10.42578125" style="353" customWidth="1"/>
    <col min="13" max="13" width="9.85546875" style="354" customWidth="1"/>
    <col min="14" max="16384" width="9.140625" style="333"/>
  </cols>
  <sheetData>
    <row r="1" spans="1:13" s="358" customFormat="1" ht="20.25" x14ac:dyDescent="0.35">
      <c r="A1" s="863" t="s">
        <v>369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71"/>
    </row>
    <row r="2" spans="1:13" s="358" customFormat="1" ht="21" thickBot="1" x14ac:dyDescent="0.4">
      <c r="A2" s="866" t="s">
        <v>495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72"/>
    </row>
    <row r="3" spans="1:13" ht="18" thickBot="1" x14ac:dyDescent="0.35">
      <c r="A3" s="828"/>
      <c r="B3" s="873" t="s">
        <v>63</v>
      </c>
      <c r="C3" s="873"/>
      <c r="D3" s="873"/>
      <c r="E3" s="873"/>
      <c r="F3" s="873"/>
      <c r="G3" s="873"/>
      <c r="H3" s="873"/>
      <c r="I3" s="873"/>
      <c r="J3" s="873"/>
      <c r="K3" s="874"/>
      <c r="L3" s="875" t="s">
        <v>125</v>
      </c>
      <c r="M3" s="874"/>
    </row>
    <row r="4" spans="1:13" ht="18" thickBot="1" x14ac:dyDescent="0.35">
      <c r="A4" s="829"/>
      <c r="B4" s="875" t="s">
        <v>376</v>
      </c>
      <c r="C4" s="873"/>
      <c r="D4" s="873"/>
      <c r="E4" s="874"/>
      <c r="F4" s="875" t="s">
        <v>67</v>
      </c>
      <c r="G4" s="873"/>
      <c r="H4" s="873"/>
      <c r="I4" s="874"/>
      <c r="J4" s="875" t="s">
        <v>38</v>
      </c>
      <c r="K4" s="874"/>
      <c r="L4" s="875" t="s">
        <v>38</v>
      </c>
      <c r="M4" s="874"/>
    </row>
    <row r="5" spans="1:13" ht="17.25" x14ac:dyDescent="0.3">
      <c r="A5" s="829" t="s">
        <v>65</v>
      </c>
      <c r="B5" s="869" t="s">
        <v>72</v>
      </c>
      <c r="C5" s="870"/>
      <c r="D5" s="869" t="s">
        <v>73</v>
      </c>
      <c r="E5" s="870"/>
      <c r="F5" s="869" t="s">
        <v>74</v>
      </c>
      <c r="G5" s="870"/>
      <c r="H5" s="869" t="s">
        <v>5</v>
      </c>
      <c r="I5" s="870"/>
      <c r="J5" s="869" t="s">
        <v>1</v>
      </c>
      <c r="K5" s="870"/>
      <c r="L5" s="869" t="s">
        <v>1</v>
      </c>
      <c r="M5" s="870"/>
    </row>
    <row r="6" spans="1:13" ht="18" thickBot="1" x14ac:dyDescent="0.35">
      <c r="A6" s="830" t="s">
        <v>71</v>
      </c>
      <c r="B6" s="826" t="s">
        <v>6</v>
      </c>
      <c r="C6" s="827" t="s">
        <v>335</v>
      </c>
      <c r="D6" s="826" t="s">
        <v>6</v>
      </c>
      <c r="E6" s="827" t="s">
        <v>335</v>
      </c>
      <c r="F6" s="826" t="s">
        <v>7</v>
      </c>
      <c r="G6" s="827" t="s">
        <v>335</v>
      </c>
      <c r="H6" s="826" t="s">
        <v>8</v>
      </c>
      <c r="I6" s="827" t="s">
        <v>335</v>
      </c>
      <c r="J6" s="826" t="s">
        <v>6</v>
      </c>
      <c r="K6" s="827" t="s">
        <v>335</v>
      </c>
      <c r="L6" s="826" t="s">
        <v>6</v>
      </c>
      <c r="M6" s="827" t="s">
        <v>335</v>
      </c>
    </row>
    <row r="7" spans="1:13" hidden="1" x14ac:dyDescent="0.3">
      <c r="A7" s="334" t="s">
        <v>217</v>
      </c>
      <c r="B7" s="335"/>
      <c r="C7" s="336"/>
      <c r="D7" s="335"/>
      <c r="E7" s="336"/>
      <c r="F7" s="335"/>
      <c r="G7" s="336">
        <v>5340</v>
      </c>
      <c r="H7" s="335"/>
      <c r="I7" s="336"/>
      <c r="J7" s="335"/>
      <c r="K7" s="336">
        <v>5652</v>
      </c>
      <c r="L7" s="335"/>
      <c r="M7" s="336"/>
    </row>
    <row r="8" spans="1:13" hidden="1" x14ac:dyDescent="0.3">
      <c r="A8" s="337" t="s">
        <v>218</v>
      </c>
      <c r="B8" s="335"/>
      <c r="C8" s="336"/>
      <c r="D8" s="335"/>
      <c r="E8" s="336"/>
      <c r="F8" s="335"/>
      <c r="G8" s="336">
        <v>5510</v>
      </c>
      <c r="H8" s="335"/>
      <c r="I8" s="336"/>
      <c r="J8" s="335"/>
      <c r="K8" s="336">
        <v>5745</v>
      </c>
      <c r="L8" s="335"/>
      <c r="M8" s="336"/>
    </row>
    <row r="9" spans="1:13" hidden="1" x14ac:dyDescent="0.3">
      <c r="A9" s="337" t="s">
        <v>219</v>
      </c>
      <c r="B9" s="335"/>
      <c r="C9" s="336"/>
      <c r="D9" s="335"/>
      <c r="E9" s="336"/>
      <c r="F9" s="335"/>
      <c r="G9" s="336">
        <v>5927</v>
      </c>
      <c r="H9" s="335"/>
      <c r="I9" s="336"/>
      <c r="J9" s="335"/>
      <c r="K9" s="336">
        <v>6147</v>
      </c>
      <c r="L9" s="335"/>
      <c r="M9" s="336"/>
    </row>
    <row r="10" spans="1:13" hidden="1" x14ac:dyDescent="0.3">
      <c r="A10" s="337" t="s">
        <v>220</v>
      </c>
      <c r="B10" s="335"/>
      <c r="C10" s="336"/>
      <c r="D10" s="335"/>
      <c r="E10" s="336"/>
      <c r="F10" s="335"/>
      <c r="G10" s="336">
        <v>6191</v>
      </c>
      <c r="H10" s="335"/>
      <c r="I10" s="336"/>
      <c r="J10" s="335"/>
      <c r="K10" s="336">
        <v>6424</v>
      </c>
      <c r="L10" s="335"/>
      <c r="M10" s="336"/>
    </row>
    <row r="11" spans="1:13" hidden="1" x14ac:dyDescent="0.3">
      <c r="A11" s="337" t="s">
        <v>221</v>
      </c>
      <c r="B11" s="335"/>
      <c r="C11" s="336"/>
      <c r="D11" s="335"/>
      <c r="E11" s="336"/>
      <c r="F11" s="335"/>
      <c r="G11" s="336">
        <v>6319</v>
      </c>
      <c r="H11" s="335"/>
      <c r="I11" s="336"/>
      <c r="J11" s="335"/>
      <c r="K11" s="336">
        <v>6566</v>
      </c>
      <c r="L11" s="335"/>
      <c r="M11" s="336"/>
    </row>
    <row r="12" spans="1:13" hidden="1" x14ac:dyDescent="0.3">
      <c r="A12" s="337" t="s">
        <v>222</v>
      </c>
      <c r="B12" s="335"/>
      <c r="C12" s="336"/>
      <c r="D12" s="335"/>
      <c r="E12" s="336"/>
      <c r="F12" s="335"/>
      <c r="G12" s="336">
        <v>6606</v>
      </c>
      <c r="H12" s="335"/>
      <c r="I12" s="336"/>
      <c r="J12" s="335"/>
      <c r="K12" s="336">
        <v>6865</v>
      </c>
      <c r="L12" s="335"/>
      <c r="M12" s="336"/>
    </row>
    <row r="13" spans="1:13" hidden="1" x14ac:dyDescent="0.3">
      <c r="A13" s="337" t="s">
        <v>223</v>
      </c>
      <c r="B13" s="335"/>
      <c r="C13" s="336"/>
      <c r="D13" s="335"/>
      <c r="E13" s="336"/>
      <c r="F13" s="335"/>
      <c r="G13" s="336">
        <v>6903</v>
      </c>
      <c r="H13" s="335"/>
      <c r="I13" s="336"/>
      <c r="J13" s="335"/>
      <c r="K13" s="336">
        <v>7174</v>
      </c>
      <c r="L13" s="335"/>
      <c r="M13" s="336"/>
    </row>
    <row r="14" spans="1:13" hidden="1" x14ac:dyDescent="0.3">
      <c r="A14" s="337" t="s">
        <v>224</v>
      </c>
      <c r="B14" s="335"/>
      <c r="C14" s="336"/>
      <c r="D14" s="335"/>
      <c r="E14" s="336"/>
      <c r="F14" s="335"/>
      <c r="G14" s="336">
        <v>7341</v>
      </c>
      <c r="H14" s="335"/>
      <c r="I14" s="336"/>
      <c r="J14" s="335"/>
      <c r="K14" s="336">
        <v>7673</v>
      </c>
      <c r="L14" s="335"/>
      <c r="M14" s="336"/>
    </row>
    <row r="15" spans="1:13" hidden="1" x14ac:dyDescent="0.3">
      <c r="A15" s="337" t="s">
        <v>225</v>
      </c>
      <c r="B15" s="335"/>
      <c r="C15" s="336"/>
      <c r="D15" s="335"/>
      <c r="E15" s="336"/>
      <c r="F15" s="335"/>
      <c r="G15" s="336">
        <v>7968</v>
      </c>
      <c r="H15" s="335"/>
      <c r="I15" s="336"/>
      <c r="J15" s="335"/>
      <c r="K15" s="336">
        <v>8377</v>
      </c>
      <c r="L15" s="335"/>
      <c r="M15" s="336"/>
    </row>
    <row r="16" spans="1:13" hidden="1" x14ac:dyDescent="0.3">
      <c r="A16" s="337" t="s">
        <v>226</v>
      </c>
      <c r="B16" s="335"/>
      <c r="C16" s="336"/>
      <c r="D16" s="335"/>
      <c r="E16" s="336"/>
      <c r="F16" s="335"/>
      <c r="G16" s="336">
        <v>8541</v>
      </c>
      <c r="H16" s="335"/>
      <c r="I16" s="336"/>
      <c r="J16" s="335">
        <v>38706</v>
      </c>
      <c r="K16" s="336">
        <v>8815</v>
      </c>
      <c r="L16" s="335">
        <v>15367.2</v>
      </c>
      <c r="M16" s="336">
        <v>5814</v>
      </c>
    </row>
    <row r="17" spans="1:13" hidden="1" x14ac:dyDescent="0.3">
      <c r="A17" s="337" t="s">
        <v>227</v>
      </c>
      <c r="B17" s="335"/>
      <c r="C17" s="336"/>
      <c r="D17" s="335"/>
      <c r="E17" s="336"/>
      <c r="F17" s="335"/>
      <c r="G17" s="336">
        <v>9241</v>
      </c>
      <c r="H17" s="335"/>
      <c r="I17" s="336"/>
      <c r="J17" s="335">
        <v>40461.9</v>
      </c>
      <c r="K17" s="336">
        <v>9728</v>
      </c>
      <c r="L17" s="335">
        <v>16588</v>
      </c>
      <c r="M17" s="336">
        <v>6411</v>
      </c>
    </row>
    <row r="18" spans="1:13" hidden="1" x14ac:dyDescent="0.3">
      <c r="A18" s="337" t="s">
        <v>228</v>
      </c>
      <c r="B18" s="335"/>
      <c r="C18" s="336"/>
      <c r="D18" s="335"/>
      <c r="E18" s="336"/>
      <c r="F18" s="335"/>
      <c r="G18" s="336">
        <v>9900</v>
      </c>
      <c r="H18" s="335"/>
      <c r="I18" s="336"/>
      <c r="J18" s="335">
        <v>40411.800000000003</v>
      </c>
      <c r="K18" s="336">
        <v>10419</v>
      </c>
      <c r="L18" s="335">
        <v>17405.2</v>
      </c>
      <c r="M18" s="336">
        <v>6867</v>
      </c>
    </row>
    <row r="19" spans="1:13" hidden="1" x14ac:dyDescent="0.3">
      <c r="A19" s="337" t="s">
        <v>229</v>
      </c>
      <c r="B19" s="335">
        <v>1589</v>
      </c>
      <c r="C19" s="336"/>
      <c r="D19" s="335">
        <v>1846</v>
      </c>
      <c r="E19" s="336"/>
      <c r="F19" s="335">
        <v>33600</v>
      </c>
      <c r="G19" s="336">
        <v>10175</v>
      </c>
      <c r="H19" s="335">
        <v>3019</v>
      </c>
      <c r="I19" s="336"/>
      <c r="J19" s="335">
        <v>40053.800000000003</v>
      </c>
      <c r="K19" s="336">
        <v>10708</v>
      </c>
      <c r="L19" s="335">
        <v>17657.7</v>
      </c>
      <c r="M19" s="336">
        <v>6918</v>
      </c>
    </row>
    <row r="20" spans="1:13" hidden="1" x14ac:dyDescent="0.3">
      <c r="A20" s="337" t="s">
        <v>230</v>
      </c>
      <c r="B20" s="335">
        <v>1180</v>
      </c>
      <c r="C20" s="336"/>
      <c r="D20" s="335">
        <v>2310</v>
      </c>
      <c r="E20" s="336"/>
      <c r="F20" s="335">
        <v>32725</v>
      </c>
      <c r="G20" s="336">
        <v>10716</v>
      </c>
      <c r="H20" s="335">
        <v>3895</v>
      </c>
      <c r="I20" s="336"/>
      <c r="J20" s="335">
        <v>40109.599999999999</v>
      </c>
      <c r="K20" s="336">
        <v>11289</v>
      </c>
      <c r="L20" s="335">
        <v>17520.7</v>
      </c>
      <c r="M20" s="336">
        <v>7329</v>
      </c>
    </row>
    <row r="21" spans="1:13" x14ac:dyDescent="0.3">
      <c r="A21" s="337" t="s">
        <v>231</v>
      </c>
      <c r="B21" s="335">
        <v>1191.4000000000001</v>
      </c>
      <c r="C21" s="336">
        <v>19540</v>
      </c>
      <c r="D21" s="335">
        <v>2418.9</v>
      </c>
      <c r="E21" s="336">
        <v>17368</v>
      </c>
      <c r="F21" s="335">
        <v>32651.1</v>
      </c>
      <c r="G21" s="336">
        <v>11295</v>
      </c>
      <c r="H21" s="335">
        <v>4532.3</v>
      </c>
      <c r="I21" s="336">
        <v>12454</v>
      </c>
      <c r="J21" s="335">
        <v>40793.699999999997</v>
      </c>
      <c r="K21" s="336">
        <v>12025</v>
      </c>
      <c r="L21" s="335">
        <v>17759.599999999999</v>
      </c>
      <c r="M21" s="336">
        <v>8004</v>
      </c>
    </row>
    <row r="22" spans="1:13" x14ac:dyDescent="0.3">
      <c r="A22" s="337" t="s">
        <v>232</v>
      </c>
      <c r="B22" s="335">
        <v>1211.8</v>
      </c>
      <c r="C22" s="336">
        <v>20981</v>
      </c>
      <c r="D22" s="335">
        <v>2413.1</v>
      </c>
      <c r="E22" s="336">
        <v>18893</v>
      </c>
      <c r="F22" s="335">
        <v>33555.800000000003</v>
      </c>
      <c r="G22" s="336">
        <v>12264</v>
      </c>
      <c r="H22" s="335">
        <v>4044</v>
      </c>
      <c r="I22" s="336">
        <v>13698</v>
      </c>
      <c r="J22" s="335">
        <v>41224.699999999997</v>
      </c>
      <c r="K22" s="336">
        <v>13049</v>
      </c>
      <c r="L22" s="335">
        <v>19025.7</v>
      </c>
      <c r="M22" s="336">
        <v>8678</v>
      </c>
    </row>
    <row r="23" spans="1:13" x14ac:dyDescent="0.3">
      <c r="A23" s="337" t="s">
        <v>233</v>
      </c>
      <c r="B23" s="335">
        <v>1080.8</v>
      </c>
      <c r="C23" s="336">
        <v>23213</v>
      </c>
      <c r="D23" s="335">
        <v>2336.9</v>
      </c>
      <c r="E23" s="336">
        <v>20850</v>
      </c>
      <c r="F23" s="335">
        <v>33688.9</v>
      </c>
      <c r="G23" s="336">
        <v>13666</v>
      </c>
      <c r="H23" s="335">
        <v>3486.9</v>
      </c>
      <c r="I23" s="336">
        <v>15386</v>
      </c>
      <c r="J23" s="335">
        <v>40593.4</v>
      </c>
      <c r="K23" s="336">
        <v>14481</v>
      </c>
      <c r="L23" s="335">
        <v>18894.099999999999</v>
      </c>
      <c r="M23" s="336">
        <v>9401</v>
      </c>
    </row>
    <row r="24" spans="1:13" x14ac:dyDescent="0.3">
      <c r="A24" s="337" t="s">
        <v>234</v>
      </c>
      <c r="B24" s="335">
        <v>1052.9000000000001</v>
      </c>
      <c r="C24" s="336">
        <v>25272</v>
      </c>
      <c r="D24" s="335">
        <v>2239.6</v>
      </c>
      <c r="E24" s="336">
        <v>23035</v>
      </c>
      <c r="F24" s="335">
        <v>33640.6</v>
      </c>
      <c r="G24" s="336">
        <v>14921</v>
      </c>
      <c r="H24" s="335">
        <v>3427.6</v>
      </c>
      <c r="I24" s="336">
        <v>16798</v>
      </c>
      <c r="J24" s="335">
        <v>40360.6</v>
      </c>
      <c r="K24" s="336">
        <v>15801</v>
      </c>
      <c r="L24" s="335">
        <v>18692.5</v>
      </c>
      <c r="M24" s="336">
        <v>10225</v>
      </c>
    </row>
    <row r="25" spans="1:13" x14ac:dyDescent="0.3">
      <c r="A25" s="337" t="s">
        <v>235</v>
      </c>
      <c r="B25" s="335">
        <v>1059.4000000000001</v>
      </c>
      <c r="C25" s="336">
        <v>27187</v>
      </c>
      <c r="D25" s="335">
        <v>2204.4</v>
      </c>
      <c r="E25" s="336">
        <v>25013</v>
      </c>
      <c r="F25" s="335">
        <v>34596.199999999997</v>
      </c>
      <c r="G25" s="336">
        <v>16114</v>
      </c>
      <c r="H25" s="335">
        <v>3296.9</v>
      </c>
      <c r="I25" s="336">
        <v>18098</v>
      </c>
      <c r="J25" s="335">
        <v>41157</v>
      </c>
      <c r="K25" s="336">
        <v>17032</v>
      </c>
      <c r="L25" s="335">
        <v>19591.8</v>
      </c>
      <c r="M25" s="336">
        <v>10952</v>
      </c>
    </row>
    <row r="26" spans="1:13" x14ac:dyDescent="0.3">
      <c r="A26" s="337" t="s">
        <v>236</v>
      </c>
      <c r="B26" s="335">
        <v>1072</v>
      </c>
      <c r="C26" s="336">
        <v>29333</v>
      </c>
      <c r="D26" s="335">
        <v>2271.8000000000002</v>
      </c>
      <c r="E26" s="336">
        <v>26842</v>
      </c>
      <c r="F26" s="335">
        <v>34895.5</v>
      </c>
      <c r="G26" s="336">
        <v>17357</v>
      </c>
      <c r="H26" s="335">
        <v>3398.2</v>
      </c>
      <c r="I26" s="336">
        <v>19229</v>
      </c>
      <c r="J26" s="335">
        <v>41637.5</v>
      </c>
      <c r="K26" s="336">
        <v>18336</v>
      </c>
      <c r="L26" s="335">
        <v>20147.5</v>
      </c>
      <c r="M26" s="336">
        <v>11807</v>
      </c>
    </row>
    <row r="27" spans="1:13" x14ac:dyDescent="0.3">
      <c r="A27" s="337" t="s">
        <v>237</v>
      </c>
      <c r="B27" s="335">
        <v>1112.9000000000001</v>
      </c>
      <c r="C27" s="336">
        <v>31774</v>
      </c>
      <c r="D27" s="335">
        <v>2275.1</v>
      </c>
      <c r="E27" s="336">
        <v>29166</v>
      </c>
      <c r="F27" s="335">
        <v>35499.300000000003</v>
      </c>
      <c r="G27" s="336">
        <v>18820</v>
      </c>
      <c r="H27" s="335">
        <v>3518.8</v>
      </c>
      <c r="I27" s="336">
        <v>20773</v>
      </c>
      <c r="J27" s="335">
        <v>42406.1</v>
      </c>
      <c r="K27" s="336">
        <v>19877</v>
      </c>
      <c r="L27" s="335">
        <v>21013.200000000001</v>
      </c>
      <c r="M27" s="336">
        <v>12732</v>
      </c>
    </row>
    <row r="28" spans="1:13" x14ac:dyDescent="0.3">
      <c r="A28" s="337" t="s">
        <v>238</v>
      </c>
      <c r="B28" s="335">
        <v>1136.5</v>
      </c>
      <c r="C28" s="336">
        <v>35307</v>
      </c>
      <c r="D28" s="335">
        <v>2304.1999999999998</v>
      </c>
      <c r="E28" s="336">
        <v>32721</v>
      </c>
      <c r="F28" s="335">
        <v>35599.699999999997</v>
      </c>
      <c r="G28" s="336">
        <v>21267</v>
      </c>
      <c r="H28" s="335">
        <v>3677.9</v>
      </c>
      <c r="I28" s="336">
        <v>23255</v>
      </c>
      <c r="J28" s="335">
        <v>42719</v>
      </c>
      <c r="K28" s="336">
        <v>22430</v>
      </c>
      <c r="L28" s="335">
        <v>21402.3</v>
      </c>
      <c r="M28" s="336">
        <v>14040</v>
      </c>
    </row>
    <row r="29" spans="1:13" x14ac:dyDescent="0.3">
      <c r="A29" s="337" t="s">
        <v>239</v>
      </c>
      <c r="B29" s="335">
        <v>1003</v>
      </c>
      <c r="C29" s="336">
        <v>38252</v>
      </c>
      <c r="D29" s="335">
        <v>2246.6999999999998</v>
      </c>
      <c r="E29" s="336">
        <v>35193</v>
      </c>
      <c r="F29" s="335">
        <v>35004.199999999997</v>
      </c>
      <c r="G29" s="336">
        <v>22954</v>
      </c>
      <c r="H29" s="335">
        <v>3605.9</v>
      </c>
      <c r="I29" s="336">
        <v>25045</v>
      </c>
      <c r="J29" s="335">
        <v>41859.699999999997</v>
      </c>
      <c r="K29" s="336">
        <v>24158</v>
      </c>
      <c r="L29" s="335">
        <v>19520.099999999999</v>
      </c>
      <c r="M29" s="336">
        <v>15233</v>
      </c>
    </row>
    <row r="30" spans="1:13" x14ac:dyDescent="0.3">
      <c r="A30" s="337" t="s">
        <v>240</v>
      </c>
      <c r="B30" s="335">
        <v>909.3</v>
      </c>
      <c r="C30" s="336">
        <v>39311</v>
      </c>
      <c r="D30" s="335">
        <v>2190</v>
      </c>
      <c r="E30" s="336">
        <v>35746</v>
      </c>
      <c r="F30" s="335">
        <v>34117</v>
      </c>
      <c r="G30" s="336">
        <v>23485</v>
      </c>
      <c r="H30" s="335">
        <v>3470.3</v>
      </c>
      <c r="I30" s="336">
        <v>25622</v>
      </c>
      <c r="J30" s="335">
        <v>40686</v>
      </c>
      <c r="K30" s="336">
        <v>24681</v>
      </c>
      <c r="L30" s="335">
        <v>18962.8</v>
      </c>
      <c r="M30" s="336">
        <v>15440</v>
      </c>
    </row>
    <row r="31" spans="1:13" x14ac:dyDescent="0.3">
      <c r="A31" s="337" t="s">
        <v>241</v>
      </c>
      <c r="B31" s="335">
        <v>940.7</v>
      </c>
      <c r="C31" s="336">
        <v>41409</v>
      </c>
      <c r="D31" s="335">
        <v>2191.5</v>
      </c>
      <c r="E31" s="336">
        <v>37350</v>
      </c>
      <c r="F31" s="335">
        <v>34889.5</v>
      </c>
      <c r="G31" s="336">
        <v>24420</v>
      </c>
      <c r="H31" s="335">
        <v>3596.5</v>
      </c>
      <c r="I31" s="336">
        <v>26506</v>
      </c>
      <c r="J31" s="335">
        <v>41634</v>
      </c>
      <c r="K31" s="336">
        <v>25667</v>
      </c>
      <c r="L31" s="335">
        <v>19690</v>
      </c>
      <c r="M31" s="336">
        <v>16249</v>
      </c>
    </row>
    <row r="32" spans="1:13" x14ac:dyDescent="0.3">
      <c r="A32" s="337" t="s">
        <v>242</v>
      </c>
      <c r="B32" s="335">
        <v>967.6</v>
      </c>
      <c r="C32" s="336">
        <v>43395</v>
      </c>
      <c r="D32" s="335">
        <v>2276.9</v>
      </c>
      <c r="E32" s="336">
        <v>38902</v>
      </c>
      <c r="F32" s="335">
        <v>35727.1</v>
      </c>
      <c r="G32" s="336">
        <v>25505</v>
      </c>
      <c r="H32" s="335">
        <v>3736.8</v>
      </c>
      <c r="I32" s="336">
        <v>27728</v>
      </c>
      <c r="J32" s="335">
        <v>42735</v>
      </c>
      <c r="K32" s="336">
        <v>26806</v>
      </c>
      <c r="L32" s="335">
        <v>20465</v>
      </c>
      <c r="M32" s="336">
        <v>17099</v>
      </c>
    </row>
    <row r="33" spans="1:13" x14ac:dyDescent="0.3">
      <c r="A33" s="337" t="s">
        <v>243</v>
      </c>
      <c r="B33" s="335">
        <v>992.2</v>
      </c>
      <c r="C33" s="336">
        <v>44697</v>
      </c>
      <c r="D33" s="335">
        <v>2255.5</v>
      </c>
      <c r="E33" s="336">
        <v>40349</v>
      </c>
      <c r="F33" s="335">
        <v>36199.5</v>
      </c>
      <c r="G33" s="336">
        <v>26210</v>
      </c>
      <c r="H33" s="335">
        <v>3822.7</v>
      </c>
      <c r="I33" s="336">
        <v>28377</v>
      </c>
      <c r="J33" s="335">
        <v>43292</v>
      </c>
      <c r="K33" s="336">
        <v>27562</v>
      </c>
      <c r="L33" s="335">
        <v>20959</v>
      </c>
      <c r="M33" s="336">
        <v>17505</v>
      </c>
    </row>
    <row r="34" spans="1:13" x14ac:dyDescent="0.3">
      <c r="A34" s="337" t="s">
        <v>244</v>
      </c>
      <c r="B34" s="335">
        <v>1007.8</v>
      </c>
      <c r="C34" s="336">
        <v>46883</v>
      </c>
      <c r="D34" s="335">
        <v>2186</v>
      </c>
      <c r="E34" s="336">
        <v>42354</v>
      </c>
      <c r="F34" s="335">
        <v>37126.9</v>
      </c>
      <c r="G34" s="336">
        <v>27285</v>
      </c>
      <c r="H34" s="335">
        <v>3995.3</v>
      </c>
      <c r="I34" s="336">
        <v>29503</v>
      </c>
      <c r="J34" s="335">
        <v>44321</v>
      </c>
      <c r="K34" s="336">
        <v>28673</v>
      </c>
      <c r="L34" s="335">
        <v>21590</v>
      </c>
      <c r="M34" s="336">
        <v>18038</v>
      </c>
    </row>
    <row r="35" spans="1:13" x14ac:dyDescent="0.3">
      <c r="A35" s="337" t="s">
        <v>245</v>
      </c>
      <c r="B35" s="335">
        <v>995.9</v>
      </c>
      <c r="C35" s="336">
        <v>49579</v>
      </c>
      <c r="D35" s="335">
        <v>2224.1999999999998</v>
      </c>
      <c r="E35" s="336">
        <v>44572</v>
      </c>
      <c r="F35" s="335">
        <v>37948.5</v>
      </c>
      <c r="G35" s="336">
        <v>28217</v>
      </c>
      <c r="H35" s="335">
        <v>4060.9</v>
      </c>
      <c r="I35" s="336">
        <v>30343</v>
      </c>
      <c r="J35" s="335">
        <v>45236.4</v>
      </c>
      <c r="K35" s="336">
        <v>29683</v>
      </c>
      <c r="L35" s="335">
        <v>22430</v>
      </c>
      <c r="M35" s="336">
        <v>18732</v>
      </c>
    </row>
    <row r="36" spans="1:13" x14ac:dyDescent="0.3">
      <c r="A36" s="337" t="s">
        <v>246</v>
      </c>
      <c r="B36" s="335">
        <v>1022</v>
      </c>
      <c r="C36" s="336">
        <v>52049</v>
      </c>
      <c r="D36" s="335">
        <v>2266</v>
      </c>
      <c r="E36" s="336">
        <v>46720</v>
      </c>
      <c r="F36" s="335">
        <v>38818</v>
      </c>
      <c r="G36" s="336">
        <v>29199</v>
      </c>
      <c r="H36" s="335">
        <v>4193</v>
      </c>
      <c r="I36" s="336">
        <v>31331</v>
      </c>
      <c r="J36" s="335">
        <v>46338</v>
      </c>
      <c r="K36" s="336">
        <v>30756</v>
      </c>
      <c r="L36" s="335">
        <v>23489</v>
      </c>
      <c r="M36" s="336">
        <v>19577</v>
      </c>
    </row>
    <row r="37" spans="1:13" x14ac:dyDescent="0.3">
      <c r="A37" s="337" t="s">
        <v>247</v>
      </c>
      <c r="B37" s="335">
        <v>1047</v>
      </c>
      <c r="C37" s="336">
        <v>54772</v>
      </c>
      <c r="D37" s="335">
        <v>2251</v>
      </c>
      <c r="E37" s="336">
        <v>49563</v>
      </c>
      <c r="F37" s="335">
        <v>40337</v>
      </c>
      <c r="G37" s="336">
        <v>30457</v>
      </c>
      <c r="H37" s="335">
        <v>4419</v>
      </c>
      <c r="I37" s="336">
        <v>32618</v>
      </c>
      <c r="J37" s="335">
        <v>48111</v>
      </c>
      <c r="K37" s="336">
        <v>32085</v>
      </c>
      <c r="L37" s="335">
        <v>24283</v>
      </c>
      <c r="M37" s="336">
        <v>20518</v>
      </c>
    </row>
    <row r="38" spans="1:13" x14ac:dyDescent="0.3">
      <c r="A38" s="337" t="s">
        <v>248</v>
      </c>
      <c r="B38" s="335">
        <v>1055.5999999999999</v>
      </c>
      <c r="C38" s="336">
        <v>59220</v>
      </c>
      <c r="D38" s="335">
        <v>2334.1</v>
      </c>
      <c r="E38" s="336">
        <v>53376</v>
      </c>
      <c r="F38" s="335">
        <v>41918.6</v>
      </c>
      <c r="G38" s="336">
        <v>33079</v>
      </c>
      <c r="H38" s="335">
        <v>4627</v>
      </c>
      <c r="I38" s="336">
        <v>35674</v>
      </c>
      <c r="J38" s="335">
        <v>49996.9</v>
      </c>
      <c r="K38" s="336">
        <v>34826</v>
      </c>
      <c r="L38" s="335">
        <v>25791</v>
      </c>
      <c r="M38" s="336">
        <v>21560</v>
      </c>
    </row>
    <row r="39" spans="1:13" x14ac:dyDescent="0.3">
      <c r="A39" s="337" t="s">
        <v>249</v>
      </c>
      <c r="B39" s="335">
        <v>1058</v>
      </c>
      <c r="C39" s="336">
        <v>63128</v>
      </c>
      <c r="D39" s="335">
        <v>2316.6999999999998</v>
      </c>
      <c r="E39" s="336">
        <v>56755</v>
      </c>
      <c r="F39" s="335">
        <v>42923.9</v>
      </c>
      <c r="G39" s="336">
        <v>34824</v>
      </c>
      <c r="H39" s="335">
        <v>4839.1000000000004</v>
      </c>
      <c r="I39" s="336">
        <v>37544</v>
      </c>
      <c r="J39" s="335">
        <v>51209.2</v>
      </c>
      <c r="K39" s="336">
        <v>36665</v>
      </c>
      <c r="L39" s="335">
        <v>26681.4</v>
      </c>
      <c r="M39" s="336">
        <v>22715</v>
      </c>
    </row>
    <row r="40" spans="1:13" x14ac:dyDescent="0.3">
      <c r="A40" s="337" t="s">
        <v>250</v>
      </c>
      <c r="B40" s="335">
        <v>1046.5</v>
      </c>
      <c r="C40" s="336">
        <v>65585</v>
      </c>
      <c r="D40" s="335">
        <v>2397.1</v>
      </c>
      <c r="E40" s="336">
        <v>59293</v>
      </c>
      <c r="F40" s="335">
        <v>44328.9</v>
      </c>
      <c r="G40" s="336">
        <v>35761</v>
      </c>
      <c r="H40" s="335">
        <v>5035.2</v>
      </c>
      <c r="I40" s="336">
        <v>38598</v>
      </c>
      <c r="J40" s="335">
        <v>52955.4</v>
      </c>
      <c r="K40" s="336">
        <v>37698</v>
      </c>
      <c r="L40" s="335">
        <v>28249.9</v>
      </c>
      <c r="M40" s="336">
        <v>23562</v>
      </c>
    </row>
    <row r="41" spans="1:13" x14ac:dyDescent="0.3">
      <c r="A41" s="337" t="s">
        <v>251</v>
      </c>
      <c r="B41" s="335">
        <v>1022.2</v>
      </c>
      <c r="C41" s="336">
        <v>65998</v>
      </c>
      <c r="D41" s="335">
        <v>2420.4</v>
      </c>
      <c r="E41" s="336">
        <v>59660</v>
      </c>
      <c r="F41" s="335">
        <v>45456.2</v>
      </c>
      <c r="G41" s="336">
        <v>35863</v>
      </c>
      <c r="H41" s="335">
        <v>5293.2</v>
      </c>
      <c r="I41" s="336">
        <v>38695</v>
      </c>
      <c r="J41" s="335">
        <v>54343.4</v>
      </c>
      <c r="K41" s="336">
        <v>37777</v>
      </c>
      <c r="L41" s="335">
        <v>29399.4</v>
      </c>
      <c r="M41" s="336">
        <v>23837</v>
      </c>
    </row>
    <row r="42" spans="1:13" x14ac:dyDescent="0.3">
      <c r="A42" s="337" t="s">
        <v>252</v>
      </c>
      <c r="B42" s="335">
        <v>1032.9000000000001</v>
      </c>
      <c r="C42" s="336">
        <v>66811</v>
      </c>
      <c r="D42" s="335">
        <v>2462.1999999999998</v>
      </c>
      <c r="E42" s="336">
        <v>60360</v>
      </c>
      <c r="F42" s="335">
        <v>46346.5</v>
      </c>
      <c r="G42" s="336">
        <v>36149</v>
      </c>
      <c r="H42" s="335">
        <v>5547.2</v>
      </c>
      <c r="I42" s="336">
        <v>39058</v>
      </c>
      <c r="J42" s="335">
        <v>55563.3</v>
      </c>
      <c r="K42" s="336">
        <v>38100</v>
      </c>
      <c r="L42" s="335">
        <v>30485.599999999999</v>
      </c>
      <c r="M42" s="336">
        <v>24042</v>
      </c>
    </row>
    <row r="43" spans="1:13" x14ac:dyDescent="0.3">
      <c r="A43" s="337" t="s">
        <v>253</v>
      </c>
      <c r="B43" s="335">
        <v>1008.06</v>
      </c>
      <c r="C43" s="336">
        <v>70400</v>
      </c>
      <c r="D43" s="335">
        <v>2492.25</v>
      </c>
      <c r="E43" s="336">
        <v>63805</v>
      </c>
      <c r="F43" s="335">
        <v>46899.87</v>
      </c>
      <c r="G43" s="336">
        <v>37851</v>
      </c>
      <c r="H43" s="335">
        <v>5599.55</v>
      </c>
      <c r="I43" s="336">
        <v>40820</v>
      </c>
      <c r="J43" s="335">
        <v>56171.4</v>
      </c>
      <c r="K43" s="336">
        <v>39900</v>
      </c>
      <c r="L43" s="335">
        <v>30712.83</v>
      </c>
      <c r="M43" s="336">
        <v>25092</v>
      </c>
    </row>
    <row r="44" spans="1:13" x14ac:dyDescent="0.3">
      <c r="A44" s="337" t="s">
        <v>254</v>
      </c>
      <c r="B44" s="335">
        <v>1017.09</v>
      </c>
      <c r="C44" s="336">
        <v>71378</v>
      </c>
      <c r="D44" s="335">
        <v>2561.89</v>
      </c>
      <c r="E44" s="336">
        <v>64276</v>
      </c>
      <c r="F44" s="335">
        <v>48212.56</v>
      </c>
      <c r="G44" s="336">
        <v>37812</v>
      </c>
      <c r="H44" s="335">
        <v>5695.73</v>
      </c>
      <c r="I44" s="336">
        <v>40649</v>
      </c>
      <c r="J44" s="335">
        <v>57672.99</v>
      </c>
      <c r="K44" s="336">
        <v>39868</v>
      </c>
      <c r="L44" s="335">
        <v>31757.43</v>
      </c>
      <c r="M44" s="338">
        <v>25314</v>
      </c>
    </row>
    <row r="45" spans="1:13" x14ac:dyDescent="0.3">
      <c r="A45" s="334" t="s">
        <v>255</v>
      </c>
      <c r="B45" s="339">
        <v>1050.97</v>
      </c>
      <c r="C45" s="340">
        <v>73636</v>
      </c>
      <c r="D45" s="341">
        <v>2596.5300000000002</v>
      </c>
      <c r="E45" s="338">
        <v>66598</v>
      </c>
      <c r="F45" s="341">
        <v>49014.97</v>
      </c>
      <c r="G45" s="338">
        <v>38761</v>
      </c>
      <c r="H45" s="341">
        <v>5822.62</v>
      </c>
      <c r="I45" s="338">
        <v>41573</v>
      </c>
      <c r="J45" s="341">
        <v>58658.71</v>
      </c>
      <c r="K45" s="338">
        <v>40914</v>
      </c>
      <c r="L45" s="341">
        <v>32678.37</v>
      </c>
      <c r="M45" s="338">
        <v>26332</v>
      </c>
    </row>
    <row r="46" spans="1:13" x14ac:dyDescent="0.3">
      <c r="A46" s="334" t="s">
        <v>256</v>
      </c>
      <c r="B46" s="339">
        <v>1059.33</v>
      </c>
      <c r="C46" s="340">
        <v>74495</v>
      </c>
      <c r="D46" s="341">
        <v>2621.44</v>
      </c>
      <c r="E46" s="338">
        <v>67314</v>
      </c>
      <c r="F46" s="341">
        <v>49597.64</v>
      </c>
      <c r="G46" s="338">
        <v>38693</v>
      </c>
      <c r="H46" s="341">
        <v>6009.3</v>
      </c>
      <c r="I46" s="338">
        <v>41600</v>
      </c>
      <c r="J46" s="341">
        <v>59457.87</v>
      </c>
      <c r="K46" s="338">
        <v>40900</v>
      </c>
      <c r="L46" s="341">
        <v>33118.71</v>
      </c>
      <c r="M46" s="338">
        <v>26662</v>
      </c>
    </row>
    <row r="47" spans="1:13" x14ac:dyDescent="0.3">
      <c r="A47" s="334" t="s">
        <v>257</v>
      </c>
      <c r="B47" s="339">
        <v>1075.7809999999999</v>
      </c>
      <c r="C47" s="340">
        <v>78183.167391876181</v>
      </c>
      <c r="D47" s="341">
        <v>2658.163</v>
      </c>
      <c r="E47" s="338">
        <v>70891.88586252986</v>
      </c>
      <c r="F47" s="341">
        <v>50238.59</v>
      </c>
      <c r="G47" s="338">
        <v>41047.401370142084</v>
      </c>
      <c r="H47" s="341">
        <v>6346.7129999999988</v>
      </c>
      <c r="I47" s="338">
        <v>44131.842577409821</v>
      </c>
      <c r="J47" s="341">
        <v>60487.97800000001</v>
      </c>
      <c r="K47" s="338">
        <v>43359.299165199503</v>
      </c>
      <c r="L47" s="341">
        <v>34195.905999999995</v>
      </c>
      <c r="M47" s="338">
        <v>27734.776671803691</v>
      </c>
    </row>
    <row r="48" spans="1:13" x14ac:dyDescent="0.3">
      <c r="A48" s="342" t="s">
        <v>268</v>
      </c>
      <c r="B48" s="343">
        <v>1088.5</v>
      </c>
      <c r="C48" s="344">
        <v>81494</v>
      </c>
      <c r="D48" s="345">
        <v>2673.2</v>
      </c>
      <c r="E48" s="346">
        <v>73864</v>
      </c>
      <c r="F48" s="345">
        <v>50855.1</v>
      </c>
      <c r="G48" s="346">
        <v>42143</v>
      </c>
      <c r="H48" s="345">
        <v>6341.9</v>
      </c>
      <c r="I48" s="346">
        <v>45427</v>
      </c>
      <c r="J48" s="345">
        <v>61138.8</v>
      </c>
      <c r="K48" s="346">
        <v>44588</v>
      </c>
      <c r="L48" s="345">
        <v>34765.300000000003</v>
      </c>
      <c r="M48" s="346">
        <v>28896</v>
      </c>
    </row>
    <row r="49" spans="1:13" x14ac:dyDescent="0.3">
      <c r="A49" s="334" t="s">
        <v>278</v>
      </c>
      <c r="B49" s="339">
        <v>1142.57</v>
      </c>
      <c r="C49" s="340">
        <v>84703.470063103348</v>
      </c>
      <c r="D49" s="341">
        <v>2713.33</v>
      </c>
      <c r="E49" s="338">
        <v>77238.447358043442</v>
      </c>
      <c r="F49" s="341">
        <v>52566.74</v>
      </c>
      <c r="G49" s="338">
        <v>43469.650743416852</v>
      </c>
      <c r="H49" s="341">
        <v>6592.93</v>
      </c>
      <c r="I49" s="338">
        <v>47030.491555347937</v>
      </c>
      <c r="J49" s="341">
        <v>63204.21</v>
      </c>
      <c r="K49" s="338">
        <v>46053.13974353925</v>
      </c>
      <c r="L49" s="341">
        <v>35638.53</v>
      </c>
      <c r="M49" s="338">
        <v>30122.058525702381</v>
      </c>
    </row>
    <row r="50" spans="1:13" x14ac:dyDescent="0.3">
      <c r="A50" s="334" t="s">
        <v>284</v>
      </c>
      <c r="B50" s="339">
        <v>1168.69</v>
      </c>
      <c r="C50" s="340">
        <v>88245.320324465851</v>
      </c>
      <c r="D50" s="341">
        <v>2741.61</v>
      </c>
      <c r="E50" s="338">
        <v>80317.597988043533</v>
      </c>
      <c r="F50" s="341">
        <v>53100.11</v>
      </c>
      <c r="G50" s="338">
        <v>44960.865590673922</v>
      </c>
      <c r="H50" s="341">
        <v>6709.96</v>
      </c>
      <c r="I50" s="338">
        <v>48613.589057162782</v>
      </c>
      <c r="J50" s="341">
        <v>63912.25</v>
      </c>
      <c r="K50" s="338">
        <v>47676.611587606443</v>
      </c>
      <c r="L50" s="341">
        <v>36157.339999999997</v>
      </c>
      <c r="M50" s="338">
        <v>31512.064479300749</v>
      </c>
    </row>
    <row r="51" spans="1:13" x14ac:dyDescent="0.3">
      <c r="A51" s="334" t="s">
        <v>317</v>
      </c>
      <c r="B51" s="339">
        <v>1146.56</v>
      </c>
      <c r="C51" s="340">
        <v>89362.502014722311</v>
      </c>
      <c r="D51" s="341">
        <v>2751.04</v>
      </c>
      <c r="E51" s="338">
        <v>80956.797145806675</v>
      </c>
      <c r="F51" s="341">
        <v>52892.43</v>
      </c>
      <c r="G51" s="338">
        <v>45437.080145495303</v>
      </c>
      <c r="H51" s="341">
        <v>6747.24</v>
      </c>
      <c r="I51" s="338">
        <v>48847.831482206064</v>
      </c>
      <c r="J51" s="341">
        <v>63721.79</v>
      </c>
      <c r="K51" s="338">
        <v>48141.14217664006</v>
      </c>
      <c r="L51" s="341">
        <v>36041.69</v>
      </c>
      <c r="M51" s="338">
        <v>31828.1784719307</v>
      </c>
    </row>
    <row r="52" spans="1:13" x14ac:dyDescent="0.3">
      <c r="A52" s="334" t="s">
        <v>322</v>
      </c>
      <c r="B52" s="339">
        <v>1126.03</v>
      </c>
      <c r="C52" s="340">
        <v>91144.852952408022</v>
      </c>
      <c r="D52" s="341">
        <v>2799.37</v>
      </c>
      <c r="E52" s="338">
        <v>81880.293698224981</v>
      </c>
      <c r="F52" s="341">
        <v>53253.84</v>
      </c>
      <c r="G52" s="338">
        <v>45722.181989317578</v>
      </c>
      <c r="H52" s="341">
        <v>6911.88</v>
      </c>
      <c r="I52" s="338">
        <v>49135.184784747427</v>
      </c>
      <c r="J52" s="341">
        <v>64273.45</v>
      </c>
      <c r="K52" s="338">
        <v>48481.414094311105</v>
      </c>
      <c r="L52" s="341">
        <v>36602.04</v>
      </c>
      <c r="M52" s="338">
        <v>32512.595992190592</v>
      </c>
    </row>
    <row r="53" spans="1:13" x14ac:dyDescent="0.3">
      <c r="A53" s="334" t="s">
        <v>325</v>
      </c>
      <c r="B53" s="339">
        <v>1161.6199999999999</v>
      </c>
      <c r="C53" s="340">
        <v>93343.001678690125</v>
      </c>
      <c r="D53" s="341">
        <v>2837.01</v>
      </c>
      <c r="E53" s="338">
        <v>83975.534079893972</v>
      </c>
      <c r="F53" s="341">
        <v>53633.37</v>
      </c>
      <c r="G53" s="338">
        <v>46316.67878710587</v>
      </c>
      <c r="H53" s="341">
        <v>7015.82</v>
      </c>
      <c r="I53" s="338">
        <v>49700.121367138854</v>
      </c>
      <c r="J53" s="341">
        <v>64816.5</v>
      </c>
      <c r="K53" s="338">
        <v>49198.121836877952</v>
      </c>
      <c r="L53" s="341">
        <v>36748.449999999997</v>
      </c>
      <c r="M53" s="338">
        <v>33350.167996201191</v>
      </c>
    </row>
    <row r="54" spans="1:13" x14ac:dyDescent="0.3">
      <c r="A54" s="334" t="s">
        <v>329</v>
      </c>
      <c r="B54" s="339">
        <v>1171.19</v>
      </c>
      <c r="C54" s="340">
        <v>97439.704975281536</v>
      </c>
      <c r="D54" s="341">
        <v>2804</v>
      </c>
      <c r="E54" s="347">
        <v>88227.786833095583</v>
      </c>
      <c r="F54" s="341">
        <v>53956.590000000004</v>
      </c>
      <c r="G54" s="347">
        <v>47879.684373678909</v>
      </c>
      <c r="H54" s="341">
        <v>7151.1600000000008</v>
      </c>
      <c r="I54" s="347">
        <v>51272.489312223472</v>
      </c>
      <c r="J54" s="341">
        <v>65262.05999999999</v>
      </c>
      <c r="K54" s="347">
        <v>50899.91909909065</v>
      </c>
      <c r="L54" s="341">
        <v>36882.46</v>
      </c>
      <c r="M54" s="347">
        <v>34735.474262291616</v>
      </c>
    </row>
    <row r="55" spans="1:13" x14ac:dyDescent="0.3">
      <c r="A55" s="334" t="s">
        <v>339</v>
      </c>
      <c r="B55" s="339">
        <v>1192.01</v>
      </c>
      <c r="C55" s="340">
        <v>102006.138572663</v>
      </c>
      <c r="D55" s="341">
        <v>2844.89</v>
      </c>
      <c r="E55" s="347">
        <v>92319.664401787071</v>
      </c>
      <c r="F55" s="341">
        <v>54181.049999999996</v>
      </c>
      <c r="G55" s="347">
        <v>49887.054003198544</v>
      </c>
      <c r="H55" s="341">
        <v>7311.9000000000005</v>
      </c>
      <c r="I55" s="347">
        <v>53567.888271174386</v>
      </c>
      <c r="J55" s="341">
        <v>65702.239999999991</v>
      </c>
      <c r="K55" s="347">
        <v>53103.220246524317</v>
      </c>
      <c r="L55" s="341">
        <v>37306.759999999995</v>
      </c>
      <c r="M55" s="347">
        <v>36316.323806194916</v>
      </c>
    </row>
    <row r="56" spans="1:13" x14ac:dyDescent="0.3">
      <c r="A56" s="334" t="s">
        <v>347</v>
      </c>
      <c r="B56" s="339">
        <v>1158.53</v>
      </c>
      <c r="C56" s="340">
        <v>106892.25849999569</v>
      </c>
      <c r="D56" s="341">
        <v>2876.8599999999997</v>
      </c>
      <c r="E56" s="347">
        <v>96958.661005401736</v>
      </c>
      <c r="F56" s="341">
        <v>54657.689999999988</v>
      </c>
      <c r="G56" s="347">
        <v>52568.202878497061</v>
      </c>
      <c r="H56" s="341">
        <v>7384.7200000000021</v>
      </c>
      <c r="I56" s="347">
        <v>56396.996950459841</v>
      </c>
      <c r="J56" s="341">
        <v>66221.179999999993</v>
      </c>
      <c r="K56" s="347">
        <v>55901.93749537535</v>
      </c>
      <c r="L56" s="341">
        <v>37516.18</v>
      </c>
      <c r="M56" s="347">
        <v>38402.429358479458</v>
      </c>
    </row>
    <row r="57" spans="1:13" x14ac:dyDescent="0.3">
      <c r="A57" s="334" t="s">
        <v>350</v>
      </c>
      <c r="B57" s="339">
        <v>1107.08</v>
      </c>
      <c r="C57" s="340">
        <v>108113.9356415074</v>
      </c>
      <c r="D57" s="341">
        <v>2791.9000000000005</v>
      </c>
      <c r="E57" s="347">
        <v>98544.473362226418</v>
      </c>
      <c r="F57" s="341">
        <v>53620.36</v>
      </c>
      <c r="G57" s="347">
        <v>53003.261933713235</v>
      </c>
      <c r="H57" s="341">
        <v>7250.7999999999993</v>
      </c>
      <c r="I57" s="347">
        <v>56290.131149666246</v>
      </c>
      <c r="J57" s="341">
        <v>64913.359999999993</v>
      </c>
      <c r="K57" s="347">
        <v>56295.556558619064</v>
      </c>
      <c r="L57" s="341">
        <v>36905.129999999997</v>
      </c>
      <c r="M57" s="347">
        <v>38677.350137230249</v>
      </c>
    </row>
    <row r="58" spans="1:13" x14ac:dyDescent="0.3">
      <c r="A58" s="334" t="s">
        <v>362</v>
      </c>
      <c r="B58" s="339">
        <v>1109.79</v>
      </c>
      <c r="C58" s="340">
        <v>109391.89010533525</v>
      </c>
      <c r="D58" s="341">
        <v>2792.55</v>
      </c>
      <c r="E58" s="347">
        <v>99004.888904406354</v>
      </c>
      <c r="F58" s="341">
        <v>53881.010000000009</v>
      </c>
      <c r="G58" s="347">
        <v>52929.753318840892</v>
      </c>
      <c r="H58" s="341">
        <v>7299.3400000000011</v>
      </c>
      <c r="I58" s="347">
        <v>55976.88683771409</v>
      </c>
      <c r="J58" s="341">
        <v>65241.920000000013</v>
      </c>
      <c r="K58" s="347">
        <v>56226.354120632874</v>
      </c>
      <c r="L58" s="341">
        <v>37110.009999999995</v>
      </c>
      <c r="M58" s="347">
        <v>38914.422415407607</v>
      </c>
    </row>
    <row r="59" spans="1:13" x14ac:dyDescent="0.3">
      <c r="A59" s="334" t="s">
        <v>432</v>
      </c>
      <c r="B59" s="339">
        <v>1076.58</v>
      </c>
      <c r="C59" s="340">
        <v>110375.3141429341</v>
      </c>
      <c r="D59" s="341">
        <v>2807.73</v>
      </c>
      <c r="E59" s="347">
        <v>99218.129218265283</v>
      </c>
      <c r="F59" s="341">
        <v>53016.46</v>
      </c>
      <c r="G59" s="347">
        <v>52236.940413599856</v>
      </c>
      <c r="H59" s="341">
        <v>7186.0900000000011</v>
      </c>
      <c r="I59" s="347">
        <v>55057.73072561017</v>
      </c>
      <c r="J59" s="341">
        <v>64249.53</v>
      </c>
      <c r="K59" s="347">
        <v>55605.202772066979</v>
      </c>
      <c r="L59" s="341">
        <v>36199.800000000003</v>
      </c>
      <c r="M59" s="347">
        <v>39158.339750772102</v>
      </c>
    </row>
    <row r="60" spans="1:13" x14ac:dyDescent="0.3">
      <c r="A60" s="334" t="s">
        <v>448</v>
      </c>
      <c r="B60" s="339">
        <v>1106.3400000000001</v>
      </c>
      <c r="C60" s="340">
        <v>110872.674756404</v>
      </c>
      <c r="D60" s="341">
        <v>2864.2400000000002</v>
      </c>
      <c r="E60" s="347">
        <v>99715.320804122559</v>
      </c>
      <c r="F60" s="341">
        <v>53563.21</v>
      </c>
      <c r="G60" s="347">
        <v>52238.149210437543</v>
      </c>
      <c r="H60" s="341">
        <v>7302.05</v>
      </c>
      <c r="I60" s="347">
        <v>54916.241423983673</v>
      </c>
      <c r="J60" s="341">
        <v>64995.59</v>
      </c>
      <c r="K60" s="347">
        <v>55653.314721968061</v>
      </c>
      <c r="L60" s="341">
        <v>36450.080000000002</v>
      </c>
      <c r="M60" s="347">
        <v>39487.30803855574</v>
      </c>
    </row>
    <row r="61" spans="1:13" x14ac:dyDescent="0.3">
      <c r="A61" s="334" t="s">
        <v>465</v>
      </c>
      <c r="B61" s="339">
        <v>1141.7</v>
      </c>
      <c r="C61" s="340">
        <v>113763</v>
      </c>
      <c r="D61" s="341">
        <v>2958.7</v>
      </c>
      <c r="E61" s="347">
        <v>101835</v>
      </c>
      <c r="F61" s="341">
        <v>54727.6</v>
      </c>
      <c r="G61" s="347">
        <v>52969</v>
      </c>
      <c r="H61" s="341">
        <v>7617.4</v>
      </c>
      <c r="I61" s="347">
        <v>55594</v>
      </c>
      <c r="J61" s="341">
        <v>66599.7</v>
      </c>
      <c r="K61" s="347">
        <v>56507</v>
      </c>
      <c r="L61" s="341">
        <v>37273.800000000003</v>
      </c>
      <c r="M61" s="347">
        <v>40229</v>
      </c>
    </row>
    <row r="62" spans="1:13" x14ac:dyDescent="0.3">
      <c r="A62" s="334" t="s">
        <v>478</v>
      </c>
      <c r="B62" s="339">
        <v>1234.42</v>
      </c>
      <c r="C62" s="340">
        <v>115870.54553555515</v>
      </c>
      <c r="D62" s="341">
        <v>3092.35</v>
      </c>
      <c r="E62" s="347">
        <v>103897.81944475883</v>
      </c>
      <c r="F62" s="341">
        <v>56183.32</v>
      </c>
      <c r="G62" s="347">
        <v>52509.811957000762</v>
      </c>
      <c r="H62" s="341">
        <v>8109.8499999999985</v>
      </c>
      <c r="I62" s="347">
        <v>55271.954226033784</v>
      </c>
      <c r="J62" s="341">
        <v>68807.289999999994</v>
      </c>
      <c r="K62" s="347">
        <v>56306.748124217665</v>
      </c>
      <c r="L62" s="341">
        <v>38598.15</v>
      </c>
      <c r="M62" s="347">
        <v>41147.00858279477</v>
      </c>
    </row>
    <row r="63" spans="1:13" x14ac:dyDescent="0.3">
      <c r="A63" s="334" t="s">
        <v>501</v>
      </c>
      <c r="B63" s="339">
        <v>1310.2</v>
      </c>
      <c r="C63" s="340">
        <v>121037</v>
      </c>
      <c r="D63" s="341">
        <v>3243.9</v>
      </c>
      <c r="E63" s="347">
        <v>108385</v>
      </c>
      <c r="F63" s="341">
        <v>57912</v>
      </c>
      <c r="G63" s="347">
        <v>53707</v>
      </c>
      <c r="H63" s="341">
        <v>8440.5</v>
      </c>
      <c r="I63" s="347">
        <v>56714</v>
      </c>
      <c r="J63" s="341">
        <v>71122.399999999994</v>
      </c>
      <c r="K63" s="347">
        <v>57822</v>
      </c>
      <c r="L63" s="341">
        <v>39845.1</v>
      </c>
      <c r="M63" s="347">
        <v>43048</v>
      </c>
    </row>
    <row r="64" spans="1:13" x14ac:dyDescent="0.3">
      <c r="A64" s="334" t="s">
        <v>505</v>
      </c>
      <c r="B64" s="339">
        <v>1375.47</v>
      </c>
      <c r="C64" s="340">
        <v>125273.50717209392</v>
      </c>
      <c r="D64" s="341">
        <v>3423.2699999999995</v>
      </c>
      <c r="E64" s="347">
        <v>111519.43418135295</v>
      </c>
      <c r="F64" s="341">
        <v>59566.400000000001</v>
      </c>
      <c r="G64" s="347">
        <v>54459.619144853474</v>
      </c>
      <c r="H64" s="341">
        <v>8910.619999999999</v>
      </c>
      <c r="I64" s="347">
        <v>57526.073552682079</v>
      </c>
      <c r="J64" s="341">
        <v>73560.310000000012</v>
      </c>
      <c r="K64" s="347">
        <v>58820.624313845299</v>
      </c>
      <c r="L64" s="341">
        <v>41509.660000000003</v>
      </c>
      <c r="M64" s="347">
        <v>44704.040055013698</v>
      </c>
    </row>
    <row r="65" spans="1:13" x14ac:dyDescent="0.3">
      <c r="A65" s="334" t="s">
        <v>510</v>
      </c>
      <c r="B65" s="339">
        <v>1413.3</v>
      </c>
      <c r="C65" s="340">
        <v>131577</v>
      </c>
      <c r="D65" s="341">
        <v>3502.1</v>
      </c>
      <c r="E65" s="347">
        <v>117249</v>
      </c>
      <c r="F65" s="341">
        <v>61010.8</v>
      </c>
      <c r="G65" s="347">
        <v>55698</v>
      </c>
      <c r="H65" s="341">
        <v>9060.5</v>
      </c>
      <c r="I65" s="347">
        <v>58777</v>
      </c>
      <c r="J65" s="341">
        <v>75229.100000000006</v>
      </c>
      <c r="K65" s="347">
        <v>60388</v>
      </c>
      <c r="L65" s="341">
        <v>42510</v>
      </c>
      <c r="M65" s="347">
        <v>47275</v>
      </c>
    </row>
    <row r="66" spans="1:13" x14ac:dyDescent="0.3">
      <c r="A66" s="334" t="s">
        <v>521</v>
      </c>
      <c r="B66" s="339">
        <v>1421.22</v>
      </c>
      <c r="C66" s="340">
        <v>138249.70082042189</v>
      </c>
      <c r="D66" s="341">
        <v>3609.65</v>
      </c>
      <c r="E66" s="347">
        <v>122668.49829207818</v>
      </c>
      <c r="F66" s="341">
        <v>62545.159999999996</v>
      </c>
      <c r="G66" s="347">
        <v>73060.374233593786</v>
      </c>
      <c r="H66" s="341">
        <v>9527.880000000001</v>
      </c>
      <c r="I66" s="347">
        <v>77975.36461206479</v>
      </c>
      <c r="J66" s="341">
        <v>77350.98</v>
      </c>
      <c r="K66" s="347">
        <v>77203</v>
      </c>
      <c r="L66" s="341">
        <v>44335.49</v>
      </c>
      <c r="M66" s="347">
        <v>50404</v>
      </c>
    </row>
    <row r="67" spans="1:13" x14ac:dyDescent="0.3">
      <c r="A67" s="334" t="s">
        <v>533</v>
      </c>
      <c r="B67" s="339">
        <v>1382.5300000000002</v>
      </c>
      <c r="C67" s="340">
        <v>146676.15540349935</v>
      </c>
      <c r="D67" s="341">
        <v>3589.5399999999995</v>
      </c>
      <c r="E67" s="347">
        <v>131034.80176847173</v>
      </c>
      <c r="F67" s="341">
        <v>63034.26</v>
      </c>
      <c r="G67" s="347">
        <v>76753.288386981934</v>
      </c>
      <c r="H67" s="341">
        <v>9552.3300000000017</v>
      </c>
      <c r="I67" s="347">
        <v>81279.865139709349</v>
      </c>
      <c r="J67" s="341">
        <v>77777.350000000006</v>
      </c>
      <c r="K67" s="347">
        <v>81082</v>
      </c>
      <c r="L67" s="341">
        <v>44743.09</v>
      </c>
      <c r="M67" s="347">
        <v>53464</v>
      </c>
    </row>
    <row r="68" spans="1:13" ht="17.25" thickBot="1" x14ac:dyDescent="0.35">
      <c r="A68" s="348" t="s">
        <v>543</v>
      </c>
      <c r="B68" s="349">
        <f>+Table3WS1!F6</f>
        <v>1414.4</v>
      </c>
      <c r="C68" s="350">
        <f>+Table3WS1!G6</f>
        <v>150748.18491940043</v>
      </c>
      <c r="D68" s="351">
        <f>+Table3WS1!F11</f>
        <v>3614.11</v>
      </c>
      <c r="E68" s="350">
        <f>+Table3WS1!G11</f>
        <v>136215.23511735947</v>
      </c>
      <c r="F68" s="351">
        <f>+Table3WS1!F16</f>
        <v>62691.37000000001</v>
      </c>
      <c r="G68" s="352">
        <f>+Table3WS1!G16</f>
        <v>79409.095500864001</v>
      </c>
      <c r="H68" s="351">
        <f>+Table3WS1!F27</f>
        <v>9704.5800000000017</v>
      </c>
      <c r="I68" s="352">
        <f>+Table3WS1!G27</f>
        <v>83545.08409534466</v>
      </c>
      <c r="J68" s="351">
        <f>+Table3WS1!D33</f>
        <v>77704.44</v>
      </c>
      <c r="K68" s="352">
        <f>+Table3WS1!E33</f>
        <v>83879</v>
      </c>
      <c r="L68" s="351">
        <f>+Table3WS1!D48</f>
        <v>40987.360000000001</v>
      </c>
      <c r="M68" s="352">
        <f>+Table3WS1!E48</f>
        <v>56377</v>
      </c>
    </row>
    <row r="69" spans="1:13" ht="17.25" thickTop="1" x14ac:dyDescent="0.3"/>
    <row r="70" spans="1:13" x14ac:dyDescent="0.3">
      <c r="A70" s="333" t="s">
        <v>259</v>
      </c>
      <c r="B70" s="355"/>
      <c r="C70" s="356"/>
      <c r="E70" s="357"/>
      <c r="G70" s="357"/>
      <c r="I70" s="357"/>
      <c r="K70" s="357"/>
      <c r="M70" s="357"/>
    </row>
    <row r="71" spans="1:13" x14ac:dyDescent="0.3">
      <c r="A71" s="333" t="s">
        <v>260</v>
      </c>
    </row>
  </sheetData>
  <mergeCells count="14">
    <mergeCell ref="A1:M1"/>
    <mergeCell ref="A2:M2"/>
    <mergeCell ref="B3:K3"/>
    <mergeCell ref="L3:M3"/>
    <mergeCell ref="B4:E4"/>
    <mergeCell ref="J4:K4"/>
    <mergeCell ref="L4:M4"/>
    <mergeCell ref="F4:I4"/>
    <mergeCell ref="L5:M5"/>
    <mergeCell ref="B5:C5"/>
    <mergeCell ref="D5:E5"/>
    <mergeCell ref="F5:G5"/>
    <mergeCell ref="H5:I5"/>
    <mergeCell ref="J5:K5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107"/>
  <sheetViews>
    <sheetView zoomScale="75" workbookViewId="0">
      <selection activeCell="A3" sqref="A3"/>
    </sheetView>
  </sheetViews>
  <sheetFormatPr defaultRowHeight="16.5" x14ac:dyDescent="0.3"/>
  <cols>
    <col min="1" max="1" width="28.28515625" style="244" customWidth="1"/>
    <col min="2" max="3" width="9.42578125" style="244" hidden="1" customWidth="1"/>
    <col min="4" max="19" width="9.85546875" style="244" hidden="1" customWidth="1"/>
    <col min="20" max="24" width="10.7109375" style="244" hidden="1" customWidth="1"/>
    <col min="25" max="27" width="10.7109375" style="328" hidden="1" customWidth="1"/>
    <col min="28" max="29" width="10.7109375" style="435" hidden="1" customWidth="1"/>
    <col min="30" max="30" width="10.140625" style="435" hidden="1" customWidth="1"/>
    <col min="31" max="43" width="11" style="435" customWidth="1"/>
    <col min="44" max="44" width="11" style="436" customWidth="1"/>
    <col min="45" max="16384" width="9.140625" style="244"/>
  </cols>
  <sheetData>
    <row r="1" spans="1:44" s="358" customFormat="1" ht="20.25" x14ac:dyDescent="0.35">
      <c r="A1" s="863" t="s">
        <v>369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5"/>
    </row>
    <row r="2" spans="1:44" s="358" customFormat="1" ht="20.25" x14ac:dyDescent="0.35">
      <c r="A2" s="863" t="s">
        <v>599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s="440" customFormat="1" ht="18" thickBot="1" x14ac:dyDescent="0.35">
      <c r="A3" s="3" t="s">
        <v>514</v>
      </c>
      <c r="B3" s="437" t="s">
        <v>236</v>
      </c>
      <c r="C3" s="437" t="s">
        <v>237</v>
      </c>
      <c r="D3" s="437" t="s">
        <v>238</v>
      </c>
      <c r="E3" s="437" t="s">
        <v>239</v>
      </c>
      <c r="F3" s="437" t="s">
        <v>240</v>
      </c>
      <c r="G3" s="437" t="s">
        <v>241</v>
      </c>
      <c r="H3" s="437" t="s">
        <v>242</v>
      </c>
      <c r="I3" s="437" t="s">
        <v>243</v>
      </c>
      <c r="J3" s="437" t="s">
        <v>244</v>
      </c>
      <c r="K3" s="437" t="s">
        <v>245</v>
      </c>
      <c r="L3" s="437" t="s">
        <v>246</v>
      </c>
      <c r="M3" s="437" t="s">
        <v>247</v>
      </c>
      <c r="N3" s="437" t="s">
        <v>248</v>
      </c>
      <c r="O3" s="437" t="s">
        <v>249</v>
      </c>
      <c r="P3" s="437" t="s">
        <v>250</v>
      </c>
      <c r="Q3" s="437" t="s">
        <v>251</v>
      </c>
      <c r="R3" s="437" t="s">
        <v>252</v>
      </c>
      <c r="S3" s="437" t="s">
        <v>253</v>
      </c>
      <c r="T3" s="437" t="s">
        <v>254</v>
      </c>
      <c r="U3" s="437" t="s">
        <v>255</v>
      </c>
      <c r="V3" s="437" t="s">
        <v>256</v>
      </c>
      <c r="W3" s="437" t="s">
        <v>257</v>
      </c>
      <c r="X3" s="438" t="s">
        <v>268</v>
      </c>
      <c r="Y3" s="438" t="s">
        <v>278</v>
      </c>
      <c r="Z3" s="438" t="s">
        <v>284</v>
      </c>
      <c r="AA3" s="438" t="s">
        <v>317</v>
      </c>
      <c r="AB3" s="438" t="s">
        <v>322</v>
      </c>
      <c r="AC3" s="438" t="s">
        <v>325</v>
      </c>
      <c r="AD3" s="437" t="s">
        <v>329</v>
      </c>
      <c r="AE3" s="437" t="s">
        <v>339</v>
      </c>
      <c r="AF3" s="437" t="s">
        <v>347</v>
      </c>
      <c r="AG3" s="437" t="s">
        <v>350</v>
      </c>
      <c r="AH3" s="437" t="s">
        <v>362</v>
      </c>
      <c r="AI3" s="437" t="s">
        <v>432</v>
      </c>
      <c r="AJ3" s="437" t="s">
        <v>448</v>
      </c>
      <c r="AK3" s="437" t="s">
        <v>465</v>
      </c>
      <c r="AL3" s="437" t="s">
        <v>478</v>
      </c>
      <c r="AM3" s="437" t="s">
        <v>501</v>
      </c>
      <c r="AN3" s="437" t="s">
        <v>505</v>
      </c>
      <c r="AO3" s="437" t="s">
        <v>510</v>
      </c>
      <c r="AP3" s="437" t="s">
        <v>521</v>
      </c>
      <c r="AQ3" s="437" t="s">
        <v>533</v>
      </c>
      <c r="AR3" s="439" t="s">
        <v>543</v>
      </c>
    </row>
    <row r="4" spans="1:44" s="365" customFormat="1" ht="17.25" x14ac:dyDescent="0.3">
      <c r="A4" s="361" t="s">
        <v>515</v>
      </c>
      <c r="B4" s="362"/>
      <c r="C4" s="362"/>
      <c r="D4" s="362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4"/>
      <c r="Y4" s="364"/>
      <c r="Z4" s="364"/>
      <c r="AA4" s="364"/>
      <c r="AB4" s="364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372" customFormat="1" x14ac:dyDescent="0.3">
      <c r="A5" s="366" t="s">
        <v>20</v>
      </c>
      <c r="B5" s="367">
        <v>41638</v>
      </c>
      <c r="C5" s="367">
        <v>42406</v>
      </c>
      <c r="D5" s="367">
        <v>42719</v>
      </c>
      <c r="E5" s="367">
        <v>41860</v>
      </c>
      <c r="F5" s="367">
        <v>40686</v>
      </c>
      <c r="G5" s="367">
        <v>41634</v>
      </c>
      <c r="H5" s="367">
        <v>42735</v>
      </c>
      <c r="I5" s="367">
        <v>43292</v>
      </c>
      <c r="J5" s="367">
        <v>44321</v>
      </c>
      <c r="K5" s="367">
        <v>45236</v>
      </c>
      <c r="L5" s="367">
        <v>46338</v>
      </c>
      <c r="M5" s="367">
        <v>48111</v>
      </c>
      <c r="N5" s="367">
        <v>49997</v>
      </c>
      <c r="O5" s="368">
        <v>51209</v>
      </c>
      <c r="P5" s="368">
        <v>52955</v>
      </c>
      <c r="Q5" s="368">
        <v>54343</v>
      </c>
      <c r="R5" s="368">
        <v>55563</v>
      </c>
      <c r="S5" s="368">
        <v>56171</v>
      </c>
      <c r="T5" s="368">
        <v>57672.99</v>
      </c>
      <c r="U5" s="368">
        <v>58658.71</v>
      </c>
      <c r="V5" s="368">
        <v>59457.87</v>
      </c>
      <c r="W5" s="368">
        <v>60487.97800000001</v>
      </c>
      <c r="X5" s="369">
        <v>61138.77</v>
      </c>
      <c r="Y5" s="369">
        <v>63204.21</v>
      </c>
      <c r="Z5" s="369">
        <v>63912.25</v>
      </c>
      <c r="AA5" s="369">
        <v>63721.79</v>
      </c>
      <c r="AB5" s="369">
        <v>64273.45</v>
      </c>
      <c r="AC5" s="369">
        <v>64816.5</v>
      </c>
      <c r="AD5" s="370">
        <v>65262.05999999999</v>
      </c>
      <c r="AE5" s="370">
        <v>65702.239999999991</v>
      </c>
      <c r="AF5" s="370">
        <v>66221.179999999993</v>
      </c>
      <c r="AG5" s="370">
        <v>64913.359999999993</v>
      </c>
      <c r="AH5" s="370">
        <v>65241.920000000013</v>
      </c>
      <c r="AI5" s="370">
        <v>64249.53</v>
      </c>
      <c r="AJ5" s="370">
        <v>64995.59</v>
      </c>
      <c r="AK5" s="370">
        <v>66599.7</v>
      </c>
      <c r="AL5" s="370">
        <v>68807.289999999994</v>
      </c>
      <c r="AM5" s="370">
        <v>71122.349999999991</v>
      </c>
      <c r="AN5" s="370">
        <v>73560.310000000012</v>
      </c>
      <c r="AO5" s="370">
        <v>75229.100000000006</v>
      </c>
      <c r="AP5" s="370">
        <v>77350.959999999977</v>
      </c>
      <c r="AQ5" s="370">
        <v>77777.349999999991</v>
      </c>
      <c r="AR5" s="371">
        <f>+Table3WS1!D32</f>
        <v>77704.450000000012</v>
      </c>
    </row>
    <row r="6" spans="1:44" s="360" customFormat="1" x14ac:dyDescent="0.3">
      <c r="A6" s="373" t="s">
        <v>430</v>
      </c>
      <c r="B6" s="374">
        <v>18336</v>
      </c>
      <c r="C6" s="374">
        <v>19877</v>
      </c>
      <c r="D6" s="375">
        <v>22430</v>
      </c>
      <c r="E6" s="375">
        <v>24158</v>
      </c>
      <c r="F6" s="375">
        <v>24681</v>
      </c>
      <c r="G6" s="375">
        <v>25667</v>
      </c>
      <c r="H6" s="375">
        <v>26806</v>
      </c>
      <c r="I6" s="375">
        <v>27562</v>
      </c>
      <c r="J6" s="375">
        <v>28673</v>
      </c>
      <c r="K6" s="375">
        <v>29683</v>
      </c>
      <c r="L6" s="375">
        <v>30756</v>
      </c>
      <c r="M6" s="375">
        <v>32085</v>
      </c>
      <c r="N6" s="375">
        <v>34826</v>
      </c>
      <c r="O6" s="258">
        <v>36665</v>
      </c>
      <c r="P6" s="258">
        <v>37698</v>
      </c>
      <c r="Q6" s="258">
        <v>37777</v>
      </c>
      <c r="R6" s="258">
        <v>38100</v>
      </c>
      <c r="S6" s="258">
        <v>39900</v>
      </c>
      <c r="T6" s="258">
        <v>39867.979573973898</v>
      </c>
      <c r="U6" s="258">
        <v>40913.738914476664</v>
      </c>
      <c r="V6" s="258">
        <v>40900</v>
      </c>
      <c r="W6" s="258">
        <v>43359.299165199503</v>
      </c>
      <c r="X6" s="376">
        <v>44588</v>
      </c>
      <c r="Y6" s="377">
        <v>46053.13974353925</v>
      </c>
      <c r="Z6" s="377">
        <v>47676.611587606443</v>
      </c>
      <c r="AA6" s="377">
        <v>48141.14217664006</v>
      </c>
      <c r="AB6" s="377">
        <v>48481.414094311105</v>
      </c>
      <c r="AC6" s="377">
        <v>49198.121836877952</v>
      </c>
      <c r="AD6" s="378">
        <v>50899.91909909065</v>
      </c>
      <c r="AE6" s="378">
        <v>53103.220246524317</v>
      </c>
      <c r="AF6" s="378">
        <v>55901.93749537535</v>
      </c>
      <c r="AG6" s="378">
        <v>56295.556558619064</v>
      </c>
      <c r="AH6" s="378">
        <v>56226.354120632874</v>
      </c>
      <c r="AI6" s="377">
        <v>55605.202772066979</v>
      </c>
      <c r="AJ6" s="377">
        <v>55653.314721968061</v>
      </c>
      <c r="AK6" s="377">
        <v>56507</v>
      </c>
      <c r="AL6" s="377">
        <v>56306.748124217665</v>
      </c>
      <c r="AM6" s="377">
        <v>57822.167633943493</v>
      </c>
      <c r="AN6" s="377">
        <v>58820.624313845321</v>
      </c>
      <c r="AO6" s="377">
        <v>60388</v>
      </c>
      <c r="AP6" s="377">
        <v>77203.188958999352</v>
      </c>
      <c r="AQ6" s="377">
        <v>81081.834554532921</v>
      </c>
      <c r="AR6" s="379">
        <f>+Table3WS1!E32</f>
        <v>83878.929227476634</v>
      </c>
    </row>
    <row r="7" spans="1:44" s="386" customFormat="1" ht="16.5" hidden="1" customHeight="1" x14ac:dyDescent="0.3">
      <c r="A7" s="380" t="s">
        <v>21</v>
      </c>
      <c r="B7" s="381">
        <v>1.57</v>
      </c>
      <c r="C7" s="381">
        <v>1.5840000000000001</v>
      </c>
      <c r="D7" s="381">
        <v>1.601</v>
      </c>
      <c r="E7" s="381">
        <v>1.629</v>
      </c>
      <c r="F7" s="381">
        <v>1.641</v>
      </c>
      <c r="G7" s="381">
        <v>1.645</v>
      </c>
      <c r="H7" s="381">
        <v>1.65</v>
      </c>
      <c r="I7" s="381">
        <v>1.66</v>
      </c>
      <c r="J7" s="381">
        <v>1.667</v>
      </c>
      <c r="K7" s="381">
        <v>1.6739999999999999</v>
      </c>
      <c r="L7" s="381">
        <v>1.6850000000000001</v>
      </c>
      <c r="M7" s="381">
        <v>1.6879999999999999</v>
      </c>
      <c r="N7" s="381">
        <v>1.6970000000000001</v>
      </c>
      <c r="O7" s="382" t="s">
        <v>431</v>
      </c>
      <c r="P7" s="382" t="s">
        <v>431</v>
      </c>
      <c r="Q7" s="382" t="s">
        <v>431</v>
      </c>
      <c r="R7" s="382" t="s">
        <v>431</v>
      </c>
      <c r="S7" s="382" t="s">
        <v>431</v>
      </c>
      <c r="T7" s="382" t="s">
        <v>431</v>
      </c>
      <c r="U7" s="382" t="s">
        <v>431</v>
      </c>
      <c r="V7" s="382" t="s">
        <v>431</v>
      </c>
      <c r="W7" s="382" t="s">
        <v>431</v>
      </c>
      <c r="X7" s="382" t="s">
        <v>431</v>
      </c>
      <c r="Y7" s="382" t="s">
        <v>431</v>
      </c>
      <c r="Z7" s="382" t="s">
        <v>431</v>
      </c>
      <c r="AA7" s="382" t="s">
        <v>431</v>
      </c>
      <c r="AB7" s="382" t="s">
        <v>431</v>
      </c>
      <c r="AC7" s="382" t="s">
        <v>431</v>
      </c>
      <c r="AD7" s="383" t="s">
        <v>431</v>
      </c>
      <c r="AE7" s="383" t="s">
        <v>431</v>
      </c>
      <c r="AF7" s="383" t="s">
        <v>431</v>
      </c>
      <c r="AG7" s="383" t="s">
        <v>431</v>
      </c>
      <c r="AH7" s="383" t="s">
        <v>431</v>
      </c>
      <c r="AI7" s="384" t="s">
        <v>431</v>
      </c>
      <c r="AJ7" s="384" t="s">
        <v>431</v>
      </c>
      <c r="AK7" s="384" t="s">
        <v>431</v>
      </c>
      <c r="AL7" s="384" t="s">
        <v>431</v>
      </c>
      <c r="AM7" s="384" t="s">
        <v>431</v>
      </c>
      <c r="AN7" s="384" t="s">
        <v>431</v>
      </c>
      <c r="AO7" s="384" t="s">
        <v>431</v>
      </c>
      <c r="AP7" s="384" t="s">
        <v>431</v>
      </c>
      <c r="AQ7" s="384" t="s">
        <v>431</v>
      </c>
      <c r="AR7" s="385" t="s">
        <v>431</v>
      </c>
    </row>
    <row r="8" spans="1:44" s="360" customFormat="1" ht="16.5" hidden="1" customHeight="1" x14ac:dyDescent="0.3">
      <c r="A8" s="373" t="s">
        <v>23</v>
      </c>
      <c r="B8" s="359" t="s">
        <v>431</v>
      </c>
      <c r="C8" s="359" t="s">
        <v>431</v>
      </c>
      <c r="D8" s="387" t="s">
        <v>431</v>
      </c>
      <c r="E8" s="387" t="s">
        <v>431</v>
      </c>
      <c r="F8" s="387" t="s">
        <v>431</v>
      </c>
      <c r="G8" s="387" t="s">
        <v>431</v>
      </c>
      <c r="H8" s="387" t="s">
        <v>431</v>
      </c>
      <c r="I8" s="387" t="s">
        <v>431</v>
      </c>
      <c r="J8" s="387" t="s">
        <v>431</v>
      </c>
      <c r="K8" s="387" t="s">
        <v>431</v>
      </c>
      <c r="L8" s="387" t="s">
        <v>431</v>
      </c>
      <c r="M8" s="387" t="s">
        <v>431</v>
      </c>
      <c r="N8" s="381">
        <v>1.6779999999999999</v>
      </c>
      <c r="O8" s="388">
        <v>1.696</v>
      </c>
      <c r="P8" s="388">
        <v>1.6879999999999999</v>
      </c>
      <c r="Q8" s="388">
        <v>1.6950000000000001</v>
      </c>
      <c r="R8" s="388">
        <v>1.7010000000000001</v>
      </c>
      <c r="S8" s="388">
        <v>1.7130000000000001</v>
      </c>
      <c r="T8" s="388">
        <v>1.711275547950609</v>
      </c>
      <c r="U8" s="388">
        <v>1.710260011812996</v>
      </c>
      <c r="V8" s="388">
        <v>1.7070000000000001</v>
      </c>
      <c r="W8" s="389" t="s">
        <v>431</v>
      </c>
      <c r="X8" s="389" t="s">
        <v>431</v>
      </c>
      <c r="Y8" s="389" t="s">
        <v>431</v>
      </c>
      <c r="Z8" s="389" t="s">
        <v>431</v>
      </c>
      <c r="AA8" s="389" t="s">
        <v>431</v>
      </c>
      <c r="AB8" s="389" t="s">
        <v>431</v>
      </c>
      <c r="AC8" s="389" t="s">
        <v>431</v>
      </c>
      <c r="AD8" s="390" t="s">
        <v>431</v>
      </c>
      <c r="AE8" s="390" t="s">
        <v>431</v>
      </c>
      <c r="AF8" s="390" t="s">
        <v>431</v>
      </c>
      <c r="AG8" s="390" t="s">
        <v>431</v>
      </c>
      <c r="AH8" s="390" t="s">
        <v>431</v>
      </c>
      <c r="AI8" s="391" t="s">
        <v>431</v>
      </c>
      <c r="AJ8" s="391" t="s">
        <v>431</v>
      </c>
      <c r="AK8" s="391" t="s">
        <v>431</v>
      </c>
      <c r="AL8" s="391" t="s">
        <v>431</v>
      </c>
      <c r="AM8" s="391" t="s">
        <v>431</v>
      </c>
      <c r="AN8" s="391" t="s">
        <v>431</v>
      </c>
      <c r="AO8" s="391" t="s">
        <v>431</v>
      </c>
      <c r="AP8" s="391" t="s">
        <v>431</v>
      </c>
      <c r="AQ8" s="391" t="s">
        <v>431</v>
      </c>
      <c r="AR8" s="392" t="s">
        <v>431</v>
      </c>
    </row>
    <row r="9" spans="1:44" s="360" customFormat="1" ht="16.5" hidden="1" customHeight="1" x14ac:dyDescent="0.3">
      <c r="A9" s="373" t="s">
        <v>201</v>
      </c>
      <c r="B9" s="359" t="s">
        <v>431</v>
      </c>
      <c r="C9" s="359" t="s">
        <v>431</v>
      </c>
      <c r="D9" s="387" t="s">
        <v>431</v>
      </c>
      <c r="E9" s="387" t="s">
        <v>431</v>
      </c>
      <c r="F9" s="387" t="s">
        <v>431</v>
      </c>
      <c r="G9" s="387" t="s">
        <v>431</v>
      </c>
      <c r="H9" s="387" t="s">
        <v>431</v>
      </c>
      <c r="I9" s="387" t="s">
        <v>431</v>
      </c>
      <c r="J9" s="387" t="s">
        <v>431</v>
      </c>
      <c r="K9" s="387" t="s">
        <v>431</v>
      </c>
      <c r="L9" s="387" t="s">
        <v>431</v>
      </c>
      <c r="M9" s="387" t="s">
        <v>431</v>
      </c>
      <c r="N9" s="387" t="s">
        <v>431</v>
      </c>
      <c r="O9" s="382" t="s">
        <v>431</v>
      </c>
      <c r="P9" s="382" t="s">
        <v>431</v>
      </c>
      <c r="Q9" s="382" t="s">
        <v>431</v>
      </c>
      <c r="R9" s="382" t="s">
        <v>431</v>
      </c>
      <c r="S9" s="382" t="s">
        <v>431</v>
      </c>
      <c r="T9" s="389" t="s">
        <v>431</v>
      </c>
      <c r="U9" s="389" t="s">
        <v>431</v>
      </c>
      <c r="V9" s="389" t="s">
        <v>431</v>
      </c>
      <c r="W9" s="388">
        <v>1.6162722613385818</v>
      </c>
      <c r="X9" s="393">
        <v>1.61154</v>
      </c>
      <c r="Y9" s="393">
        <v>1.6038183393542929</v>
      </c>
      <c r="Z9" s="393">
        <v>1.6102191345274188</v>
      </c>
      <c r="AA9" s="394" t="s">
        <v>431</v>
      </c>
      <c r="AB9" s="394" t="s">
        <v>431</v>
      </c>
      <c r="AC9" s="394" t="s">
        <v>431</v>
      </c>
      <c r="AD9" s="395" t="s">
        <v>431</v>
      </c>
      <c r="AE9" s="395" t="s">
        <v>431</v>
      </c>
      <c r="AF9" s="395" t="s">
        <v>431</v>
      </c>
      <c r="AG9" s="395" t="s">
        <v>431</v>
      </c>
      <c r="AH9" s="395" t="s">
        <v>431</v>
      </c>
      <c r="AI9" s="396" t="s">
        <v>431</v>
      </c>
      <c r="AJ9" s="396" t="s">
        <v>431</v>
      </c>
      <c r="AK9" s="396" t="s">
        <v>431</v>
      </c>
      <c r="AL9" s="396" t="s">
        <v>431</v>
      </c>
      <c r="AM9" s="396" t="s">
        <v>431</v>
      </c>
      <c r="AN9" s="396" t="s">
        <v>431</v>
      </c>
      <c r="AO9" s="396" t="s">
        <v>431</v>
      </c>
      <c r="AP9" s="396" t="s">
        <v>431</v>
      </c>
      <c r="AQ9" s="396" t="s">
        <v>431</v>
      </c>
      <c r="AR9" s="397" t="s">
        <v>431</v>
      </c>
    </row>
    <row r="10" spans="1:44" s="360" customFormat="1" ht="16.5" hidden="1" customHeight="1" x14ac:dyDescent="0.3">
      <c r="A10" s="373" t="s">
        <v>319</v>
      </c>
      <c r="B10" s="359" t="s">
        <v>431</v>
      </c>
      <c r="C10" s="359" t="s">
        <v>431</v>
      </c>
      <c r="D10" s="387" t="s">
        <v>431</v>
      </c>
      <c r="E10" s="387" t="s">
        <v>431</v>
      </c>
      <c r="F10" s="387" t="s">
        <v>431</v>
      </c>
      <c r="G10" s="387" t="s">
        <v>431</v>
      </c>
      <c r="H10" s="387" t="s">
        <v>431</v>
      </c>
      <c r="I10" s="387" t="s">
        <v>431</v>
      </c>
      <c r="J10" s="387" t="s">
        <v>431</v>
      </c>
      <c r="K10" s="387" t="s">
        <v>431</v>
      </c>
      <c r="L10" s="387" t="s">
        <v>431</v>
      </c>
      <c r="M10" s="387" t="s">
        <v>431</v>
      </c>
      <c r="N10" s="387" t="s">
        <v>431</v>
      </c>
      <c r="O10" s="382" t="s">
        <v>431</v>
      </c>
      <c r="P10" s="382" t="s">
        <v>431</v>
      </c>
      <c r="Q10" s="382" t="s">
        <v>431</v>
      </c>
      <c r="R10" s="382" t="s">
        <v>431</v>
      </c>
      <c r="S10" s="382" t="s">
        <v>431</v>
      </c>
      <c r="T10" s="389" t="s">
        <v>431</v>
      </c>
      <c r="U10" s="389" t="s">
        <v>431</v>
      </c>
      <c r="V10" s="389" t="s">
        <v>431</v>
      </c>
      <c r="W10" s="398" t="s">
        <v>431</v>
      </c>
      <c r="X10" s="394" t="s">
        <v>431</v>
      </c>
      <c r="Y10" s="394" t="s">
        <v>431</v>
      </c>
      <c r="Z10" s="394" t="s">
        <v>431</v>
      </c>
      <c r="AA10" s="393">
        <v>1.5772039155868032</v>
      </c>
      <c r="AB10" s="394" t="s">
        <v>431</v>
      </c>
      <c r="AC10" s="394" t="s">
        <v>431</v>
      </c>
      <c r="AD10" s="395" t="s">
        <v>431</v>
      </c>
      <c r="AE10" s="395" t="s">
        <v>431</v>
      </c>
      <c r="AF10" s="395" t="s">
        <v>431</v>
      </c>
      <c r="AG10" s="395" t="s">
        <v>431</v>
      </c>
      <c r="AH10" s="395" t="s">
        <v>431</v>
      </c>
      <c r="AI10" s="396" t="s">
        <v>431</v>
      </c>
      <c r="AJ10" s="396" t="s">
        <v>431</v>
      </c>
      <c r="AK10" s="396" t="s">
        <v>431</v>
      </c>
      <c r="AL10" s="396" t="s">
        <v>431</v>
      </c>
      <c r="AM10" s="396" t="s">
        <v>431</v>
      </c>
      <c r="AN10" s="396" t="s">
        <v>431</v>
      </c>
      <c r="AO10" s="396" t="s">
        <v>431</v>
      </c>
      <c r="AP10" s="396" t="s">
        <v>431</v>
      </c>
      <c r="AQ10" s="396" t="s">
        <v>431</v>
      </c>
      <c r="AR10" s="397" t="s">
        <v>431</v>
      </c>
    </row>
    <row r="11" spans="1:44" s="360" customFormat="1" x14ac:dyDescent="0.3">
      <c r="A11" s="373" t="s">
        <v>551</v>
      </c>
      <c r="B11" s="359" t="s">
        <v>431</v>
      </c>
      <c r="C11" s="359" t="s">
        <v>431</v>
      </c>
      <c r="D11" s="387" t="s">
        <v>431</v>
      </c>
      <c r="E11" s="387" t="s">
        <v>431</v>
      </c>
      <c r="F11" s="387" t="s">
        <v>431</v>
      </c>
      <c r="G11" s="387" t="s">
        <v>431</v>
      </c>
      <c r="H11" s="387" t="s">
        <v>431</v>
      </c>
      <c r="I11" s="387" t="s">
        <v>431</v>
      </c>
      <c r="J11" s="387" t="s">
        <v>431</v>
      </c>
      <c r="K11" s="387" t="s">
        <v>431</v>
      </c>
      <c r="L11" s="387" t="s">
        <v>431</v>
      </c>
      <c r="M11" s="387" t="s">
        <v>431</v>
      </c>
      <c r="N11" s="387" t="s">
        <v>431</v>
      </c>
      <c r="O11" s="382" t="s">
        <v>431</v>
      </c>
      <c r="P11" s="382" t="s">
        <v>431</v>
      </c>
      <c r="Q11" s="382" t="s">
        <v>431</v>
      </c>
      <c r="R11" s="382" t="s">
        <v>431</v>
      </c>
      <c r="S11" s="382" t="s">
        <v>431</v>
      </c>
      <c r="T11" s="389" t="s">
        <v>431</v>
      </c>
      <c r="U11" s="389" t="s">
        <v>431</v>
      </c>
      <c r="V11" s="389" t="s">
        <v>431</v>
      </c>
      <c r="W11" s="398" t="s">
        <v>431</v>
      </c>
      <c r="X11" s="394" t="s">
        <v>431</v>
      </c>
      <c r="Y11" s="394" t="s">
        <v>431</v>
      </c>
      <c r="Z11" s="394" t="s">
        <v>431</v>
      </c>
      <c r="AA11" s="394" t="s">
        <v>431</v>
      </c>
      <c r="AB11" s="393">
        <v>1.5396220606969127</v>
      </c>
      <c r="AC11" s="393">
        <v>1.5409068781714532</v>
      </c>
      <c r="AD11" s="399">
        <v>1.5411358481283008</v>
      </c>
      <c r="AE11" s="399">
        <v>1.5413837728531024</v>
      </c>
      <c r="AF11" s="399">
        <v>1.5476977135940497</v>
      </c>
      <c r="AG11" s="399">
        <v>1.5662151175181811</v>
      </c>
      <c r="AH11" s="399">
        <v>1.5712688752829465</v>
      </c>
      <c r="AI11" s="400">
        <v>1.5794065737710454</v>
      </c>
      <c r="AJ11" s="400">
        <v>1.5789737058991231</v>
      </c>
      <c r="AK11" s="400">
        <v>1.571</v>
      </c>
      <c r="AL11" s="400">
        <v>1.5598429769287527</v>
      </c>
      <c r="AM11" s="400">
        <v>1.5501078603195761</v>
      </c>
      <c r="AN11" s="400">
        <v>1.5437788325484212</v>
      </c>
      <c r="AO11" s="400">
        <v>1.5409999999999999</v>
      </c>
      <c r="AP11" s="556" t="s">
        <v>549</v>
      </c>
      <c r="AQ11" s="556" t="s">
        <v>549</v>
      </c>
      <c r="AR11" s="557" t="s">
        <v>549</v>
      </c>
    </row>
    <row r="12" spans="1:44" s="360" customFormat="1" ht="17.25" thickBot="1" x14ac:dyDescent="0.35">
      <c r="A12" s="401" t="s">
        <v>24</v>
      </c>
      <c r="B12" s="402">
        <v>11678</v>
      </c>
      <c r="C12" s="402">
        <v>12550</v>
      </c>
      <c r="D12" s="403">
        <v>14009</v>
      </c>
      <c r="E12" s="403">
        <v>14831</v>
      </c>
      <c r="F12" s="403">
        <v>15037</v>
      </c>
      <c r="G12" s="403">
        <v>15604</v>
      </c>
      <c r="H12" s="403">
        <v>16247</v>
      </c>
      <c r="I12" s="403">
        <v>16599</v>
      </c>
      <c r="J12" s="403">
        <v>17203</v>
      </c>
      <c r="K12" s="403">
        <v>17730</v>
      </c>
      <c r="L12" s="403">
        <v>18255</v>
      </c>
      <c r="M12" s="403">
        <v>19027</v>
      </c>
      <c r="N12" s="403">
        <v>19565</v>
      </c>
      <c r="O12" s="404">
        <v>21618</v>
      </c>
      <c r="P12" s="404">
        <v>22329</v>
      </c>
      <c r="Q12" s="404">
        <v>22292</v>
      </c>
      <c r="R12" s="404">
        <v>22395</v>
      </c>
      <c r="S12" s="404">
        <v>23295</v>
      </c>
      <c r="T12" s="404">
        <v>23297.229731190298</v>
      </c>
      <c r="U12" s="404">
        <v>23922.525599546247</v>
      </c>
      <c r="V12" s="404">
        <v>23955</v>
      </c>
      <c r="W12" s="377">
        <f>+W6/W9</f>
        <v>26826.729754855616</v>
      </c>
      <c r="X12" s="377">
        <f>+X6/X9</f>
        <v>27667.944947069263</v>
      </c>
      <c r="Y12" s="405">
        <f>+Y6/Y9</f>
        <v>28714.685830366878</v>
      </c>
      <c r="Z12" s="405">
        <f>+Z6/Z9</f>
        <v>29608.772225650511</v>
      </c>
      <c r="AA12" s="405">
        <f>+AA6/AA10</f>
        <v>30523.09324170617</v>
      </c>
      <c r="AB12" s="405">
        <f t="shared" ref="AB12:AH12" si="0">+AB6/AB11</f>
        <v>31489.165641317133</v>
      </c>
      <c r="AC12" s="405">
        <f t="shared" si="0"/>
        <v>31928.030521390006</v>
      </c>
      <c r="AD12" s="405">
        <f t="shared" si="0"/>
        <v>33027.535606876096</v>
      </c>
      <c r="AE12" s="405">
        <f t="shared" si="0"/>
        <v>34451.653885151667</v>
      </c>
      <c r="AF12" s="405">
        <f t="shared" si="0"/>
        <v>36119.4159585339</v>
      </c>
      <c r="AG12" s="405">
        <f t="shared" si="0"/>
        <v>35943.693767829798</v>
      </c>
      <c r="AH12" s="405">
        <f t="shared" si="0"/>
        <v>35784.043714674808</v>
      </c>
      <c r="AI12" s="405">
        <f>+AI6/AI11</f>
        <v>35206.389346159354</v>
      </c>
      <c r="AJ12" s="405">
        <f>+AJ6/AJ11</f>
        <v>35246.51139790647</v>
      </c>
      <c r="AK12" s="405">
        <v>35972</v>
      </c>
      <c r="AL12" s="405">
        <v>36097.702754082748</v>
      </c>
      <c r="AM12" s="405">
        <v>37302.028532403325</v>
      </c>
      <c r="AN12" s="405">
        <v>38101.717081290779</v>
      </c>
      <c r="AO12" s="405">
        <v>39179</v>
      </c>
      <c r="AP12" s="558" t="s">
        <v>549</v>
      </c>
      <c r="AQ12" s="558" t="s">
        <v>549</v>
      </c>
      <c r="AR12" s="559" t="s">
        <v>549</v>
      </c>
    </row>
    <row r="13" spans="1:44" s="365" customFormat="1" ht="17.25" x14ac:dyDescent="0.3">
      <c r="A13" s="361" t="s">
        <v>516</v>
      </c>
      <c r="B13" s="362"/>
      <c r="C13" s="362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4"/>
      <c r="Y13" s="406"/>
      <c r="Z13" s="406"/>
      <c r="AA13" s="406"/>
      <c r="AB13" s="406"/>
      <c r="AC13" s="789"/>
      <c r="AD13" s="789"/>
      <c r="AE13" s="789"/>
      <c r="AF13" s="789"/>
      <c r="AG13" s="789"/>
      <c r="AH13" s="789"/>
      <c r="AI13" s="789"/>
      <c r="AJ13" s="789"/>
      <c r="AK13" s="789"/>
      <c r="AL13" s="789"/>
      <c r="AM13" s="789"/>
      <c r="AN13" s="789"/>
      <c r="AO13" s="789"/>
      <c r="AP13" s="789"/>
      <c r="AQ13" s="789"/>
      <c r="AR13" s="790"/>
    </row>
    <row r="14" spans="1:44" s="372" customFormat="1" x14ac:dyDescent="0.3">
      <c r="A14" s="366" t="s">
        <v>20</v>
      </c>
      <c r="B14" s="367">
        <v>3344</v>
      </c>
      <c r="C14" s="367">
        <v>3388</v>
      </c>
      <c r="D14" s="367">
        <v>3441</v>
      </c>
      <c r="E14" s="367">
        <v>3250</v>
      </c>
      <c r="F14" s="367">
        <v>3099</v>
      </c>
      <c r="G14" s="367">
        <v>3133</v>
      </c>
      <c r="H14" s="367">
        <v>3270</v>
      </c>
      <c r="I14" s="367">
        <v>3248</v>
      </c>
      <c r="J14" s="367">
        <v>3194</v>
      </c>
      <c r="K14" s="367">
        <v>3220</v>
      </c>
      <c r="L14" s="367">
        <v>3288</v>
      </c>
      <c r="M14" s="367">
        <v>3298</v>
      </c>
      <c r="N14" s="367">
        <v>3390</v>
      </c>
      <c r="O14" s="368">
        <v>3375</v>
      </c>
      <c r="P14" s="368">
        <v>3444</v>
      </c>
      <c r="Q14" s="368">
        <v>3443</v>
      </c>
      <c r="R14" s="368">
        <v>3495</v>
      </c>
      <c r="S14" s="368">
        <v>3500</v>
      </c>
      <c r="T14" s="368">
        <v>3578.98</v>
      </c>
      <c r="U14" s="368">
        <v>3647.4950000000008</v>
      </c>
      <c r="V14" s="368">
        <v>3680.78</v>
      </c>
      <c r="W14" s="368">
        <v>3733.944</v>
      </c>
      <c r="X14" s="369">
        <v>3761.7</v>
      </c>
      <c r="Y14" s="369">
        <v>3855.9</v>
      </c>
      <c r="Z14" s="369">
        <v>3910.3</v>
      </c>
      <c r="AA14" s="369">
        <v>3897.6</v>
      </c>
      <c r="AB14" s="369">
        <v>3925.4</v>
      </c>
      <c r="AC14" s="369">
        <v>3998.63</v>
      </c>
      <c r="AD14" s="370">
        <v>3975.19</v>
      </c>
      <c r="AE14" s="370">
        <v>4036.8999999999996</v>
      </c>
      <c r="AF14" s="370">
        <v>4035.3899999999994</v>
      </c>
      <c r="AG14" s="370">
        <v>3898.9800000000005</v>
      </c>
      <c r="AH14" s="370">
        <v>3902.34</v>
      </c>
      <c r="AI14" s="407">
        <v>3884.31</v>
      </c>
      <c r="AJ14" s="407">
        <v>3970.5800000000004</v>
      </c>
      <c r="AK14" s="407">
        <v>4100.3</v>
      </c>
      <c r="AL14" s="407">
        <v>4326.7700000000004</v>
      </c>
      <c r="AM14" s="407">
        <v>4554.13</v>
      </c>
      <c r="AN14" s="407">
        <v>4798.74</v>
      </c>
      <c r="AO14" s="407">
        <v>4915.3</v>
      </c>
      <c r="AP14" s="407">
        <v>5030.87</v>
      </c>
      <c r="AQ14" s="407">
        <v>4972.07</v>
      </c>
      <c r="AR14" s="408">
        <f>+Table3WS1!J9</f>
        <v>5028.51</v>
      </c>
    </row>
    <row r="15" spans="1:44" s="360" customFormat="1" x14ac:dyDescent="0.3">
      <c r="A15" s="373" t="s">
        <v>430</v>
      </c>
      <c r="B15" s="374">
        <v>27641</v>
      </c>
      <c r="C15" s="374">
        <v>30023</v>
      </c>
      <c r="D15" s="375">
        <v>33575</v>
      </c>
      <c r="E15" s="375">
        <v>36137</v>
      </c>
      <c r="F15" s="375">
        <v>36792</v>
      </c>
      <c r="G15" s="375">
        <v>38609</v>
      </c>
      <c r="H15" s="375">
        <v>40133</v>
      </c>
      <c r="I15" s="375">
        <v>41684</v>
      </c>
      <c r="J15" s="375">
        <v>43785</v>
      </c>
      <c r="K15" s="375">
        <v>46120</v>
      </c>
      <c r="L15" s="375">
        <v>48377</v>
      </c>
      <c r="M15" s="375">
        <v>51216</v>
      </c>
      <c r="N15" s="375">
        <v>55196</v>
      </c>
      <c r="O15" s="258">
        <v>58753</v>
      </c>
      <c r="P15" s="258">
        <v>61205</v>
      </c>
      <c r="Q15" s="258">
        <v>61542</v>
      </c>
      <c r="R15" s="258">
        <v>62267</v>
      </c>
      <c r="S15" s="258">
        <v>65704.53</v>
      </c>
      <c r="T15" s="258">
        <v>66294.497465758381</v>
      </c>
      <c r="U15" s="258">
        <v>68626.044723844709</v>
      </c>
      <c r="V15" s="258">
        <v>69381</v>
      </c>
      <c r="W15" s="258">
        <v>72992.566037412442</v>
      </c>
      <c r="X15" s="376">
        <v>76072</v>
      </c>
      <c r="Y15" s="377">
        <v>79450.462968437976</v>
      </c>
      <c r="Z15" s="377">
        <v>82686.994151343868</v>
      </c>
      <c r="AA15" s="377">
        <v>83429.509834256984</v>
      </c>
      <c r="AB15" s="377">
        <v>84537.900988434296</v>
      </c>
      <c r="AC15" s="377">
        <v>86696.825550250971</v>
      </c>
      <c r="AD15" s="378">
        <v>90941.847395973513</v>
      </c>
      <c r="AE15" s="378">
        <v>95179.872501176651</v>
      </c>
      <c r="AF15" s="378">
        <v>99810.521842994131</v>
      </c>
      <c r="AG15" s="378">
        <v>101261.63536360791</v>
      </c>
      <c r="AH15" s="378">
        <v>101958.85756494821</v>
      </c>
      <c r="AI15" s="377">
        <v>102310.4679209435</v>
      </c>
      <c r="AJ15" s="377">
        <v>102824.14293377794</v>
      </c>
      <c r="AK15" s="377">
        <v>105156</v>
      </c>
      <c r="AL15" s="377">
        <v>107313.61749757901</v>
      </c>
      <c r="AM15" s="377">
        <v>112024.80314132446</v>
      </c>
      <c r="AN15" s="377">
        <v>115461.78462679787</v>
      </c>
      <c r="AO15" s="377">
        <v>121369</v>
      </c>
      <c r="AP15" s="377">
        <v>127070.18560606813</v>
      </c>
      <c r="AQ15" s="377">
        <v>135384.02465572691</v>
      </c>
      <c r="AR15" s="379">
        <f>+Table3WS1!J10</f>
        <v>140303.00747935273</v>
      </c>
    </row>
    <row r="16" spans="1:44" s="386" customFormat="1" ht="16.5" hidden="1" customHeight="1" x14ac:dyDescent="0.3">
      <c r="A16" s="380" t="s">
        <v>21</v>
      </c>
      <c r="B16" s="381">
        <v>1.8720000000000001</v>
      </c>
      <c r="C16" s="381">
        <v>1.89</v>
      </c>
      <c r="D16" s="381">
        <v>1.897</v>
      </c>
      <c r="E16" s="381">
        <v>1.9219999999999999</v>
      </c>
      <c r="F16" s="381">
        <v>1.9319999999999999</v>
      </c>
      <c r="G16" s="381">
        <v>1.9390000000000001</v>
      </c>
      <c r="H16" s="381">
        <v>1.9379999999999999</v>
      </c>
      <c r="I16" s="381">
        <v>1.95</v>
      </c>
      <c r="J16" s="381">
        <v>1.96</v>
      </c>
      <c r="K16" s="381">
        <v>1.9630000000000001</v>
      </c>
      <c r="L16" s="381">
        <v>1.9610000000000001</v>
      </c>
      <c r="M16" s="381">
        <v>1.9670000000000001</v>
      </c>
      <c r="N16" s="381">
        <v>1.97</v>
      </c>
      <c r="O16" s="382" t="s">
        <v>431</v>
      </c>
      <c r="P16" s="382" t="s">
        <v>431</v>
      </c>
      <c r="Q16" s="382" t="s">
        <v>431</v>
      </c>
      <c r="R16" s="382" t="s">
        <v>431</v>
      </c>
      <c r="S16" s="382" t="s">
        <v>431</v>
      </c>
      <c r="T16" s="382" t="s">
        <v>431</v>
      </c>
      <c r="U16" s="382" t="s">
        <v>431</v>
      </c>
      <c r="V16" s="382" t="s">
        <v>431</v>
      </c>
      <c r="W16" s="382" t="s">
        <v>431</v>
      </c>
      <c r="X16" s="382" t="s">
        <v>431</v>
      </c>
      <c r="Y16" s="382" t="s">
        <v>431</v>
      </c>
      <c r="Z16" s="382" t="s">
        <v>431</v>
      </c>
      <c r="AA16" s="382" t="s">
        <v>431</v>
      </c>
      <c r="AB16" s="382" t="s">
        <v>431</v>
      </c>
      <c r="AC16" s="382" t="s">
        <v>431</v>
      </c>
      <c r="AD16" s="383" t="s">
        <v>431</v>
      </c>
      <c r="AE16" s="383" t="s">
        <v>431</v>
      </c>
      <c r="AF16" s="383" t="s">
        <v>431</v>
      </c>
      <c r="AG16" s="383" t="s">
        <v>431</v>
      </c>
      <c r="AH16" s="383" t="s">
        <v>431</v>
      </c>
      <c r="AI16" s="384" t="s">
        <v>431</v>
      </c>
      <c r="AJ16" s="384" t="s">
        <v>431</v>
      </c>
      <c r="AK16" s="384" t="s">
        <v>431</v>
      </c>
      <c r="AL16" s="384" t="s">
        <v>431</v>
      </c>
      <c r="AM16" s="384" t="s">
        <v>431</v>
      </c>
      <c r="AN16" s="384" t="s">
        <v>431</v>
      </c>
      <c r="AO16" s="384" t="s">
        <v>431</v>
      </c>
      <c r="AP16" s="384" t="s">
        <v>431</v>
      </c>
      <c r="AQ16" s="384" t="s">
        <v>431</v>
      </c>
      <c r="AR16" s="385" t="s">
        <v>431</v>
      </c>
    </row>
    <row r="17" spans="1:44" s="411" customFormat="1" ht="16.5" hidden="1" customHeight="1" x14ac:dyDescent="0.3">
      <c r="A17" s="409" t="s">
        <v>23</v>
      </c>
      <c r="B17" s="410" t="s">
        <v>431</v>
      </c>
      <c r="C17" s="410" t="s">
        <v>431</v>
      </c>
      <c r="D17" s="410" t="s">
        <v>431</v>
      </c>
      <c r="E17" s="410" t="s">
        <v>431</v>
      </c>
      <c r="F17" s="410" t="s">
        <v>431</v>
      </c>
      <c r="G17" s="410" t="s">
        <v>431</v>
      </c>
      <c r="H17" s="410" t="s">
        <v>431</v>
      </c>
      <c r="I17" s="410" t="s">
        <v>431</v>
      </c>
      <c r="J17" s="410" t="s">
        <v>431</v>
      </c>
      <c r="K17" s="410" t="s">
        <v>431</v>
      </c>
      <c r="L17" s="410" t="s">
        <v>431</v>
      </c>
      <c r="M17" s="410" t="s">
        <v>431</v>
      </c>
      <c r="N17" s="410">
        <v>1.94</v>
      </c>
      <c r="O17" s="388">
        <v>1.948</v>
      </c>
      <c r="P17" s="388">
        <v>1.95</v>
      </c>
      <c r="Q17" s="388">
        <v>1.9530000000000001</v>
      </c>
      <c r="R17" s="388">
        <v>1.956</v>
      </c>
      <c r="S17" s="388">
        <v>1.958</v>
      </c>
      <c r="T17" s="388">
        <v>1.958007140498131</v>
      </c>
      <c r="U17" s="388">
        <v>1.9508558722493079</v>
      </c>
      <c r="V17" s="388">
        <v>1.95</v>
      </c>
      <c r="W17" s="398" t="s">
        <v>431</v>
      </c>
      <c r="X17" s="398" t="s">
        <v>431</v>
      </c>
      <c r="Y17" s="394" t="s">
        <v>431</v>
      </c>
      <c r="Z17" s="394" t="s">
        <v>431</v>
      </c>
      <c r="AA17" s="394" t="s">
        <v>431</v>
      </c>
      <c r="AB17" s="394" t="s">
        <v>431</v>
      </c>
      <c r="AC17" s="394" t="s">
        <v>431</v>
      </c>
      <c r="AD17" s="395" t="s">
        <v>431</v>
      </c>
      <c r="AE17" s="395" t="s">
        <v>431</v>
      </c>
      <c r="AF17" s="395" t="s">
        <v>431</v>
      </c>
      <c r="AG17" s="395" t="s">
        <v>431</v>
      </c>
      <c r="AH17" s="395" t="s">
        <v>431</v>
      </c>
      <c r="AI17" s="396" t="s">
        <v>431</v>
      </c>
      <c r="AJ17" s="396" t="s">
        <v>431</v>
      </c>
      <c r="AK17" s="396" t="s">
        <v>431</v>
      </c>
      <c r="AL17" s="396" t="s">
        <v>431</v>
      </c>
      <c r="AM17" s="396" t="s">
        <v>431</v>
      </c>
      <c r="AN17" s="396" t="s">
        <v>431</v>
      </c>
      <c r="AO17" s="396" t="s">
        <v>431</v>
      </c>
      <c r="AP17" s="396" t="s">
        <v>431</v>
      </c>
      <c r="AQ17" s="396" t="s">
        <v>431</v>
      </c>
      <c r="AR17" s="397" t="s">
        <v>431</v>
      </c>
    </row>
    <row r="18" spans="1:44" s="411" customFormat="1" ht="16.5" hidden="1" customHeight="1" x14ac:dyDescent="0.3">
      <c r="A18" s="409" t="s">
        <v>201</v>
      </c>
      <c r="B18" s="410" t="s">
        <v>431</v>
      </c>
      <c r="C18" s="410" t="s">
        <v>431</v>
      </c>
      <c r="D18" s="410" t="s">
        <v>431</v>
      </c>
      <c r="E18" s="410" t="s">
        <v>431</v>
      </c>
      <c r="F18" s="410" t="s">
        <v>431</v>
      </c>
      <c r="G18" s="410" t="s">
        <v>431</v>
      </c>
      <c r="H18" s="410" t="s">
        <v>431</v>
      </c>
      <c r="I18" s="410" t="s">
        <v>431</v>
      </c>
      <c r="J18" s="410" t="s">
        <v>431</v>
      </c>
      <c r="K18" s="410" t="s">
        <v>431</v>
      </c>
      <c r="L18" s="410" t="s">
        <v>431</v>
      </c>
      <c r="M18" s="410" t="s">
        <v>431</v>
      </c>
      <c r="N18" s="410" t="s">
        <v>431</v>
      </c>
      <c r="O18" s="388" t="s">
        <v>431</v>
      </c>
      <c r="P18" s="388" t="s">
        <v>431</v>
      </c>
      <c r="Q18" s="388" t="s">
        <v>431</v>
      </c>
      <c r="R18" s="388" t="s">
        <v>431</v>
      </c>
      <c r="S18" s="388" t="s">
        <v>431</v>
      </c>
      <c r="T18" s="398" t="s">
        <v>431</v>
      </c>
      <c r="U18" s="398" t="s">
        <v>431</v>
      </c>
      <c r="V18" s="398" t="s">
        <v>431</v>
      </c>
      <c r="W18" s="388">
        <v>1.8409527701031467</v>
      </c>
      <c r="X18" s="393">
        <v>1.8296699999999999</v>
      </c>
      <c r="Y18" s="393">
        <v>1.813914436214632</v>
      </c>
      <c r="Z18" s="393">
        <v>1.8158810252921769</v>
      </c>
      <c r="AA18" s="394" t="s">
        <v>431</v>
      </c>
      <c r="AB18" s="394" t="s">
        <v>431</v>
      </c>
      <c r="AC18" s="394" t="s">
        <v>431</v>
      </c>
      <c r="AD18" s="395" t="s">
        <v>431</v>
      </c>
      <c r="AE18" s="395" t="s">
        <v>431</v>
      </c>
      <c r="AF18" s="395" t="s">
        <v>431</v>
      </c>
      <c r="AG18" s="395" t="s">
        <v>431</v>
      </c>
      <c r="AH18" s="395" t="s">
        <v>431</v>
      </c>
      <c r="AI18" s="396" t="s">
        <v>431</v>
      </c>
      <c r="AJ18" s="396" t="s">
        <v>431</v>
      </c>
      <c r="AK18" s="396" t="s">
        <v>431</v>
      </c>
      <c r="AL18" s="396" t="s">
        <v>431</v>
      </c>
      <c r="AM18" s="396" t="s">
        <v>431</v>
      </c>
      <c r="AN18" s="396" t="s">
        <v>431</v>
      </c>
      <c r="AO18" s="396" t="s">
        <v>431</v>
      </c>
      <c r="AP18" s="396" t="s">
        <v>431</v>
      </c>
      <c r="AQ18" s="396" t="s">
        <v>431</v>
      </c>
      <c r="AR18" s="397" t="s">
        <v>431</v>
      </c>
    </row>
    <row r="19" spans="1:44" s="411" customFormat="1" ht="16.5" hidden="1" customHeight="1" x14ac:dyDescent="0.3">
      <c r="A19" s="409" t="s">
        <v>319</v>
      </c>
      <c r="B19" s="410" t="s">
        <v>431</v>
      </c>
      <c r="C19" s="410" t="s">
        <v>431</v>
      </c>
      <c r="D19" s="410" t="s">
        <v>431</v>
      </c>
      <c r="E19" s="410" t="s">
        <v>431</v>
      </c>
      <c r="F19" s="410" t="s">
        <v>431</v>
      </c>
      <c r="G19" s="410" t="s">
        <v>431</v>
      </c>
      <c r="H19" s="410" t="s">
        <v>431</v>
      </c>
      <c r="I19" s="410" t="s">
        <v>431</v>
      </c>
      <c r="J19" s="410" t="s">
        <v>431</v>
      </c>
      <c r="K19" s="410" t="s">
        <v>431</v>
      </c>
      <c r="L19" s="410" t="s">
        <v>431</v>
      </c>
      <c r="M19" s="410" t="s">
        <v>431</v>
      </c>
      <c r="N19" s="410" t="s">
        <v>431</v>
      </c>
      <c r="O19" s="388" t="s">
        <v>431</v>
      </c>
      <c r="P19" s="388" t="s">
        <v>431</v>
      </c>
      <c r="Q19" s="388" t="s">
        <v>431</v>
      </c>
      <c r="R19" s="388" t="s">
        <v>431</v>
      </c>
      <c r="S19" s="388" t="s">
        <v>431</v>
      </c>
      <c r="T19" s="398" t="s">
        <v>431</v>
      </c>
      <c r="U19" s="398" t="s">
        <v>431</v>
      </c>
      <c r="V19" s="398" t="s">
        <v>431</v>
      </c>
      <c r="W19" s="398" t="s">
        <v>431</v>
      </c>
      <c r="X19" s="394" t="s">
        <v>431</v>
      </c>
      <c r="Y19" s="394" t="s">
        <v>431</v>
      </c>
      <c r="Z19" s="394" t="s">
        <v>431</v>
      </c>
      <c r="AA19" s="393">
        <v>1.7684239737274219</v>
      </c>
      <c r="AB19" s="394" t="s">
        <v>431</v>
      </c>
      <c r="AC19" s="394" t="s">
        <v>431</v>
      </c>
      <c r="AD19" s="395" t="s">
        <v>431</v>
      </c>
      <c r="AE19" s="395" t="s">
        <v>431</v>
      </c>
      <c r="AF19" s="395" t="s">
        <v>431</v>
      </c>
      <c r="AG19" s="395" t="s">
        <v>431</v>
      </c>
      <c r="AH19" s="395" t="s">
        <v>431</v>
      </c>
      <c r="AI19" s="396" t="s">
        <v>431</v>
      </c>
      <c r="AJ19" s="396" t="s">
        <v>431</v>
      </c>
      <c r="AK19" s="396" t="s">
        <v>431</v>
      </c>
      <c r="AL19" s="396" t="s">
        <v>431</v>
      </c>
      <c r="AM19" s="396" t="s">
        <v>431</v>
      </c>
      <c r="AN19" s="396" t="s">
        <v>431</v>
      </c>
      <c r="AO19" s="396" t="s">
        <v>431</v>
      </c>
      <c r="AP19" s="396" t="s">
        <v>431</v>
      </c>
      <c r="AQ19" s="396" t="s">
        <v>431</v>
      </c>
      <c r="AR19" s="397" t="s">
        <v>431</v>
      </c>
    </row>
    <row r="20" spans="1:44" s="411" customFormat="1" x14ac:dyDescent="0.3">
      <c r="A20" s="409" t="s">
        <v>551</v>
      </c>
      <c r="B20" s="410" t="s">
        <v>431</v>
      </c>
      <c r="C20" s="410" t="s">
        <v>431</v>
      </c>
      <c r="D20" s="410" t="s">
        <v>431</v>
      </c>
      <c r="E20" s="410" t="s">
        <v>431</v>
      </c>
      <c r="F20" s="410" t="s">
        <v>431</v>
      </c>
      <c r="G20" s="410" t="s">
        <v>431</v>
      </c>
      <c r="H20" s="410" t="s">
        <v>431</v>
      </c>
      <c r="I20" s="410" t="s">
        <v>431</v>
      </c>
      <c r="J20" s="410" t="s">
        <v>431</v>
      </c>
      <c r="K20" s="410" t="s">
        <v>431</v>
      </c>
      <c r="L20" s="410" t="s">
        <v>431</v>
      </c>
      <c r="M20" s="410" t="s">
        <v>431</v>
      </c>
      <c r="N20" s="410" t="s">
        <v>431</v>
      </c>
      <c r="O20" s="388" t="s">
        <v>431</v>
      </c>
      <c r="P20" s="388" t="s">
        <v>431</v>
      </c>
      <c r="Q20" s="388" t="s">
        <v>431</v>
      </c>
      <c r="R20" s="388" t="s">
        <v>431</v>
      </c>
      <c r="S20" s="388" t="s">
        <v>431</v>
      </c>
      <c r="T20" s="398" t="s">
        <v>431</v>
      </c>
      <c r="U20" s="398" t="s">
        <v>431</v>
      </c>
      <c r="V20" s="398" t="s">
        <v>431</v>
      </c>
      <c r="W20" s="398" t="s">
        <v>431</v>
      </c>
      <c r="X20" s="394" t="s">
        <v>431</v>
      </c>
      <c r="Y20" s="394" t="s">
        <v>431</v>
      </c>
      <c r="Z20" s="394" t="s">
        <v>431</v>
      </c>
      <c r="AA20" s="394" t="s">
        <v>431</v>
      </c>
      <c r="AB20" s="393">
        <v>1.7100065065471035</v>
      </c>
      <c r="AC20" s="393">
        <v>1.7064807335762497</v>
      </c>
      <c r="AD20" s="399">
        <v>1.6971857182172425</v>
      </c>
      <c r="AE20" s="399">
        <v>1.6939375408853328</v>
      </c>
      <c r="AF20" s="399">
        <v>1.7079276697915196</v>
      </c>
      <c r="AG20" s="399">
        <v>1.7196358624819825</v>
      </c>
      <c r="AH20" s="399">
        <v>1.722121039299497</v>
      </c>
      <c r="AI20" s="400">
        <v>1.7255945011340494</v>
      </c>
      <c r="AJ20" s="400">
        <v>1.7235616428330371</v>
      </c>
      <c r="AK20" s="400">
        <v>1.7150000000000001</v>
      </c>
      <c r="AL20" s="400">
        <v>1.7058337273763104</v>
      </c>
      <c r="AM20" s="400">
        <v>1.6944650986686811</v>
      </c>
      <c r="AN20" s="400">
        <v>1.6880987437952466</v>
      </c>
      <c r="AO20" s="400">
        <v>1.681</v>
      </c>
      <c r="AP20" s="556" t="s">
        <v>549</v>
      </c>
      <c r="AQ20" s="556" t="s">
        <v>549</v>
      </c>
      <c r="AR20" s="557" t="s">
        <v>549</v>
      </c>
    </row>
    <row r="21" spans="1:44" s="413" customFormat="1" ht="17.25" thickBot="1" x14ac:dyDescent="0.35">
      <c r="A21" s="412" t="s">
        <v>24</v>
      </c>
      <c r="B21" s="403">
        <v>14767</v>
      </c>
      <c r="C21" s="403">
        <v>15888</v>
      </c>
      <c r="D21" s="403">
        <v>17698</v>
      </c>
      <c r="E21" s="403">
        <v>18799</v>
      </c>
      <c r="F21" s="403">
        <v>19044</v>
      </c>
      <c r="G21" s="403">
        <v>19912</v>
      </c>
      <c r="H21" s="403">
        <v>20708</v>
      </c>
      <c r="I21" s="403">
        <v>21376</v>
      </c>
      <c r="J21" s="403">
        <v>22339</v>
      </c>
      <c r="K21" s="403">
        <v>23495</v>
      </c>
      <c r="L21" s="403">
        <v>24668</v>
      </c>
      <c r="M21" s="403">
        <v>26034</v>
      </c>
      <c r="N21" s="403">
        <v>26823</v>
      </c>
      <c r="O21" s="404">
        <v>30155</v>
      </c>
      <c r="P21" s="404">
        <v>31392</v>
      </c>
      <c r="Q21" s="404">
        <v>31507</v>
      </c>
      <c r="R21" s="404">
        <v>31832</v>
      </c>
      <c r="S21" s="404">
        <v>33560</v>
      </c>
      <c r="T21" s="404">
        <v>33858.148979422309</v>
      </c>
      <c r="U21" s="404">
        <v>35177.403774436651</v>
      </c>
      <c r="V21" s="404">
        <v>35587</v>
      </c>
      <c r="W21" s="405">
        <f>+W15/W18</f>
        <v>39649.34202702155</v>
      </c>
      <c r="X21" s="405">
        <f>+X15/X18</f>
        <v>41576.896380221573</v>
      </c>
      <c r="Y21" s="405">
        <f>+Y15/Y18</f>
        <v>43800.557171946435</v>
      </c>
      <c r="Z21" s="405">
        <f>+Z15/Z18</f>
        <v>45535.469009066524</v>
      </c>
      <c r="AA21" s="405">
        <f>+AA15/AA19</f>
        <v>47177.323466389789</v>
      </c>
      <c r="AB21" s="405">
        <f t="shared" ref="AB21:AH21" si="1">+AB15/AB20</f>
        <v>49437.180890694835</v>
      </c>
      <c r="AC21" s="405">
        <f t="shared" si="1"/>
        <v>50804.456120967479</v>
      </c>
      <c r="AD21" s="405">
        <f t="shared" si="1"/>
        <v>53583.910363976327</v>
      </c>
      <c r="AE21" s="405">
        <f t="shared" si="1"/>
        <v>56188.537182682128</v>
      </c>
      <c r="AF21" s="405">
        <f t="shared" si="1"/>
        <v>58439.548470561189</v>
      </c>
      <c r="AG21" s="405">
        <f t="shared" si="1"/>
        <v>58885.510341390014</v>
      </c>
      <c r="AH21" s="405">
        <f t="shared" si="1"/>
        <v>59205.395694150371</v>
      </c>
      <c r="AI21" s="405">
        <f>+AI15/AI20</f>
        <v>59289.982584961719</v>
      </c>
      <c r="AJ21" s="405">
        <f>+AJ15/AJ20</f>
        <v>59657.943399555334</v>
      </c>
      <c r="AK21" s="405">
        <v>61306</v>
      </c>
      <c r="AL21" s="405">
        <v>62909.775891601537</v>
      </c>
      <c r="AM21" s="405">
        <v>66112.192708684801</v>
      </c>
      <c r="AN21" s="405">
        <v>68397.530091878623</v>
      </c>
      <c r="AO21" s="405">
        <v>72196</v>
      </c>
      <c r="AP21" s="558" t="s">
        <v>549</v>
      </c>
      <c r="AQ21" s="558" t="s">
        <v>549</v>
      </c>
      <c r="AR21" s="559" t="s">
        <v>549</v>
      </c>
    </row>
    <row r="22" spans="1:44" s="365" customFormat="1" ht="17.25" x14ac:dyDescent="0.3">
      <c r="A22" s="361" t="s">
        <v>31</v>
      </c>
      <c r="B22" s="362"/>
      <c r="C22" s="362"/>
      <c r="D22" s="362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4"/>
      <c r="Y22" s="364"/>
      <c r="Z22" s="364"/>
      <c r="AA22" s="364"/>
      <c r="AB22" s="364"/>
      <c r="AC22" s="789"/>
      <c r="AD22" s="789"/>
      <c r="AE22" s="789"/>
      <c r="AF22" s="789"/>
      <c r="AG22" s="789"/>
      <c r="AH22" s="789"/>
      <c r="AI22" s="789"/>
      <c r="AJ22" s="789"/>
      <c r="AK22" s="789"/>
      <c r="AL22" s="789"/>
      <c r="AM22" s="789"/>
      <c r="AN22" s="789"/>
      <c r="AO22" s="789"/>
      <c r="AP22" s="789"/>
      <c r="AQ22" s="789"/>
      <c r="AR22" s="790"/>
    </row>
    <row r="23" spans="1:44" s="372" customFormat="1" x14ac:dyDescent="0.3">
      <c r="A23" s="366" t="s">
        <v>20</v>
      </c>
      <c r="B23" s="367">
        <v>38294</v>
      </c>
      <c r="C23" s="367">
        <v>39018</v>
      </c>
      <c r="D23" s="367">
        <v>39278</v>
      </c>
      <c r="E23" s="367">
        <v>38610</v>
      </c>
      <c r="F23" s="367">
        <v>37587</v>
      </c>
      <c r="G23" s="367">
        <v>38501</v>
      </c>
      <c r="H23" s="367">
        <v>39466</v>
      </c>
      <c r="I23" s="367">
        <v>40044</v>
      </c>
      <c r="J23" s="367">
        <v>41127</v>
      </c>
      <c r="K23" s="367">
        <v>42016</v>
      </c>
      <c r="L23" s="367">
        <v>43010</v>
      </c>
      <c r="M23" s="367">
        <v>44756</v>
      </c>
      <c r="N23" s="367">
        <v>46546</v>
      </c>
      <c r="O23" s="368">
        <v>47763</v>
      </c>
      <c r="P23" s="368">
        <v>49364</v>
      </c>
      <c r="Q23" s="368">
        <v>50749</v>
      </c>
      <c r="R23" s="368">
        <v>51894</v>
      </c>
      <c r="S23" s="368">
        <v>52499</v>
      </c>
      <c r="T23" s="368">
        <v>53908.29</v>
      </c>
      <c r="U23" s="368">
        <v>54837.585000000006</v>
      </c>
      <c r="V23" s="368">
        <v>55606.94</v>
      </c>
      <c r="W23" s="368">
        <v>56585.302999999993</v>
      </c>
      <c r="X23" s="369">
        <v>57196.97</v>
      </c>
      <c r="Y23" s="369">
        <v>59159.67</v>
      </c>
      <c r="Z23" s="369">
        <v>59810.07</v>
      </c>
      <c r="AA23" s="369">
        <v>59639.67</v>
      </c>
      <c r="AB23" s="369">
        <v>60165.72</v>
      </c>
      <c r="AC23" s="369">
        <v>60649.19</v>
      </c>
      <c r="AD23" s="370">
        <v>61107.750000000007</v>
      </c>
      <c r="AE23" s="370">
        <v>61492.95</v>
      </c>
      <c r="AF23" s="370">
        <v>62042.409999999989</v>
      </c>
      <c r="AG23" s="370">
        <v>60871.16</v>
      </c>
      <c r="AH23" s="370">
        <v>61180.350000000013</v>
      </c>
      <c r="AI23" s="407">
        <v>60202.55</v>
      </c>
      <c r="AJ23" s="407">
        <v>60865.26</v>
      </c>
      <c r="AK23" s="407">
        <v>62345</v>
      </c>
      <c r="AL23" s="407">
        <v>64293.17</v>
      </c>
      <c r="AM23" s="407">
        <v>66352.509999999995</v>
      </c>
      <c r="AN23" s="407">
        <v>68477.02</v>
      </c>
      <c r="AO23" s="407">
        <v>70071.3</v>
      </c>
      <c r="AP23" s="407">
        <v>72073.039999999994</v>
      </c>
      <c r="AQ23" s="407">
        <v>72586.59</v>
      </c>
      <c r="AR23" s="408">
        <f>+Table3WS1!J24</f>
        <v>72395.950000000012</v>
      </c>
    </row>
    <row r="24" spans="1:44" s="413" customFormat="1" x14ac:dyDescent="0.3">
      <c r="A24" s="414" t="s">
        <v>430</v>
      </c>
      <c r="B24" s="375">
        <v>17523</v>
      </c>
      <c r="C24" s="375">
        <v>18996</v>
      </c>
      <c r="D24" s="375">
        <v>21453</v>
      </c>
      <c r="E24" s="375">
        <v>23149</v>
      </c>
      <c r="F24" s="375">
        <v>23682</v>
      </c>
      <c r="G24" s="375">
        <v>24614</v>
      </c>
      <c r="H24" s="375">
        <v>25702</v>
      </c>
      <c r="I24" s="375">
        <v>26417</v>
      </c>
      <c r="J24" s="375">
        <v>27499</v>
      </c>
      <c r="K24" s="375">
        <v>28423</v>
      </c>
      <c r="L24" s="375">
        <v>29407</v>
      </c>
      <c r="M24" s="375">
        <v>30670</v>
      </c>
      <c r="N24" s="375">
        <v>33337</v>
      </c>
      <c r="O24" s="258">
        <v>35100</v>
      </c>
      <c r="P24" s="258">
        <v>36050</v>
      </c>
      <c r="Q24" s="258">
        <v>36158</v>
      </c>
      <c r="R24" s="258">
        <v>36460</v>
      </c>
      <c r="S24" s="258">
        <v>38168</v>
      </c>
      <c r="T24" s="258">
        <v>38111.928974374823</v>
      </c>
      <c r="U24" s="258">
        <v>39059.197719957963</v>
      </c>
      <c r="V24" s="258">
        <v>39007</v>
      </c>
      <c r="W24" s="258">
        <v>41393.358042105145</v>
      </c>
      <c r="X24" s="376">
        <v>42507</v>
      </c>
      <c r="Y24" s="377">
        <v>43866.481459582203</v>
      </c>
      <c r="Z24" s="377">
        <v>45370.656589935439</v>
      </c>
      <c r="AA24" s="377">
        <v>45822.950118436282</v>
      </c>
      <c r="AB24" s="377">
        <v>46114.270137879183</v>
      </c>
      <c r="AC24" s="377">
        <v>46708.071056678578</v>
      </c>
      <c r="AD24" s="378">
        <v>48276.728790538014</v>
      </c>
      <c r="AE24" s="378">
        <v>50324.72843716231</v>
      </c>
      <c r="AF24" s="378">
        <v>53023.93263108252</v>
      </c>
      <c r="AG24" s="378">
        <v>53394.784475932443</v>
      </c>
      <c r="AH24" s="378">
        <v>53293.302458060462</v>
      </c>
      <c r="AI24" s="377">
        <v>52573.644640467894</v>
      </c>
      <c r="AJ24" s="377">
        <v>52559.44190265514</v>
      </c>
      <c r="AK24" s="377">
        <v>53290</v>
      </c>
      <c r="AL24" s="377">
        <v>52858.224696340221</v>
      </c>
      <c r="AM24" s="377">
        <v>54089.365531462186</v>
      </c>
      <c r="AN24" s="377">
        <v>54858.643663962015</v>
      </c>
      <c r="AO24" s="377">
        <v>56096</v>
      </c>
      <c r="AP24" s="377">
        <v>73710.123967020132</v>
      </c>
      <c r="AQ24" s="377">
        <v>77348.981818955814</v>
      </c>
      <c r="AR24" s="379">
        <f>+Table3WS1!J25</f>
        <v>79963.519224763251</v>
      </c>
    </row>
    <row r="25" spans="1:44" s="386" customFormat="1" ht="16.5" hidden="1" customHeight="1" x14ac:dyDescent="0.3">
      <c r="A25" s="380" t="s">
        <v>21</v>
      </c>
      <c r="B25" s="381">
        <v>1.544</v>
      </c>
      <c r="C25" s="381">
        <v>1.5569999999999999</v>
      </c>
      <c r="D25" s="381">
        <v>1.575</v>
      </c>
      <c r="E25" s="381">
        <v>1.6040000000000001</v>
      </c>
      <c r="F25" s="381">
        <v>1.617</v>
      </c>
      <c r="G25" s="381">
        <v>1.621</v>
      </c>
      <c r="H25" s="381">
        <v>1.6259999999999999</v>
      </c>
      <c r="I25" s="381">
        <v>1.637</v>
      </c>
      <c r="J25" s="381">
        <v>1.6439999999999999</v>
      </c>
      <c r="K25" s="381">
        <v>1.6519999999999999</v>
      </c>
      <c r="L25" s="381">
        <v>1.6639999999999999</v>
      </c>
      <c r="M25" s="381">
        <v>1.665</v>
      </c>
      <c r="N25" s="381">
        <v>1.677</v>
      </c>
      <c r="O25" s="382" t="s">
        <v>431</v>
      </c>
      <c r="P25" s="382" t="s">
        <v>431</v>
      </c>
      <c r="Q25" s="382" t="s">
        <v>431</v>
      </c>
      <c r="R25" s="382" t="s">
        <v>431</v>
      </c>
      <c r="S25" s="382" t="s">
        <v>431</v>
      </c>
      <c r="T25" s="382" t="s">
        <v>431</v>
      </c>
      <c r="U25" s="382" t="s">
        <v>431</v>
      </c>
      <c r="V25" s="382" t="s">
        <v>431</v>
      </c>
      <c r="W25" s="382" t="s">
        <v>431</v>
      </c>
      <c r="X25" s="382" t="s">
        <v>431</v>
      </c>
      <c r="Y25" s="382" t="s">
        <v>431</v>
      </c>
      <c r="Z25" s="382" t="s">
        <v>431</v>
      </c>
      <c r="AA25" s="382" t="s">
        <v>431</v>
      </c>
      <c r="AB25" s="382" t="s">
        <v>431</v>
      </c>
      <c r="AC25" s="382" t="s">
        <v>431</v>
      </c>
      <c r="AD25" s="383" t="s">
        <v>431</v>
      </c>
      <c r="AE25" s="383" t="s">
        <v>431</v>
      </c>
      <c r="AF25" s="383" t="s">
        <v>431</v>
      </c>
      <c r="AG25" s="383" t="s">
        <v>431</v>
      </c>
      <c r="AH25" s="383" t="s">
        <v>431</v>
      </c>
      <c r="AI25" s="384" t="s">
        <v>431</v>
      </c>
      <c r="AJ25" s="384" t="s">
        <v>431</v>
      </c>
      <c r="AK25" s="384" t="s">
        <v>431</v>
      </c>
      <c r="AL25" s="384" t="s">
        <v>431</v>
      </c>
      <c r="AM25" s="384" t="s">
        <v>431</v>
      </c>
      <c r="AN25" s="384" t="s">
        <v>431</v>
      </c>
      <c r="AO25" s="384" t="s">
        <v>431</v>
      </c>
      <c r="AP25" s="384" t="s">
        <v>431</v>
      </c>
      <c r="AQ25" s="384" t="s">
        <v>431</v>
      </c>
      <c r="AR25" s="385" t="s">
        <v>431</v>
      </c>
    </row>
    <row r="26" spans="1:44" s="411" customFormat="1" ht="16.5" hidden="1" customHeight="1" x14ac:dyDescent="0.3">
      <c r="A26" s="409" t="s">
        <v>23</v>
      </c>
      <c r="B26" s="410" t="s">
        <v>431</v>
      </c>
      <c r="C26" s="410" t="s">
        <v>431</v>
      </c>
      <c r="D26" s="410" t="s">
        <v>431</v>
      </c>
      <c r="E26" s="410" t="s">
        <v>431</v>
      </c>
      <c r="F26" s="410" t="s">
        <v>431</v>
      </c>
      <c r="G26" s="410" t="s">
        <v>431</v>
      </c>
      <c r="H26" s="410" t="s">
        <v>431</v>
      </c>
      <c r="I26" s="410" t="s">
        <v>431</v>
      </c>
      <c r="J26" s="410" t="s">
        <v>431</v>
      </c>
      <c r="K26" s="410" t="s">
        <v>431</v>
      </c>
      <c r="L26" s="410" t="s">
        <v>431</v>
      </c>
      <c r="M26" s="410" t="s">
        <v>431</v>
      </c>
      <c r="N26" s="410">
        <v>1.659</v>
      </c>
      <c r="O26" s="388">
        <v>1.6779999999999999</v>
      </c>
      <c r="P26" s="388">
        <v>1.67</v>
      </c>
      <c r="Q26" s="388">
        <v>1.677</v>
      </c>
      <c r="R26" s="388">
        <v>1.6839999999999999</v>
      </c>
      <c r="S26" s="388">
        <v>1.696</v>
      </c>
      <c r="T26" s="388">
        <v>1.6946252892532856</v>
      </c>
      <c r="U26" s="388">
        <v>1.6940514012928385</v>
      </c>
      <c r="V26" s="388">
        <v>1.6910000000000001</v>
      </c>
      <c r="W26" s="398" t="s">
        <v>431</v>
      </c>
      <c r="X26" s="398" t="s">
        <v>431</v>
      </c>
      <c r="Y26" s="394" t="s">
        <v>431</v>
      </c>
      <c r="Z26" s="394" t="s">
        <v>431</v>
      </c>
      <c r="AA26" s="394" t="s">
        <v>431</v>
      </c>
      <c r="AB26" s="394" t="s">
        <v>431</v>
      </c>
      <c r="AC26" s="394" t="s">
        <v>431</v>
      </c>
      <c r="AD26" s="395" t="s">
        <v>431</v>
      </c>
      <c r="AE26" s="395" t="s">
        <v>431</v>
      </c>
      <c r="AF26" s="395" t="s">
        <v>431</v>
      </c>
      <c r="AG26" s="395" t="s">
        <v>431</v>
      </c>
      <c r="AH26" s="395" t="s">
        <v>431</v>
      </c>
      <c r="AI26" s="396" t="s">
        <v>431</v>
      </c>
      <c r="AJ26" s="396" t="s">
        <v>431</v>
      </c>
      <c r="AK26" s="396" t="s">
        <v>431</v>
      </c>
      <c r="AL26" s="396" t="s">
        <v>431</v>
      </c>
      <c r="AM26" s="396" t="s">
        <v>431</v>
      </c>
      <c r="AN26" s="396" t="s">
        <v>431</v>
      </c>
      <c r="AO26" s="396" t="s">
        <v>431</v>
      </c>
      <c r="AP26" s="396" t="s">
        <v>431</v>
      </c>
      <c r="AQ26" s="396" t="s">
        <v>431</v>
      </c>
      <c r="AR26" s="397" t="s">
        <v>431</v>
      </c>
    </row>
    <row r="27" spans="1:44" s="411" customFormat="1" ht="16.5" hidden="1" customHeight="1" x14ac:dyDescent="0.3">
      <c r="A27" s="409" t="s">
        <v>201</v>
      </c>
      <c r="B27" s="410" t="s">
        <v>431</v>
      </c>
      <c r="C27" s="410" t="s">
        <v>431</v>
      </c>
      <c r="D27" s="410" t="s">
        <v>431</v>
      </c>
      <c r="E27" s="410" t="s">
        <v>431</v>
      </c>
      <c r="F27" s="410" t="s">
        <v>431</v>
      </c>
      <c r="G27" s="410" t="s">
        <v>431</v>
      </c>
      <c r="H27" s="410" t="s">
        <v>431</v>
      </c>
      <c r="I27" s="410" t="s">
        <v>431</v>
      </c>
      <c r="J27" s="410" t="s">
        <v>431</v>
      </c>
      <c r="K27" s="410" t="s">
        <v>431</v>
      </c>
      <c r="L27" s="410" t="s">
        <v>431</v>
      </c>
      <c r="M27" s="410" t="s">
        <v>431</v>
      </c>
      <c r="N27" s="410" t="s">
        <v>431</v>
      </c>
      <c r="O27" s="388" t="s">
        <v>431</v>
      </c>
      <c r="P27" s="388" t="s">
        <v>431</v>
      </c>
      <c r="Q27" s="388" t="s">
        <v>431</v>
      </c>
      <c r="R27" s="388" t="s">
        <v>431</v>
      </c>
      <c r="S27" s="388" t="s">
        <v>431</v>
      </c>
      <c r="T27" s="398" t="s">
        <v>431</v>
      </c>
      <c r="U27" s="398" t="s">
        <v>431</v>
      </c>
      <c r="V27" s="398" t="s">
        <v>431</v>
      </c>
      <c r="W27" s="388">
        <v>1.601188454874906</v>
      </c>
      <c r="X27" s="393">
        <v>1.5969500000000001</v>
      </c>
      <c r="Y27" s="393">
        <v>1.5898824938340597</v>
      </c>
      <c r="Z27" s="393">
        <v>1.5964150902715883</v>
      </c>
      <c r="AA27" s="394" t="s">
        <v>431</v>
      </c>
      <c r="AB27" s="394" t="s">
        <v>431</v>
      </c>
      <c r="AC27" s="394" t="s">
        <v>431</v>
      </c>
      <c r="AD27" s="395" t="s">
        <v>431</v>
      </c>
      <c r="AE27" s="395" t="s">
        <v>431</v>
      </c>
      <c r="AF27" s="395" t="s">
        <v>431</v>
      </c>
      <c r="AG27" s="395" t="s">
        <v>431</v>
      </c>
      <c r="AH27" s="395" t="s">
        <v>431</v>
      </c>
      <c r="AI27" s="396" t="s">
        <v>431</v>
      </c>
      <c r="AJ27" s="396" t="s">
        <v>431</v>
      </c>
      <c r="AK27" s="396" t="s">
        <v>431</v>
      </c>
      <c r="AL27" s="396" t="s">
        <v>431</v>
      </c>
      <c r="AM27" s="396" t="s">
        <v>431</v>
      </c>
      <c r="AN27" s="396" t="s">
        <v>431</v>
      </c>
      <c r="AO27" s="396" t="s">
        <v>431</v>
      </c>
      <c r="AP27" s="396" t="s">
        <v>431</v>
      </c>
      <c r="AQ27" s="396" t="s">
        <v>431</v>
      </c>
      <c r="AR27" s="397" t="s">
        <v>431</v>
      </c>
    </row>
    <row r="28" spans="1:44" s="411" customFormat="1" ht="16.5" hidden="1" customHeight="1" x14ac:dyDescent="0.3">
      <c r="A28" s="409" t="s">
        <v>319</v>
      </c>
      <c r="B28" s="410" t="s">
        <v>431</v>
      </c>
      <c r="C28" s="410" t="s">
        <v>431</v>
      </c>
      <c r="D28" s="410" t="s">
        <v>431</v>
      </c>
      <c r="E28" s="410" t="s">
        <v>431</v>
      </c>
      <c r="F28" s="410" t="s">
        <v>431</v>
      </c>
      <c r="G28" s="410" t="s">
        <v>431</v>
      </c>
      <c r="H28" s="410" t="s">
        <v>431</v>
      </c>
      <c r="I28" s="410" t="s">
        <v>431</v>
      </c>
      <c r="J28" s="410" t="s">
        <v>431</v>
      </c>
      <c r="K28" s="410" t="s">
        <v>431</v>
      </c>
      <c r="L28" s="410" t="s">
        <v>431</v>
      </c>
      <c r="M28" s="410" t="s">
        <v>431</v>
      </c>
      <c r="N28" s="410" t="s">
        <v>431</v>
      </c>
      <c r="O28" s="388" t="s">
        <v>431</v>
      </c>
      <c r="P28" s="388" t="s">
        <v>431</v>
      </c>
      <c r="Q28" s="388" t="s">
        <v>431</v>
      </c>
      <c r="R28" s="388" t="s">
        <v>431</v>
      </c>
      <c r="S28" s="388" t="s">
        <v>431</v>
      </c>
      <c r="T28" s="398" t="s">
        <v>431</v>
      </c>
      <c r="U28" s="398" t="s">
        <v>431</v>
      </c>
      <c r="V28" s="398" t="s">
        <v>431</v>
      </c>
      <c r="W28" s="398" t="s">
        <v>431</v>
      </c>
      <c r="X28" s="394" t="s">
        <v>431</v>
      </c>
      <c r="Y28" s="394" t="s">
        <v>431</v>
      </c>
      <c r="Z28" s="394" t="s">
        <v>431</v>
      </c>
      <c r="AA28" s="393">
        <v>1.5644969951141583</v>
      </c>
      <c r="AB28" s="394" t="s">
        <v>431</v>
      </c>
      <c r="AC28" s="394" t="s">
        <v>431</v>
      </c>
      <c r="AD28" s="395" t="s">
        <v>431</v>
      </c>
      <c r="AE28" s="395" t="s">
        <v>431</v>
      </c>
      <c r="AF28" s="395" t="s">
        <v>431</v>
      </c>
      <c r="AG28" s="395" t="s">
        <v>431</v>
      </c>
      <c r="AH28" s="395" t="s">
        <v>431</v>
      </c>
      <c r="AI28" s="396" t="s">
        <v>431</v>
      </c>
      <c r="AJ28" s="396" t="s">
        <v>431</v>
      </c>
      <c r="AK28" s="396" t="s">
        <v>431</v>
      </c>
      <c r="AL28" s="396" t="s">
        <v>431</v>
      </c>
      <c r="AM28" s="396" t="s">
        <v>431</v>
      </c>
      <c r="AN28" s="396" t="s">
        <v>431</v>
      </c>
      <c r="AO28" s="396" t="s">
        <v>431</v>
      </c>
      <c r="AP28" s="396" t="s">
        <v>431</v>
      </c>
      <c r="AQ28" s="396" t="s">
        <v>431</v>
      </c>
      <c r="AR28" s="397" t="s">
        <v>431</v>
      </c>
    </row>
    <row r="29" spans="1:44" s="411" customFormat="1" x14ac:dyDescent="0.3">
      <c r="A29" s="409" t="s">
        <v>551</v>
      </c>
      <c r="B29" s="410" t="s">
        <v>431</v>
      </c>
      <c r="C29" s="410" t="s">
        <v>431</v>
      </c>
      <c r="D29" s="410" t="s">
        <v>431</v>
      </c>
      <c r="E29" s="410" t="s">
        <v>431</v>
      </c>
      <c r="F29" s="410" t="s">
        <v>431</v>
      </c>
      <c r="G29" s="410" t="s">
        <v>431</v>
      </c>
      <c r="H29" s="410" t="s">
        <v>431</v>
      </c>
      <c r="I29" s="410" t="s">
        <v>431</v>
      </c>
      <c r="J29" s="410" t="s">
        <v>431</v>
      </c>
      <c r="K29" s="410" t="s">
        <v>431</v>
      </c>
      <c r="L29" s="410" t="s">
        <v>431</v>
      </c>
      <c r="M29" s="410" t="s">
        <v>431</v>
      </c>
      <c r="N29" s="410" t="s">
        <v>431</v>
      </c>
      <c r="O29" s="388" t="s">
        <v>431</v>
      </c>
      <c r="P29" s="388" t="s">
        <v>431</v>
      </c>
      <c r="Q29" s="388" t="s">
        <v>431</v>
      </c>
      <c r="R29" s="388" t="s">
        <v>431</v>
      </c>
      <c r="S29" s="388" t="s">
        <v>431</v>
      </c>
      <c r="T29" s="398" t="s">
        <v>431</v>
      </c>
      <c r="U29" s="398" t="s">
        <v>431</v>
      </c>
      <c r="V29" s="398" t="s">
        <v>431</v>
      </c>
      <c r="W29" s="398" t="s">
        <v>431</v>
      </c>
      <c r="X29" s="394" t="s">
        <v>431</v>
      </c>
      <c r="Y29" s="394" t="s">
        <v>431</v>
      </c>
      <c r="Z29" s="394" t="s">
        <v>431</v>
      </c>
      <c r="AA29" s="394" t="s">
        <v>431</v>
      </c>
      <c r="AB29" s="393">
        <v>1.5282158641299395</v>
      </c>
      <c r="AC29" s="393">
        <v>1.5296649678981702</v>
      </c>
      <c r="AD29" s="399">
        <v>1.5307021253114379</v>
      </c>
      <c r="AE29" s="399">
        <v>1.5310766338141202</v>
      </c>
      <c r="AF29" s="399">
        <v>1.5369692514797544</v>
      </c>
      <c r="AG29" s="399">
        <v>1.5561132300780858</v>
      </c>
      <c r="AH29" s="399">
        <v>1.5614092913607061</v>
      </c>
      <c r="AI29" s="400">
        <v>1.5697229871209775</v>
      </c>
      <c r="AJ29" s="400">
        <v>1.5693585339798102</v>
      </c>
      <c r="AK29" s="400">
        <v>1.5609999999999999</v>
      </c>
      <c r="AL29" s="400">
        <v>1.5498803953219293</v>
      </c>
      <c r="AM29" s="400">
        <v>1.5400744307577814</v>
      </c>
      <c r="AN29" s="400">
        <v>1.5338115807872477</v>
      </c>
      <c r="AO29" s="400">
        <v>1.5309999999999999</v>
      </c>
      <c r="AP29" s="556" t="s">
        <v>549</v>
      </c>
      <c r="AQ29" s="556" t="s">
        <v>549</v>
      </c>
      <c r="AR29" s="557" t="s">
        <v>549</v>
      </c>
    </row>
    <row r="30" spans="1:44" s="413" customFormat="1" x14ac:dyDescent="0.3">
      <c r="A30" s="414" t="s">
        <v>24</v>
      </c>
      <c r="B30" s="375">
        <v>11351</v>
      </c>
      <c r="C30" s="375">
        <v>12198</v>
      </c>
      <c r="D30" s="375">
        <v>13619</v>
      </c>
      <c r="E30" s="375">
        <v>14430</v>
      </c>
      <c r="F30" s="375">
        <v>14642</v>
      </c>
      <c r="G30" s="375">
        <v>15184</v>
      </c>
      <c r="H30" s="375">
        <v>15807</v>
      </c>
      <c r="I30" s="375">
        <v>16137</v>
      </c>
      <c r="J30" s="375">
        <v>16727</v>
      </c>
      <c r="K30" s="375">
        <v>17205</v>
      </c>
      <c r="L30" s="375">
        <v>17677</v>
      </c>
      <c r="M30" s="375">
        <v>18416</v>
      </c>
      <c r="N30" s="375">
        <v>18945</v>
      </c>
      <c r="O30" s="258">
        <v>20916</v>
      </c>
      <c r="P30" s="258">
        <v>21590</v>
      </c>
      <c r="Q30" s="258">
        <v>21564</v>
      </c>
      <c r="R30" s="258">
        <v>21655</v>
      </c>
      <c r="S30" s="258">
        <v>22503</v>
      </c>
      <c r="T30" s="258">
        <v>22489.885649687396</v>
      </c>
      <c r="U30" s="258">
        <v>23056.678026504629</v>
      </c>
      <c r="V30" s="258">
        <v>23064</v>
      </c>
      <c r="W30" s="378">
        <f>+W24/W27</f>
        <v>25851.646579189848</v>
      </c>
      <c r="X30" s="378">
        <f>+X24/X27</f>
        <v>26617.614828266382</v>
      </c>
      <c r="Y30" s="377">
        <f>+Y24/Y27</f>
        <v>27591.021116155938</v>
      </c>
      <c r="Z30" s="377">
        <f>+Z24/Z27</f>
        <v>28420.338085263782</v>
      </c>
      <c r="AA30" s="377">
        <f>+AA24/AA28</f>
        <v>29289.254157431391</v>
      </c>
      <c r="AB30" s="377">
        <f t="shared" ref="AB30:AH30" si="2">+AB24/AB29</f>
        <v>30175.233237834145</v>
      </c>
      <c r="AC30" s="377">
        <f t="shared" si="2"/>
        <v>30534.837390476172</v>
      </c>
      <c r="AD30" s="377">
        <f t="shared" si="2"/>
        <v>31538.944117370709</v>
      </c>
      <c r="AE30" s="377">
        <f t="shared" si="2"/>
        <v>32868.850144879143</v>
      </c>
      <c r="AF30" s="377">
        <f t="shared" si="2"/>
        <v>34499.019794984473</v>
      </c>
      <c r="AG30" s="377">
        <f t="shared" si="2"/>
        <v>34312.917237554168</v>
      </c>
      <c r="AH30" s="377">
        <f t="shared" si="2"/>
        <v>34131.539214562676</v>
      </c>
      <c r="AI30" s="377">
        <f>+AI24/AI29</f>
        <v>33492.307287219512</v>
      </c>
      <c r="AJ30" s="377">
        <f>+AJ24/AJ29</f>
        <v>33491.03519981962</v>
      </c>
      <c r="AK30" s="377">
        <v>34136</v>
      </c>
      <c r="AL30" s="377">
        <v>34104.712115776463</v>
      </c>
      <c r="AM30" s="377">
        <v>35121.267161644872</v>
      </c>
      <c r="AN30" s="377">
        <v>35766.22079995324</v>
      </c>
      <c r="AO30" s="377">
        <v>36631</v>
      </c>
      <c r="AP30" s="560" t="s">
        <v>549</v>
      </c>
      <c r="AQ30" s="560" t="s">
        <v>549</v>
      </c>
      <c r="AR30" s="561" t="s">
        <v>549</v>
      </c>
    </row>
    <row r="31" spans="1:44" s="413" customFormat="1" ht="17.25" thickBot="1" x14ac:dyDescent="0.35">
      <c r="A31" s="412" t="s">
        <v>191</v>
      </c>
      <c r="B31" s="403" t="s">
        <v>431</v>
      </c>
      <c r="C31" s="403" t="s">
        <v>431</v>
      </c>
      <c r="D31" s="403" t="s">
        <v>431</v>
      </c>
      <c r="E31" s="403" t="s">
        <v>431</v>
      </c>
      <c r="F31" s="403" t="s">
        <v>431</v>
      </c>
      <c r="G31" s="403" t="s">
        <v>431</v>
      </c>
      <c r="H31" s="403" t="s">
        <v>431</v>
      </c>
      <c r="I31" s="403" t="s">
        <v>431</v>
      </c>
      <c r="J31" s="403" t="s">
        <v>431</v>
      </c>
      <c r="K31" s="403">
        <v>1469</v>
      </c>
      <c r="L31" s="403">
        <v>1771</v>
      </c>
      <c r="M31" s="403">
        <v>2139</v>
      </c>
      <c r="N31" s="403">
        <v>2516</v>
      </c>
      <c r="O31" s="404">
        <v>2665</v>
      </c>
      <c r="P31" s="404">
        <v>2845</v>
      </c>
      <c r="Q31" s="404">
        <v>2937</v>
      </c>
      <c r="R31" s="404">
        <v>2557</v>
      </c>
      <c r="S31" s="404">
        <v>2614</v>
      </c>
      <c r="T31" s="404">
        <v>2741</v>
      </c>
      <c r="U31" s="404">
        <v>3090</v>
      </c>
      <c r="V31" s="404">
        <v>3072</v>
      </c>
      <c r="W31" s="404">
        <v>3236.8870234732158</v>
      </c>
      <c r="X31" s="415">
        <v>3529</v>
      </c>
      <c r="Y31" s="377">
        <v>3670.6312425339765</v>
      </c>
      <c r="Z31" s="377">
        <v>4190.9664710307152</v>
      </c>
      <c r="AA31" s="377">
        <v>4593.4914797482961</v>
      </c>
      <c r="AB31" s="377">
        <v>4913.1068987456647</v>
      </c>
      <c r="AC31" s="377">
        <v>5400.5493065942019</v>
      </c>
      <c r="AD31" s="378">
        <v>5875.7362036730192</v>
      </c>
      <c r="AE31" s="378">
        <v>6625.8944480627461</v>
      </c>
      <c r="AF31" s="378">
        <v>7733.56906993136</v>
      </c>
      <c r="AG31" s="378">
        <v>8219.0945925788164</v>
      </c>
      <c r="AH31" s="378">
        <v>8824.1337128669566</v>
      </c>
      <c r="AI31" s="377">
        <v>9438.0404152315805</v>
      </c>
      <c r="AJ31" s="377">
        <v>9794.3525584216677</v>
      </c>
      <c r="AK31" s="377">
        <v>10153</v>
      </c>
      <c r="AL31" s="377">
        <v>10926.112462645722</v>
      </c>
      <c r="AM31" s="377">
        <v>12118.368664576517</v>
      </c>
      <c r="AN31" s="377">
        <v>14088.545427356505</v>
      </c>
      <c r="AO31" s="377">
        <v>16497</v>
      </c>
      <c r="AP31" s="377">
        <v>8640.7800891984025</v>
      </c>
      <c r="AQ31" s="377">
        <v>8362.9379889591182</v>
      </c>
      <c r="AR31" s="379">
        <f>Table3WS1!$J$26</f>
        <v>8659.3159562102555</v>
      </c>
    </row>
    <row r="32" spans="1:44" s="365" customFormat="1" ht="17.25" x14ac:dyDescent="0.3">
      <c r="A32" s="361" t="s">
        <v>517</v>
      </c>
      <c r="B32" s="362"/>
      <c r="C32" s="362"/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4"/>
      <c r="Y32" s="364"/>
      <c r="Z32" s="364"/>
      <c r="AA32" s="364"/>
      <c r="AB32" s="364"/>
      <c r="AC32" s="789"/>
      <c r="AD32" s="789"/>
      <c r="AE32" s="789"/>
      <c r="AF32" s="789"/>
      <c r="AG32" s="789"/>
      <c r="AH32" s="789"/>
      <c r="AI32" s="789"/>
      <c r="AJ32" s="789"/>
      <c r="AK32" s="789"/>
      <c r="AL32" s="789"/>
      <c r="AM32" s="789"/>
      <c r="AN32" s="789"/>
      <c r="AO32" s="789"/>
      <c r="AP32" s="789"/>
      <c r="AQ32" s="789"/>
      <c r="AR32" s="790"/>
    </row>
    <row r="33" spans="1:44" s="372" customFormat="1" x14ac:dyDescent="0.3">
      <c r="A33" s="366" t="s">
        <v>20</v>
      </c>
      <c r="B33" s="367">
        <v>20147</v>
      </c>
      <c r="C33" s="367">
        <v>21013</v>
      </c>
      <c r="D33" s="367">
        <v>21402</v>
      </c>
      <c r="E33" s="367">
        <v>19520</v>
      </c>
      <c r="F33" s="367">
        <v>18963</v>
      </c>
      <c r="G33" s="367">
        <v>19690</v>
      </c>
      <c r="H33" s="367">
        <v>20465</v>
      </c>
      <c r="I33" s="367">
        <v>20959</v>
      </c>
      <c r="J33" s="367">
        <v>21590</v>
      </c>
      <c r="K33" s="367">
        <v>22430</v>
      </c>
      <c r="L33" s="367">
        <v>23488</v>
      </c>
      <c r="M33" s="367">
        <v>24283</v>
      </c>
      <c r="N33" s="367">
        <v>25791</v>
      </c>
      <c r="O33" s="368">
        <v>26681</v>
      </c>
      <c r="P33" s="368">
        <v>28250</v>
      </c>
      <c r="Q33" s="368">
        <v>29399</v>
      </c>
      <c r="R33" s="368">
        <v>30486</v>
      </c>
      <c r="S33" s="368">
        <v>30712.83</v>
      </c>
      <c r="T33" s="368">
        <v>31757.43</v>
      </c>
      <c r="U33" s="368">
        <v>32678.369000000002</v>
      </c>
      <c r="V33" s="368">
        <v>33118.71</v>
      </c>
      <c r="W33" s="368">
        <v>34195.905999999995</v>
      </c>
      <c r="X33" s="369">
        <v>34765.300000000003</v>
      </c>
      <c r="Y33" s="369">
        <v>35638.53</v>
      </c>
      <c r="Z33" s="369">
        <v>36157.339999999997</v>
      </c>
      <c r="AA33" s="369">
        <v>36041.69</v>
      </c>
      <c r="AB33" s="369">
        <v>36602.04</v>
      </c>
      <c r="AC33" s="369">
        <v>36748.449999999997</v>
      </c>
      <c r="AD33" s="370">
        <v>36882.46</v>
      </c>
      <c r="AE33" s="370">
        <v>37306.759999999995</v>
      </c>
      <c r="AF33" s="370">
        <v>37516.18</v>
      </c>
      <c r="AG33" s="370">
        <v>36905.129999999997</v>
      </c>
      <c r="AH33" s="370">
        <v>37110.009999999995</v>
      </c>
      <c r="AI33" s="407">
        <v>36199.800000000003</v>
      </c>
      <c r="AJ33" s="407">
        <v>36450.080000000002</v>
      </c>
      <c r="AK33" s="407">
        <v>37273.800000000003</v>
      </c>
      <c r="AL33" s="407">
        <v>38598.15</v>
      </c>
      <c r="AM33" s="407">
        <v>39845.089999999997</v>
      </c>
      <c r="AN33" s="407">
        <v>41509.660000000003</v>
      </c>
      <c r="AO33" s="407">
        <v>42510</v>
      </c>
      <c r="AP33" s="407">
        <v>44335.48</v>
      </c>
      <c r="AQ33" s="407">
        <v>44743.090000000004</v>
      </c>
      <c r="AR33" s="408">
        <f>+Table3WS1!D47</f>
        <v>40987.369999999995</v>
      </c>
    </row>
    <row r="34" spans="1:44" s="413" customFormat="1" ht="17.25" thickBot="1" x14ac:dyDescent="0.35">
      <c r="A34" s="414" t="s">
        <v>430</v>
      </c>
      <c r="B34" s="375">
        <v>11807</v>
      </c>
      <c r="C34" s="375">
        <v>12732</v>
      </c>
      <c r="D34" s="375">
        <v>14040</v>
      </c>
      <c r="E34" s="375">
        <v>15233</v>
      </c>
      <c r="F34" s="375">
        <v>15440</v>
      </c>
      <c r="G34" s="375">
        <v>16249</v>
      </c>
      <c r="H34" s="375">
        <v>17099</v>
      </c>
      <c r="I34" s="375">
        <v>17505</v>
      </c>
      <c r="J34" s="375">
        <v>18038</v>
      </c>
      <c r="K34" s="375">
        <v>18732</v>
      </c>
      <c r="L34" s="375">
        <v>19578</v>
      </c>
      <c r="M34" s="375">
        <v>20518</v>
      </c>
      <c r="N34" s="375">
        <v>21560</v>
      </c>
      <c r="O34" s="375">
        <v>22715</v>
      </c>
      <c r="P34" s="375">
        <v>23562</v>
      </c>
      <c r="Q34" s="375">
        <v>23837</v>
      </c>
      <c r="R34" s="375">
        <v>24042</v>
      </c>
      <c r="S34" s="375">
        <v>25092</v>
      </c>
      <c r="T34" s="375">
        <v>25314.478068281973</v>
      </c>
      <c r="U34" s="375">
        <v>26332.00084129045</v>
      </c>
      <c r="V34" s="375">
        <v>26662</v>
      </c>
      <c r="W34" s="375">
        <v>27734.776671803691</v>
      </c>
      <c r="X34" s="416">
        <v>28896</v>
      </c>
      <c r="Y34" s="417">
        <v>30122.058525702381</v>
      </c>
      <c r="Z34" s="417">
        <v>31512.064479300749</v>
      </c>
      <c r="AA34" s="417">
        <v>31828.1784719307</v>
      </c>
      <c r="AB34" s="417">
        <v>32512.595992190592</v>
      </c>
      <c r="AC34" s="417">
        <v>33350.167996201191</v>
      </c>
      <c r="AD34" s="418">
        <v>34735.474262291616</v>
      </c>
      <c r="AE34" s="418">
        <v>36316.323806194916</v>
      </c>
      <c r="AF34" s="418">
        <v>38402.429358479458</v>
      </c>
      <c r="AG34" s="418">
        <v>38677.350137230249</v>
      </c>
      <c r="AH34" s="418">
        <v>38914.422415407607</v>
      </c>
      <c r="AI34" s="417">
        <v>39158.339750772102</v>
      </c>
      <c r="AJ34" s="417">
        <v>39487.30803855574</v>
      </c>
      <c r="AK34" s="417">
        <v>40229</v>
      </c>
      <c r="AL34" s="417">
        <v>41147.00858279477</v>
      </c>
      <c r="AM34" s="417">
        <v>43048.29971472019</v>
      </c>
      <c r="AN34" s="417">
        <v>44704.040055013698</v>
      </c>
      <c r="AO34" s="417">
        <v>47275</v>
      </c>
      <c r="AP34" s="417">
        <v>50404.141460744308</v>
      </c>
      <c r="AQ34" s="417">
        <v>53463.741311563419</v>
      </c>
      <c r="AR34" s="419">
        <f>+Table3WS1!E47</f>
        <v>56376.726725086301</v>
      </c>
    </row>
    <row r="35" spans="1:44" s="386" customFormat="1" ht="17.25" hidden="1" customHeight="1" thickBot="1" x14ac:dyDescent="0.35">
      <c r="A35" s="380" t="s">
        <v>25</v>
      </c>
      <c r="B35" s="381" t="s">
        <v>22</v>
      </c>
      <c r="C35" s="381" t="s">
        <v>22</v>
      </c>
      <c r="D35" s="381" t="s">
        <v>22</v>
      </c>
      <c r="E35" s="381" t="s">
        <v>22</v>
      </c>
      <c r="F35" s="381" t="s">
        <v>22</v>
      </c>
      <c r="G35" s="381" t="s">
        <v>22</v>
      </c>
      <c r="H35" s="381" t="s">
        <v>22</v>
      </c>
      <c r="I35" s="381">
        <v>1.1950000000000001</v>
      </c>
      <c r="J35" s="381">
        <v>1.194</v>
      </c>
      <c r="K35" s="381" t="s">
        <v>22</v>
      </c>
      <c r="L35" s="381" t="s">
        <v>22</v>
      </c>
      <c r="M35" s="381" t="s">
        <v>22</v>
      </c>
      <c r="N35" s="381" t="s">
        <v>22</v>
      </c>
      <c r="O35" s="382" t="s">
        <v>22</v>
      </c>
      <c r="P35" s="382" t="s">
        <v>22</v>
      </c>
      <c r="Q35" s="382" t="s">
        <v>22</v>
      </c>
      <c r="R35" s="382" t="s">
        <v>22</v>
      </c>
      <c r="S35" s="382" t="s">
        <v>22</v>
      </c>
      <c r="T35" s="382" t="s">
        <v>22</v>
      </c>
      <c r="U35" s="382" t="s">
        <v>22</v>
      </c>
      <c r="V35" s="382" t="s">
        <v>22</v>
      </c>
      <c r="W35" s="382" t="s">
        <v>22</v>
      </c>
      <c r="X35" s="382" t="s">
        <v>22</v>
      </c>
      <c r="Y35" s="382" t="s">
        <v>22</v>
      </c>
      <c r="Z35" s="382" t="s">
        <v>22</v>
      </c>
      <c r="AA35" s="382" t="s">
        <v>22</v>
      </c>
      <c r="AB35" s="382" t="s">
        <v>22</v>
      </c>
      <c r="AC35" s="382" t="s">
        <v>22</v>
      </c>
      <c r="AD35" s="383" t="s">
        <v>22</v>
      </c>
      <c r="AE35" s="383" t="s">
        <v>22</v>
      </c>
      <c r="AF35" s="383" t="s">
        <v>22</v>
      </c>
      <c r="AG35" s="383" t="s">
        <v>22</v>
      </c>
      <c r="AH35" s="383" t="s">
        <v>22</v>
      </c>
      <c r="AI35" s="384" t="s">
        <v>22</v>
      </c>
      <c r="AJ35" s="384" t="s">
        <v>22</v>
      </c>
      <c r="AK35" s="384" t="s">
        <v>22</v>
      </c>
      <c r="AL35" s="384" t="s">
        <v>22</v>
      </c>
      <c r="AM35" s="384" t="s">
        <v>22</v>
      </c>
      <c r="AN35" s="384" t="s">
        <v>22</v>
      </c>
      <c r="AO35" s="384" t="s">
        <v>22</v>
      </c>
      <c r="AP35" s="384" t="s">
        <v>22</v>
      </c>
      <c r="AQ35" s="384" t="s">
        <v>22</v>
      </c>
      <c r="AR35" s="385" t="s">
        <v>22</v>
      </c>
    </row>
    <row r="36" spans="1:44" s="360" customFormat="1" ht="17.25" hidden="1" customHeight="1" thickBot="1" x14ac:dyDescent="0.35">
      <c r="A36" s="373" t="s">
        <v>24</v>
      </c>
      <c r="B36" s="420" t="s">
        <v>22</v>
      </c>
      <c r="C36" s="420" t="s">
        <v>22</v>
      </c>
      <c r="D36" s="421" t="s">
        <v>22</v>
      </c>
      <c r="E36" s="421" t="s">
        <v>22</v>
      </c>
      <c r="F36" s="421" t="s">
        <v>22</v>
      </c>
      <c r="G36" s="421" t="s">
        <v>22</v>
      </c>
      <c r="H36" s="421" t="s">
        <v>22</v>
      </c>
      <c r="I36" s="421">
        <v>14649</v>
      </c>
      <c r="J36" s="421">
        <v>15107</v>
      </c>
      <c r="K36" s="421" t="s">
        <v>22</v>
      </c>
      <c r="L36" s="421" t="s">
        <v>22</v>
      </c>
      <c r="M36" s="421" t="s">
        <v>22</v>
      </c>
      <c r="N36" s="421" t="s">
        <v>22</v>
      </c>
      <c r="O36" s="422" t="s">
        <v>22</v>
      </c>
      <c r="P36" s="422" t="s">
        <v>22</v>
      </c>
      <c r="Q36" s="422" t="s">
        <v>22</v>
      </c>
      <c r="R36" s="422" t="s">
        <v>22</v>
      </c>
      <c r="S36" s="422" t="s">
        <v>22</v>
      </c>
      <c r="T36" s="422" t="s">
        <v>22</v>
      </c>
      <c r="U36" s="422" t="s">
        <v>22</v>
      </c>
      <c r="V36" s="422" t="s">
        <v>22</v>
      </c>
      <c r="W36" s="422" t="s">
        <v>22</v>
      </c>
      <c r="X36" s="422" t="s">
        <v>22</v>
      </c>
      <c r="Y36" s="422" t="s">
        <v>22</v>
      </c>
      <c r="Z36" s="422" t="s">
        <v>22</v>
      </c>
      <c r="AA36" s="422" t="s">
        <v>22</v>
      </c>
      <c r="AB36" s="422" t="s">
        <v>22</v>
      </c>
      <c r="AC36" s="422" t="s">
        <v>22</v>
      </c>
      <c r="AD36" s="423" t="s">
        <v>22</v>
      </c>
      <c r="AE36" s="423" t="s">
        <v>22</v>
      </c>
      <c r="AF36" s="423" t="s">
        <v>22</v>
      </c>
      <c r="AG36" s="423" t="s">
        <v>22</v>
      </c>
      <c r="AH36" s="423" t="s">
        <v>22</v>
      </c>
      <c r="AI36" s="424" t="s">
        <v>22</v>
      </c>
      <c r="AJ36" s="424" t="s">
        <v>22</v>
      </c>
      <c r="AK36" s="424" t="s">
        <v>22</v>
      </c>
      <c r="AL36" s="424" t="s">
        <v>22</v>
      </c>
      <c r="AM36" s="424" t="s">
        <v>22</v>
      </c>
      <c r="AN36" s="424" t="s">
        <v>22</v>
      </c>
      <c r="AO36" s="424" t="s">
        <v>22</v>
      </c>
      <c r="AP36" s="424" t="s">
        <v>22</v>
      </c>
      <c r="AQ36" s="424" t="s">
        <v>22</v>
      </c>
      <c r="AR36" s="425" t="s">
        <v>22</v>
      </c>
    </row>
    <row r="37" spans="1:44" s="440" customFormat="1" ht="18" thickBot="1" x14ac:dyDescent="0.35">
      <c r="A37" s="785" t="s">
        <v>518</v>
      </c>
      <c r="B37" s="786"/>
      <c r="C37" s="786"/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6"/>
      <c r="P37" s="786"/>
      <c r="Q37" s="786"/>
      <c r="R37" s="786"/>
      <c r="S37" s="786"/>
      <c r="T37" s="786"/>
      <c r="U37" s="786"/>
      <c r="V37" s="786"/>
      <c r="W37" s="786"/>
      <c r="X37" s="786"/>
      <c r="Y37" s="786"/>
      <c r="Z37" s="786"/>
      <c r="AA37" s="786"/>
      <c r="AB37" s="786"/>
      <c r="AC37" s="786"/>
      <c r="AD37" s="787"/>
      <c r="AE37" s="787"/>
      <c r="AF37" s="787"/>
      <c r="AG37" s="787"/>
      <c r="AH37" s="787"/>
      <c r="AI37" s="787"/>
      <c r="AJ37" s="787"/>
      <c r="AK37" s="787"/>
      <c r="AL37" s="787"/>
      <c r="AM37" s="787"/>
      <c r="AN37" s="787"/>
      <c r="AO37" s="787"/>
      <c r="AP37" s="787"/>
      <c r="AQ37" s="787"/>
      <c r="AR37" s="788"/>
    </row>
    <row r="38" spans="1:44" s="365" customFormat="1" ht="17.25" x14ac:dyDescent="0.3">
      <c r="A38" s="361" t="s">
        <v>515</v>
      </c>
      <c r="B38" s="362"/>
      <c r="C38" s="362"/>
      <c r="D38" s="362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4"/>
      <c r="Y38" s="364"/>
      <c r="Z38" s="364"/>
      <c r="AA38" s="364"/>
      <c r="AB38" s="364"/>
      <c r="AC38" s="789"/>
      <c r="AD38" s="789"/>
      <c r="AE38" s="789"/>
      <c r="AF38" s="789"/>
      <c r="AG38" s="789"/>
      <c r="AH38" s="789"/>
      <c r="AI38" s="789"/>
      <c r="AJ38" s="789"/>
      <c r="AK38" s="789"/>
      <c r="AL38" s="789"/>
      <c r="AM38" s="789"/>
      <c r="AN38" s="789"/>
      <c r="AO38" s="789"/>
      <c r="AP38" s="789"/>
      <c r="AQ38" s="789"/>
      <c r="AR38" s="790"/>
    </row>
    <row r="39" spans="1:44" s="372" customFormat="1" x14ac:dyDescent="0.3">
      <c r="A39" s="366" t="s">
        <v>20</v>
      </c>
      <c r="B39" s="367">
        <v>36368</v>
      </c>
      <c r="C39" s="367">
        <v>36621</v>
      </c>
      <c r="D39" s="367">
        <v>36351</v>
      </c>
      <c r="E39" s="367">
        <v>35483</v>
      </c>
      <c r="F39" s="367">
        <v>34521</v>
      </c>
      <c r="G39" s="367">
        <v>35225</v>
      </c>
      <c r="H39" s="367">
        <v>35950</v>
      </c>
      <c r="I39" s="367">
        <v>36278</v>
      </c>
      <c r="J39" s="367">
        <v>37196</v>
      </c>
      <c r="K39" s="367">
        <v>37954</v>
      </c>
      <c r="L39" s="367">
        <v>38835</v>
      </c>
      <c r="M39" s="367">
        <v>40422</v>
      </c>
      <c r="N39" s="367">
        <v>41964</v>
      </c>
      <c r="O39" s="368">
        <v>43448</v>
      </c>
      <c r="P39" s="368">
        <v>44833</v>
      </c>
      <c r="Q39" s="368">
        <v>45874</v>
      </c>
      <c r="R39" s="368">
        <v>46830</v>
      </c>
      <c r="S39" s="368">
        <v>48787.45</v>
      </c>
      <c r="T39" s="368">
        <v>50056.98</v>
      </c>
      <c r="U39" s="368">
        <v>50645.61299999999</v>
      </c>
      <c r="V39" s="368">
        <v>51025.58</v>
      </c>
      <c r="W39" s="368">
        <v>51459.747000000003</v>
      </c>
      <c r="X39" s="369">
        <v>51218.52</v>
      </c>
      <c r="Y39" s="369">
        <v>51763.55</v>
      </c>
      <c r="Z39" s="369">
        <v>51655.96</v>
      </c>
      <c r="AA39" s="369">
        <v>51387.09</v>
      </c>
      <c r="AB39" s="369">
        <v>51240.160000000003</v>
      </c>
      <c r="AC39" s="369">
        <v>51279.89</v>
      </c>
      <c r="AD39" s="370">
        <v>51248.010000000009</v>
      </c>
      <c r="AE39" s="370">
        <v>49711.119999999995</v>
      </c>
      <c r="AF39" s="370">
        <v>50091.9</v>
      </c>
      <c r="AG39" s="370">
        <v>50315.360000000001</v>
      </c>
      <c r="AH39" s="370">
        <v>51613.409999999996</v>
      </c>
      <c r="AI39" s="407">
        <v>51670.93</v>
      </c>
      <c r="AJ39" s="407">
        <v>52278.670000000006</v>
      </c>
      <c r="AK39" s="407">
        <v>53569.599999999999</v>
      </c>
      <c r="AL39" s="407">
        <v>55427.78</v>
      </c>
      <c r="AM39" s="407">
        <v>57404.12</v>
      </c>
      <c r="AN39" s="407">
        <v>59456.11</v>
      </c>
      <c r="AO39" s="407">
        <v>60500.71</v>
      </c>
      <c r="AP39" s="407">
        <v>61795.87</v>
      </c>
      <c r="AQ39" s="407">
        <v>61863.26</v>
      </c>
      <c r="AR39" s="408">
        <f>+Table3WS2!S25</f>
        <v>61162.84</v>
      </c>
    </row>
    <row r="40" spans="1:44" s="360" customFormat="1" x14ac:dyDescent="0.3">
      <c r="A40" s="373" t="s">
        <v>430</v>
      </c>
      <c r="B40" s="374">
        <v>18478</v>
      </c>
      <c r="C40" s="374">
        <v>20220</v>
      </c>
      <c r="D40" s="375">
        <v>22700</v>
      </c>
      <c r="E40" s="375">
        <v>24404</v>
      </c>
      <c r="F40" s="375">
        <v>24935</v>
      </c>
      <c r="G40" s="375">
        <v>25931</v>
      </c>
      <c r="H40" s="375">
        <v>27110</v>
      </c>
      <c r="I40" s="375">
        <v>27856</v>
      </c>
      <c r="J40" s="375">
        <v>28958</v>
      </c>
      <c r="K40" s="375">
        <v>29958</v>
      </c>
      <c r="L40" s="375">
        <v>31031</v>
      </c>
      <c r="M40" s="375">
        <v>32351</v>
      </c>
      <c r="N40" s="375">
        <v>35098</v>
      </c>
      <c r="O40" s="258">
        <v>36953</v>
      </c>
      <c r="P40" s="258">
        <v>37959</v>
      </c>
      <c r="Q40" s="258">
        <v>38040</v>
      </c>
      <c r="R40" s="258">
        <v>38362</v>
      </c>
      <c r="S40" s="258">
        <v>40132</v>
      </c>
      <c r="T40" s="258">
        <v>40126.337331377144</v>
      </c>
      <c r="U40" s="258">
        <v>41189.390183140626</v>
      </c>
      <c r="V40" s="258">
        <v>41153</v>
      </c>
      <c r="W40" s="258">
        <v>43652.759466540003</v>
      </c>
      <c r="X40" s="376">
        <v>45030</v>
      </c>
      <c r="Y40" s="377">
        <v>46731.509935466165</v>
      </c>
      <c r="Z40" s="377">
        <v>48212.34840045563</v>
      </c>
      <c r="AA40" s="377">
        <v>48579.079229043724</v>
      </c>
      <c r="AB40" s="377">
        <v>48896.624859485244</v>
      </c>
      <c r="AC40" s="377">
        <v>49629.995075067425</v>
      </c>
      <c r="AD40" s="378">
        <v>51296.104453031432</v>
      </c>
      <c r="AE40" s="378">
        <v>53632.453052355289</v>
      </c>
      <c r="AF40" s="378">
        <v>56449.296264088844</v>
      </c>
      <c r="AG40" s="378">
        <v>56722.824756799047</v>
      </c>
      <c r="AH40" s="378">
        <v>56579.433284851075</v>
      </c>
      <c r="AI40" s="377">
        <v>56064.898306495234</v>
      </c>
      <c r="AJ40" s="377">
        <v>56143.315837233909</v>
      </c>
      <c r="AK40" s="377">
        <v>57027</v>
      </c>
      <c r="AL40" s="377">
        <v>56788.336823159814</v>
      </c>
      <c r="AM40" s="377">
        <v>58291.904999045386</v>
      </c>
      <c r="AN40" s="377">
        <v>59265.202120790564</v>
      </c>
      <c r="AO40" s="377">
        <v>60894.053207108984</v>
      </c>
      <c r="AP40" s="377">
        <v>77617.007755533225</v>
      </c>
      <c r="AQ40" s="377">
        <v>81527.910962424896</v>
      </c>
      <c r="AR40" s="379">
        <f>+Table3WS2!R77</f>
        <v>84491.577433436265</v>
      </c>
    </row>
    <row r="41" spans="1:44" s="386" customFormat="1" ht="16.5" hidden="1" customHeight="1" x14ac:dyDescent="0.3">
      <c r="A41" s="380" t="s">
        <v>21</v>
      </c>
      <c r="B41" s="381">
        <v>1.585</v>
      </c>
      <c r="C41" s="381">
        <v>1.5980000000000001</v>
      </c>
      <c r="D41" s="381">
        <v>1.619</v>
      </c>
      <c r="E41" s="381">
        <v>1.645</v>
      </c>
      <c r="F41" s="381">
        <v>1.657</v>
      </c>
      <c r="G41" s="381">
        <v>1.661</v>
      </c>
      <c r="H41" s="381">
        <v>1.6659999999999999</v>
      </c>
      <c r="I41" s="381">
        <v>1.675</v>
      </c>
      <c r="J41" s="381">
        <v>1.681</v>
      </c>
      <c r="K41" s="381">
        <v>1.6859999999999999</v>
      </c>
      <c r="L41" s="381">
        <v>1.6970000000000001</v>
      </c>
      <c r="M41" s="381">
        <v>1.698</v>
      </c>
      <c r="N41" s="381">
        <v>1.708</v>
      </c>
      <c r="O41" s="382" t="s">
        <v>431</v>
      </c>
      <c r="P41" s="382" t="s">
        <v>431</v>
      </c>
      <c r="Q41" s="382" t="s">
        <v>431</v>
      </c>
      <c r="R41" s="382" t="s">
        <v>431</v>
      </c>
      <c r="S41" s="382" t="s">
        <v>431</v>
      </c>
      <c r="T41" s="382" t="s">
        <v>431</v>
      </c>
      <c r="U41" s="382" t="s">
        <v>431</v>
      </c>
      <c r="V41" s="382" t="s">
        <v>431</v>
      </c>
      <c r="W41" s="382" t="s">
        <v>431</v>
      </c>
      <c r="X41" s="382" t="s">
        <v>431</v>
      </c>
      <c r="Y41" s="382" t="s">
        <v>431</v>
      </c>
      <c r="Z41" s="382" t="s">
        <v>431</v>
      </c>
      <c r="AA41" s="382" t="s">
        <v>431</v>
      </c>
      <c r="AB41" s="382" t="s">
        <v>431</v>
      </c>
      <c r="AC41" s="382" t="s">
        <v>431</v>
      </c>
      <c r="AD41" s="383" t="s">
        <v>431</v>
      </c>
      <c r="AE41" s="383" t="s">
        <v>431</v>
      </c>
      <c r="AF41" s="383" t="s">
        <v>431</v>
      </c>
      <c r="AG41" s="383" t="s">
        <v>431</v>
      </c>
      <c r="AH41" s="383" t="s">
        <v>431</v>
      </c>
      <c r="AI41" s="384" t="s">
        <v>431</v>
      </c>
      <c r="AJ41" s="384" t="s">
        <v>431</v>
      </c>
      <c r="AK41" s="384" t="s">
        <v>431</v>
      </c>
      <c r="AL41" s="384" t="s">
        <v>431</v>
      </c>
      <c r="AM41" s="384" t="s">
        <v>431</v>
      </c>
      <c r="AN41" s="384" t="s">
        <v>431</v>
      </c>
      <c r="AO41" s="384" t="s">
        <v>431</v>
      </c>
      <c r="AP41" s="384" t="s">
        <v>431</v>
      </c>
      <c r="AQ41" s="384" t="s">
        <v>431</v>
      </c>
      <c r="AR41" s="385" t="s">
        <v>431</v>
      </c>
    </row>
    <row r="42" spans="1:44" s="386" customFormat="1" ht="16.5" hidden="1" customHeight="1" x14ac:dyDescent="0.3">
      <c r="A42" s="380" t="s">
        <v>23</v>
      </c>
      <c r="B42" s="381" t="s">
        <v>431</v>
      </c>
      <c r="C42" s="381" t="s">
        <v>431</v>
      </c>
      <c r="D42" s="381" t="s">
        <v>431</v>
      </c>
      <c r="E42" s="381" t="s">
        <v>431</v>
      </c>
      <c r="F42" s="381" t="s">
        <v>431</v>
      </c>
      <c r="G42" s="381" t="s">
        <v>431</v>
      </c>
      <c r="H42" s="381" t="s">
        <v>431</v>
      </c>
      <c r="I42" s="381" t="s">
        <v>431</v>
      </c>
      <c r="J42" s="381" t="s">
        <v>431</v>
      </c>
      <c r="K42" s="381" t="s">
        <v>431</v>
      </c>
      <c r="L42" s="381" t="s">
        <v>431</v>
      </c>
      <c r="M42" s="381" t="s">
        <v>431</v>
      </c>
      <c r="N42" s="381">
        <v>1.6879999999999999</v>
      </c>
      <c r="O42" s="388">
        <v>1.7050000000000001</v>
      </c>
      <c r="P42" s="388">
        <v>1.6950000000000001</v>
      </c>
      <c r="Q42" s="388">
        <v>1.702</v>
      </c>
      <c r="R42" s="388">
        <v>1.708</v>
      </c>
      <c r="S42" s="388">
        <v>1.7192000000000001</v>
      </c>
      <c r="T42" s="388">
        <v>1.7183324039424666</v>
      </c>
      <c r="U42" s="388">
        <v>1.7172092056503425</v>
      </c>
      <c r="V42" s="388">
        <v>1.7130000000000001</v>
      </c>
      <c r="W42" s="398" t="s">
        <v>431</v>
      </c>
      <c r="X42" s="398" t="s">
        <v>431</v>
      </c>
      <c r="Y42" s="394" t="s">
        <v>431</v>
      </c>
      <c r="Z42" s="394" t="s">
        <v>431</v>
      </c>
      <c r="AA42" s="394" t="s">
        <v>431</v>
      </c>
      <c r="AB42" s="394" t="s">
        <v>431</v>
      </c>
      <c r="AC42" s="394" t="s">
        <v>431</v>
      </c>
      <c r="AD42" s="395" t="s">
        <v>431</v>
      </c>
      <c r="AE42" s="395" t="s">
        <v>431</v>
      </c>
      <c r="AF42" s="395" t="s">
        <v>431</v>
      </c>
      <c r="AG42" s="395" t="s">
        <v>431</v>
      </c>
      <c r="AH42" s="395" t="s">
        <v>431</v>
      </c>
      <c r="AI42" s="396" t="s">
        <v>431</v>
      </c>
      <c r="AJ42" s="396" t="s">
        <v>431</v>
      </c>
      <c r="AK42" s="396" t="s">
        <v>431</v>
      </c>
      <c r="AL42" s="396" t="s">
        <v>431</v>
      </c>
      <c r="AM42" s="396" t="s">
        <v>431</v>
      </c>
      <c r="AN42" s="396" t="s">
        <v>431</v>
      </c>
      <c r="AO42" s="396" t="s">
        <v>431</v>
      </c>
      <c r="AP42" s="396" t="s">
        <v>431</v>
      </c>
      <c r="AQ42" s="396" t="s">
        <v>431</v>
      </c>
      <c r="AR42" s="397" t="s">
        <v>431</v>
      </c>
    </row>
    <row r="43" spans="1:44" s="386" customFormat="1" ht="16.5" hidden="1" customHeight="1" x14ac:dyDescent="0.3">
      <c r="A43" s="380" t="s">
        <v>201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388" t="s">
        <v>431</v>
      </c>
      <c r="P43" s="388" t="s">
        <v>431</v>
      </c>
      <c r="Q43" s="388" t="s">
        <v>431</v>
      </c>
      <c r="R43" s="388" t="s">
        <v>431</v>
      </c>
      <c r="S43" s="388" t="s">
        <v>431</v>
      </c>
      <c r="T43" s="398" t="s">
        <v>431</v>
      </c>
      <c r="U43" s="398" t="s">
        <v>431</v>
      </c>
      <c r="V43" s="398" t="s">
        <v>431</v>
      </c>
      <c r="W43" s="388">
        <v>1.622134581348551</v>
      </c>
      <c r="X43" s="393">
        <v>1.62168</v>
      </c>
      <c r="Y43" s="393">
        <v>1.6204023234341534</v>
      </c>
      <c r="Z43" s="393">
        <v>1.620278921049962</v>
      </c>
      <c r="AA43" s="394" t="s">
        <v>431</v>
      </c>
      <c r="AB43" s="394" t="s">
        <v>431</v>
      </c>
      <c r="AC43" s="394" t="s">
        <v>431</v>
      </c>
      <c r="AD43" s="395" t="s">
        <v>431</v>
      </c>
      <c r="AE43" s="395" t="s">
        <v>431</v>
      </c>
      <c r="AF43" s="395" t="s">
        <v>431</v>
      </c>
      <c r="AG43" s="395" t="s">
        <v>431</v>
      </c>
      <c r="AH43" s="395" t="s">
        <v>431</v>
      </c>
      <c r="AI43" s="396" t="s">
        <v>431</v>
      </c>
      <c r="AJ43" s="396" t="s">
        <v>431</v>
      </c>
      <c r="AK43" s="396" t="s">
        <v>431</v>
      </c>
      <c r="AL43" s="396" t="s">
        <v>431</v>
      </c>
      <c r="AM43" s="396" t="s">
        <v>431</v>
      </c>
      <c r="AN43" s="396" t="s">
        <v>431</v>
      </c>
      <c r="AO43" s="396" t="s">
        <v>431</v>
      </c>
      <c r="AP43" s="396" t="s">
        <v>431</v>
      </c>
      <c r="AQ43" s="396" t="s">
        <v>431</v>
      </c>
      <c r="AR43" s="397" t="s">
        <v>431</v>
      </c>
    </row>
    <row r="44" spans="1:44" s="386" customFormat="1" ht="16.5" hidden="1" customHeight="1" x14ac:dyDescent="0.3">
      <c r="A44" s="380" t="s">
        <v>319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388" t="s">
        <v>431</v>
      </c>
      <c r="P44" s="388" t="s">
        <v>431</v>
      </c>
      <c r="Q44" s="388" t="s">
        <v>431</v>
      </c>
      <c r="R44" s="388" t="s">
        <v>431</v>
      </c>
      <c r="S44" s="388" t="s">
        <v>431</v>
      </c>
      <c r="T44" s="398" t="s">
        <v>431</v>
      </c>
      <c r="U44" s="398" t="s">
        <v>431</v>
      </c>
      <c r="V44" s="398" t="s">
        <v>431</v>
      </c>
      <c r="W44" s="398" t="s">
        <v>431</v>
      </c>
      <c r="X44" s="394" t="s">
        <v>431</v>
      </c>
      <c r="Y44" s="394" t="s">
        <v>431</v>
      </c>
      <c r="Z44" s="394" t="s">
        <v>431</v>
      </c>
      <c r="AA44" s="393">
        <v>1.5832708946994281</v>
      </c>
      <c r="AB44" s="394" t="s">
        <v>431</v>
      </c>
      <c r="AC44" s="394" t="s">
        <v>431</v>
      </c>
      <c r="AD44" s="395" t="s">
        <v>431</v>
      </c>
      <c r="AE44" s="395" t="s">
        <v>431</v>
      </c>
      <c r="AF44" s="395" t="s">
        <v>431</v>
      </c>
      <c r="AG44" s="395" t="s">
        <v>431</v>
      </c>
      <c r="AH44" s="395" t="s">
        <v>431</v>
      </c>
      <c r="AI44" s="396" t="s">
        <v>431</v>
      </c>
      <c r="AJ44" s="396" t="s">
        <v>431</v>
      </c>
      <c r="AK44" s="396" t="s">
        <v>431</v>
      </c>
      <c r="AL44" s="396" t="s">
        <v>431</v>
      </c>
      <c r="AM44" s="396" t="s">
        <v>431</v>
      </c>
      <c r="AN44" s="396" t="s">
        <v>431</v>
      </c>
      <c r="AO44" s="396" t="s">
        <v>431</v>
      </c>
      <c r="AP44" s="396" t="s">
        <v>431</v>
      </c>
      <c r="AQ44" s="396" t="s">
        <v>431</v>
      </c>
      <c r="AR44" s="397" t="s">
        <v>431</v>
      </c>
    </row>
    <row r="45" spans="1:44" s="386" customFormat="1" x14ac:dyDescent="0.3">
      <c r="A45" s="380" t="s">
        <v>551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388" t="s">
        <v>431</v>
      </c>
      <c r="P45" s="388" t="s">
        <v>431</v>
      </c>
      <c r="Q45" s="388" t="s">
        <v>431</v>
      </c>
      <c r="R45" s="388" t="s">
        <v>431</v>
      </c>
      <c r="S45" s="388" t="s">
        <v>431</v>
      </c>
      <c r="T45" s="398" t="s">
        <v>431</v>
      </c>
      <c r="U45" s="398" t="s">
        <v>431</v>
      </c>
      <c r="V45" s="398" t="s">
        <v>431</v>
      </c>
      <c r="W45" s="398" t="s">
        <v>431</v>
      </c>
      <c r="X45" s="394" t="s">
        <v>431</v>
      </c>
      <c r="Y45" s="394" t="s">
        <v>431</v>
      </c>
      <c r="Z45" s="394" t="s">
        <v>431</v>
      </c>
      <c r="AA45" s="394" t="s">
        <v>431</v>
      </c>
      <c r="AB45" s="393">
        <v>1.5439082267522193</v>
      </c>
      <c r="AC45" s="393">
        <v>1.5441866988521229</v>
      </c>
      <c r="AD45" s="399">
        <v>1.5423267741244975</v>
      </c>
      <c r="AE45" s="399">
        <v>1.5424945080155101</v>
      </c>
      <c r="AF45" s="399">
        <v>1.5486892181135756</v>
      </c>
      <c r="AG45" s="399">
        <v>1.5675559222933579</v>
      </c>
      <c r="AH45" s="399">
        <v>1.572384943308317</v>
      </c>
      <c r="AI45" s="400">
        <v>1.5824412384405548</v>
      </c>
      <c r="AJ45" s="400">
        <v>1.5826339930334923</v>
      </c>
      <c r="AK45" s="400">
        <v>1.575</v>
      </c>
      <c r="AL45" s="400">
        <v>1.5618685361979141</v>
      </c>
      <c r="AM45" s="400">
        <v>1.5508877459595263</v>
      </c>
      <c r="AN45" s="400">
        <v>1.5438774418297987</v>
      </c>
      <c r="AO45" s="400">
        <v>1.5417860222129478</v>
      </c>
      <c r="AP45" s="556" t="s">
        <v>549</v>
      </c>
      <c r="AQ45" s="556" t="s">
        <v>549</v>
      </c>
      <c r="AR45" s="557" t="s">
        <v>549</v>
      </c>
    </row>
    <row r="46" spans="1:44" s="360" customFormat="1" ht="17.25" thickBot="1" x14ac:dyDescent="0.35">
      <c r="A46" s="401" t="s">
        <v>24</v>
      </c>
      <c r="B46" s="402">
        <v>11656</v>
      </c>
      <c r="C46" s="402">
        <v>12656</v>
      </c>
      <c r="D46" s="403">
        <v>14025</v>
      </c>
      <c r="E46" s="403">
        <v>14839</v>
      </c>
      <c r="F46" s="403">
        <v>15051</v>
      </c>
      <c r="G46" s="403">
        <v>15616</v>
      </c>
      <c r="H46" s="403">
        <v>16275</v>
      </c>
      <c r="I46" s="403">
        <v>16626</v>
      </c>
      <c r="J46" s="403">
        <v>17228</v>
      </c>
      <c r="K46" s="403">
        <v>17765</v>
      </c>
      <c r="L46" s="403">
        <v>18287</v>
      </c>
      <c r="M46" s="403">
        <v>19056</v>
      </c>
      <c r="N46" s="403">
        <v>19596</v>
      </c>
      <c r="O46" s="404">
        <v>21676</v>
      </c>
      <c r="P46" s="404">
        <v>22389</v>
      </c>
      <c r="Q46" s="404">
        <v>22353</v>
      </c>
      <c r="R46" s="404">
        <v>22458</v>
      </c>
      <c r="S46" s="404">
        <v>23344</v>
      </c>
      <c r="T46" s="404">
        <v>23351.906324592979</v>
      </c>
      <c r="U46" s="404">
        <v>23986.238862224916</v>
      </c>
      <c r="V46" s="404">
        <v>24025</v>
      </c>
      <c r="W46" s="415">
        <f>+W40/W43</f>
        <v>26910.689142851246</v>
      </c>
      <c r="X46" s="415">
        <f>+X40/X43</f>
        <v>27767.500369986679</v>
      </c>
      <c r="Y46" s="377">
        <f>+Y40/Y43</f>
        <v>28839.44885763128</v>
      </c>
      <c r="Z46" s="377">
        <f>+Z40/Z43</f>
        <v>29755.585766192278</v>
      </c>
      <c r="AA46" s="377">
        <f>+AA40/AA44</f>
        <v>30682.733694960072</v>
      </c>
      <c r="AB46" s="377">
        <f t="shared" ref="AB46:AH46" si="3">+AB40/AB45</f>
        <v>31670.680946071952</v>
      </c>
      <c r="AC46" s="377">
        <f t="shared" si="3"/>
        <v>32139.892871736345</v>
      </c>
      <c r="AD46" s="377">
        <f t="shared" si="3"/>
        <v>33258.908107945987</v>
      </c>
      <c r="AE46" s="377">
        <f t="shared" si="3"/>
        <v>34769.94749326913</v>
      </c>
      <c r="AF46" s="377">
        <f t="shared" si="3"/>
        <v>36449.72509904117</v>
      </c>
      <c r="AG46" s="377">
        <f t="shared" si="3"/>
        <v>36185.519093834111</v>
      </c>
      <c r="AH46" s="377">
        <f t="shared" si="3"/>
        <v>35983.194526021893</v>
      </c>
      <c r="AI46" s="377">
        <f>+AI40/AI45</f>
        <v>35429.371369103974</v>
      </c>
      <c r="AJ46" s="377">
        <f>+AJ40/AJ45</f>
        <v>35474.605047261728</v>
      </c>
      <c r="AK46" s="377">
        <v>36219</v>
      </c>
      <c r="AL46" s="377">
        <v>36359.229670763925</v>
      </c>
      <c r="AM46" s="377">
        <v>37586.153576176774</v>
      </c>
      <c r="AN46" s="377">
        <v>38387.245331177088</v>
      </c>
      <c r="AO46" s="377">
        <v>39495.787567010673</v>
      </c>
      <c r="AP46" s="560" t="s">
        <v>549</v>
      </c>
      <c r="AQ46" s="560" t="s">
        <v>549</v>
      </c>
      <c r="AR46" s="562" t="s">
        <v>549</v>
      </c>
    </row>
    <row r="47" spans="1:44" s="365" customFormat="1" ht="17.25" x14ac:dyDescent="0.3">
      <c r="A47" s="361" t="s">
        <v>516</v>
      </c>
      <c r="B47" s="362"/>
      <c r="C47" s="362"/>
      <c r="D47" s="362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4"/>
      <c r="Y47" s="364"/>
      <c r="Z47" s="364"/>
      <c r="AA47" s="364"/>
      <c r="AB47" s="364"/>
      <c r="AC47" s="789"/>
      <c r="AD47" s="789"/>
      <c r="AE47" s="789"/>
      <c r="AF47" s="789"/>
      <c r="AG47" s="789"/>
      <c r="AH47" s="789"/>
      <c r="AI47" s="789"/>
      <c r="AJ47" s="789"/>
      <c r="AK47" s="789"/>
      <c r="AL47" s="789"/>
      <c r="AM47" s="789"/>
      <c r="AN47" s="789"/>
      <c r="AO47" s="789"/>
      <c r="AP47" s="789"/>
      <c r="AQ47" s="789"/>
      <c r="AR47" s="790"/>
    </row>
    <row r="48" spans="1:44" s="372" customFormat="1" x14ac:dyDescent="0.3">
      <c r="A48" s="366" t="s">
        <v>20</v>
      </c>
      <c r="B48" s="367">
        <v>2987</v>
      </c>
      <c r="C48" s="367">
        <v>3030</v>
      </c>
      <c r="D48" s="367">
        <v>3047</v>
      </c>
      <c r="E48" s="367">
        <v>2876</v>
      </c>
      <c r="F48" s="367">
        <v>2773</v>
      </c>
      <c r="G48" s="367">
        <v>2814</v>
      </c>
      <c r="H48" s="367">
        <v>2901</v>
      </c>
      <c r="I48" s="367">
        <v>2896</v>
      </c>
      <c r="J48" s="367">
        <v>2849</v>
      </c>
      <c r="K48" s="367">
        <v>2876</v>
      </c>
      <c r="L48" s="367">
        <v>2913</v>
      </c>
      <c r="M48" s="367">
        <v>2937</v>
      </c>
      <c r="N48" s="367">
        <v>3023</v>
      </c>
      <c r="O48" s="368">
        <v>3056</v>
      </c>
      <c r="P48" s="368">
        <v>3115</v>
      </c>
      <c r="Q48" s="368">
        <v>3125</v>
      </c>
      <c r="R48" s="368">
        <v>3186</v>
      </c>
      <c r="S48" s="368">
        <v>3208.26</v>
      </c>
      <c r="T48" s="368">
        <v>3277.59</v>
      </c>
      <c r="U48" s="368">
        <v>3336.76</v>
      </c>
      <c r="V48" s="368">
        <v>3368.39</v>
      </c>
      <c r="W48" s="368">
        <v>3409.5789999999997</v>
      </c>
      <c r="X48" s="369">
        <v>3414.67</v>
      </c>
      <c r="Y48" s="369">
        <v>3467.45</v>
      </c>
      <c r="Z48" s="369">
        <v>3493.94</v>
      </c>
      <c r="AA48" s="369">
        <v>3504.77</v>
      </c>
      <c r="AB48" s="369">
        <v>3531.64</v>
      </c>
      <c r="AC48" s="369">
        <v>3594.35</v>
      </c>
      <c r="AD48" s="370">
        <v>3557.94</v>
      </c>
      <c r="AE48" s="370">
        <v>3613.12</v>
      </c>
      <c r="AF48" s="370">
        <v>3617.0099999999998</v>
      </c>
      <c r="AG48" s="370">
        <v>3402.4999999999995</v>
      </c>
      <c r="AH48" s="370">
        <v>3402.9599999999996</v>
      </c>
      <c r="AI48" s="407">
        <v>3483.98</v>
      </c>
      <c r="AJ48" s="407">
        <v>3571.8299999999995</v>
      </c>
      <c r="AK48" s="407">
        <v>3703.6</v>
      </c>
      <c r="AL48" s="407">
        <v>3899.6899999999996</v>
      </c>
      <c r="AM48" s="407">
        <v>4112.33</v>
      </c>
      <c r="AN48" s="407">
        <v>4328.3099999999995</v>
      </c>
      <c r="AO48" s="407">
        <v>4433.3399999999992</v>
      </c>
      <c r="AP48" s="407">
        <v>4530.6000000000004</v>
      </c>
      <c r="AQ48" s="407">
        <v>4476.29</v>
      </c>
      <c r="AR48" s="408">
        <f>+Table3WS2!S5</f>
        <v>4486.21</v>
      </c>
    </row>
    <row r="49" spans="1:44" s="360" customFormat="1" x14ac:dyDescent="0.3">
      <c r="A49" s="373" t="s">
        <v>430</v>
      </c>
      <c r="B49" s="374">
        <v>27972</v>
      </c>
      <c r="C49" s="374">
        <v>30509</v>
      </c>
      <c r="D49" s="375">
        <v>34025</v>
      </c>
      <c r="E49" s="375">
        <v>36484</v>
      </c>
      <c r="F49" s="375">
        <v>37047</v>
      </c>
      <c r="G49" s="375">
        <v>38847</v>
      </c>
      <c r="H49" s="375">
        <v>40568</v>
      </c>
      <c r="I49" s="375">
        <v>41995</v>
      </c>
      <c r="J49" s="375">
        <v>44123</v>
      </c>
      <c r="K49" s="375">
        <v>46476</v>
      </c>
      <c r="L49" s="375">
        <v>48837</v>
      </c>
      <c r="M49" s="375">
        <v>51573</v>
      </c>
      <c r="N49" s="375">
        <v>55550</v>
      </c>
      <c r="O49" s="258">
        <v>59064</v>
      </c>
      <c r="P49" s="258">
        <v>61574</v>
      </c>
      <c r="Q49" s="258">
        <v>61887</v>
      </c>
      <c r="R49" s="258">
        <v>62576</v>
      </c>
      <c r="S49" s="258">
        <v>66040</v>
      </c>
      <c r="T49" s="258">
        <v>66639</v>
      </c>
      <c r="U49" s="258">
        <v>68951</v>
      </c>
      <c r="V49" s="258">
        <v>69732</v>
      </c>
      <c r="W49" s="258">
        <v>73383.052277128634</v>
      </c>
      <c r="X49" s="376">
        <v>76545.789999999994</v>
      </c>
      <c r="Y49" s="377">
        <v>80038.009935255017</v>
      </c>
      <c r="Z49" s="377">
        <v>83394.37028970159</v>
      </c>
      <c r="AA49" s="377">
        <v>84016.251408794298</v>
      </c>
      <c r="AB49" s="377">
        <v>85000.64136491828</v>
      </c>
      <c r="AC49" s="377">
        <v>87228.964004618363</v>
      </c>
      <c r="AD49" s="378">
        <v>91431.966151761982</v>
      </c>
      <c r="AE49" s="378">
        <v>95739.814049907029</v>
      </c>
      <c r="AF49" s="378">
        <v>100510.0725986381</v>
      </c>
      <c r="AG49" s="378">
        <v>102198.06408229242</v>
      </c>
      <c r="AH49" s="378">
        <v>102673.18798634132</v>
      </c>
      <c r="AI49" s="377">
        <v>102979.13485439066</v>
      </c>
      <c r="AJ49" s="377">
        <v>103444.30605879899</v>
      </c>
      <c r="AK49" s="377">
        <v>105754</v>
      </c>
      <c r="AL49" s="377">
        <v>107895.05164256645</v>
      </c>
      <c r="AM49" s="377">
        <v>112553.93320331782</v>
      </c>
      <c r="AN49" s="377">
        <v>115887.0051729197</v>
      </c>
      <c r="AO49" s="377">
        <v>121894.01348870154</v>
      </c>
      <c r="AP49" s="377">
        <v>127671</v>
      </c>
      <c r="AQ49" s="377">
        <v>135841</v>
      </c>
      <c r="AR49" s="379">
        <f>+Table3WS2!S55</f>
        <v>140987</v>
      </c>
    </row>
    <row r="50" spans="1:44" s="386" customFormat="1" ht="16.5" hidden="1" customHeight="1" x14ac:dyDescent="0.3">
      <c r="A50" s="380" t="s">
        <v>21</v>
      </c>
      <c r="B50" s="381">
        <v>1.889</v>
      </c>
      <c r="C50" s="381">
        <v>1.901</v>
      </c>
      <c r="D50" s="381">
        <v>1.9079999999999999</v>
      </c>
      <c r="E50" s="381">
        <v>1.93</v>
      </c>
      <c r="F50" s="381">
        <v>1.9370000000000001</v>
      </c>
      <c r="G50" s="381">
        <v>1.9430000000000001</v>
      </c>
      <c r="H50" s="381">
        <v>1.948</v>
      </c>
      <c r="I50" s="381">
        <v>1.9570000000000001</v>
      </c>
      <c r="J50" s="381">
        <v>1.968</v>
      </c>
      <c r="K50" s="381">
        <v>1.9710000000000001</v>
      </c>
      <c r="L50" s="381">
        <v>1.97</v>
      </c>
      <c r="M50" s="381">
        <v>1.972</v>
      </c>
      <c r="N50" s="381">
        <v>1.9750000000000001</v>
      </c>
      <c r="O50" s="382" t="s">
        <v>431</v>
      </c>
      <c r="P50" s="382" t="s">
        <v>431</v>
      </c>
      <c r="Q50" s="382" t="s">
        <v>431</v>
      </c>
      <c r="R50" s="382" t="s">
        <v>431</v>
      </c>
      <c r="S50" s="382" t="s">
        <v>431</v>
      </c>
      <c r="T50" s="382" t="s">
        <v>431</v>
      </c>
      <c r="U50" s="382" t="s">
        <v>431</v>
      </c>
      <c r="V50" s="382" t="s">
        <v>431</v>
      </c>
      <c r="W50" s="382" t="s">
        <v>431</v>
      </c>
      <c r="X50" s="382" t="s">
        <v>431</v>
      </c>
      <c r="Y50" s="382" t="s">
        <v>431</v>
      </c>
      <c r="Z50" s="382" t="s">
        <v>431</v>
      </c>
      <c r="AA50" s="382" t="s">
        <v>431</v>
      </c>
      <c r="AB50" s="382" t="s">
        <v>431</v>
      </c>
      <c r="AC50" s="382" t="s">
        <v>431</v>
      </c>
      <c r="AD50" s="383" t="s">
        <v>431</v>
      </c>
      <c r="AE50" s="383" t="s">
        <v>431</v>
      </c>
      <c r="AF50" s="383" t="s">
        <v>431</v>
      </c>
      <c r="AG50" s="383" t="s">
        <v>431</v>
      </c>
      <c r="AH50" s="383" t="s">
        <v>431</v>
      </c>
      <c r="AI50" s="384" t="s">
        <v>431</v>
      </c>
      <c r="AJ50" s="384" t="s">
        <v>431</v>
      </c>
      <c r="AK50" s="384" t="s">
        <v>431</v>
      </c>
      <c r="AL50" s="384" t="s">
        <v>431</v>
      </c>
      <c r="AM50" s="384" t="s">
        <v>431</v>
      </c>
      <c r="AN50" s="384" t="s">
        <v>431</v>
      </c>
      <c r="AO50" s="384" t="s">
        <v>431</v>
      </c>
      <c r="AP50" s="384" t="s">
        <v>431</v>
      </c>
      <c r="AQ50" s="384" t="s">
        <v>431</v>
      </c>
      <c r="AR50" s="385" t="s">
        <v>431</v>
      </c>
    </row>
    <row r="51" spans="1:44" s="386" customFormat="1" ht="16.5" hidden="1" customHeight="1" x14ac:dyDescent="0.3">
      <c r="A51" s="380" t="s">
        <v>23</v>
      </c>
      <c r="B51" s="381" t="s">
        <v>431</v>
      </c>
      <c r="C51" s="381" t="s">
        <v>431</v>
      </c>
      <c r="D51" s="381" t="s">
        <v>431</v>
      </c>
      <c r="E51" s="381" t="s">
        <v>431</v>
      </c>
      <c r="F51" s="381" t="s">
        <v>431</v>
      </c>
      <c r="G51" s="381" t="s">
        <v>431</v>
      </c>
      <c r="H51" s="381" t="s">
        <v>431</v>
      </c>
      <c r="I51" s="381" t="s">
        <v>431</v>
      </c>
      <c r="J51" s="381" t="s">
        <v>431</v>
      </c>
      <c r="K51" s="381" t="s">
        <v>431</v>
      </c>
      <c r="L51" s="381" t="s">
        <v>431</v>
      </c>
      <c r="M51" s="381" t="s">
        <v>431</v>
      </c>
      <c r="N51" s="381">
        <v>1.946</v>
      </c>
      <c r="O51" s="388">
        <v>1.95</v>
      </c>
      <c r="P51" s="388">
        <v>1.952</v>
      </c>
      <c r="Q51" s="388">
        <v>1.954</v>
      </c>
      <c r="R51" s="388">
        <v>1.956</v>
      </c>
      <c r="S51" s="388">
        <v>1.9567699999999999</v>
      </c>
      <c r="T51" s="388">
        <v>1.9579</v>
      </c>
      <c r="U51" s="388">
        <v>1.94913</v>
      </c>
      <c r="V51" s="388">
        <v>1.948</v>
      </c>
      <c r="W51" s="398" t="s">
        <v>431</v>
      </c>
      <c r="X51" s="398" t="s">
        <v>431</v>
      </c>
      <c r="Y51" s="394" t="s">
        <v>431</v>
      </c>
      <c r="Z51" s="394" t="s">
        <v>431</v>
      </c>
      <c r="AA51" s="394" t="s">
        <v>431</v>
      </c>
      <c r="AB51" s="394" t="s">
        <v>431</v>
      </c>
      <c r="AC51" s="394" t="s">
        <v>431</v>
      </c>
      <c r="AD51" s="395" t="s">
        <v>431</v>
      </c>
      <c r="AE51" s="395" t="s">
        <v>431</v>
      </c>
      <c r="AF51" s="395" t="s">
        <v>431</v>
      </c>
      <c r="AG51" s="395" t="s">
        <v>431</v>
      </c>
      <c r="AH51" s="395" t="s">
        <v>431</v>
      </c>
      <c r="AI51" s="396" t="s">
        <v>431</v>
      </c>
      <c r="AJ51" s="396" t="s">
        <v>431</v>
      </c>
      <c r="AK51" s="396" t="s">
        <v>431</v>
      </c>
      <c r="AL51" s="396" t="s">
        <v>431</v>
      </c>
      <c r="AM51" s="396" t="s">
        <v>431</v>
      </c>
      <c r="AN51" s="396" t="s">
        <v>431</v>
      </c>
      <c r="AO51" s="396" t="s">
        <v>431</v>
      </c>
      <c r="AP51" s="396" t="s">
        <v>431</v>
      </c>
      <c r="AQ51" s="396" t="s">
        <v>431</v>
      </c>
      <c r="AR51" s="397" t="s">
        <v>431</v>
      </c>
    </row>
    <row r="52" spans="1:44" s="386" customFormat="1" ht="16.5" hidden="1" customHeight="1" x14ac:dyDescent="0.3">
      <c r="A52" s="380" t="s">
        <v>201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388" t="s">
        <v>431</v>
      </c>
      <c r="P52" s="388" t="s">
        <v>431</v>
      </c>
      <c r="Q52" s="388" t="s">
        <v>431</v>
      </c>
      <c r="R52" s="388" t="s">
        <v>431</v>
      </c>
      <c r="S52" s="388" t="s">
        <v>431</v>
      </c>
      <c r="T52" s="398" t="s">
        <v>431</v>
      </c>
      <c r="U52" s="398" t="s">
        <v>431</v>
      </c>
      <c r="V52" s="398" t="s">
        <v>431</v>
      </c>
      <c r="W52" s="388">
        <v>1.8387503685821691</v>
      </c>
      <c r="X52" s="393">
        <v>1.82724</v>
      </c>
      <c r="Y52" s="393">
        <v>1.8113949314626021</v>
      </c>
      <c r="Z52" s="393">
        <v>1.8148687414494811</v>
      </c>
      <c r="AA52" s="394" t="s">
        <v>431</v>
      </c>
      <c r="AB52" s="394" t="s">
        <v>431</v>
      </c>
      <c r="AC52" s="394" t="s">
        <v>431</v>
      </c>
      <c r="AD52" s="395" t="s">
        <v>431</v>
      </c>
      <c r="AE52" s="395" t="s">
        <v>431</v>
      </c>
      <c r="AF52" s="395" t="s">
        <v>431</v>
      </c>
      <c r="AG52" s="395" t="s">
        <v>431</v>
      </c>
      <c r="AH52" s="395" t="s">
        <v>431</v>
      </c>
      <c r="AI52" s="396" t="s">
        <v>431</v>
      </c>
      <c r="AJ52" s="396" t="s">
        <v>431</v>
      </c>
      <c r="AK52" s="396" t="s">
        <v>431</v>
      </c>
      <c r="AL52" s="396" t="s">
        <v>431</v>
      </c>
      <c r="AM52" s="396" t="s">
        <v>431</v>
      </c>
      <c r="AN52" s="396" t="s">
        <v>431</v>
      </c>
      <c r="AO52" s="396" t="s">
        <v>431</v>
      </c>
      <c r="AP52" s="396" t="s">
        <v>431</v>
      </c>
      <c r="AQ52" s="396" t="s">
        <v>431</v>
      </c>
      <c r="AR52" s="397" t="s">
        <v>431</v>
      </c>
    </row>
    <row r="53" spans="1:44" s="386" customFormat="1" ht="16.5" hidden="1" customHeight="1" x14ac:dyDescent="0.3">
      <c r="A53" s="380" t="s">
        <v>319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388" t="s">
        <v>431</v>
      </c>
      <c r="P53" s="388" t="s">
        <v>431</v>
      </c>
      <c r="Q53" s="388" t="s">
        <v>431</v>
      </c>
      <c r="R53" s="388" t="s">
        <v>431</v>
      </c>
      <c r="S53" s="388" t="s">
        <v>431</v>
      </c>
      <c r="T53" s="398" t="s">
        <v>431</v>
      </c>
      <c r="U53" s="398" t="s">
        <v>431</v>
      </c>
      <c r="V53" s="398" t="s">
        <v>431</v>
      </c>
      <c r="W53" s="398" t="s">
        <v>431</v>
      </c>
      <c r="X53" s="394" t="s">
        <v>431</v>
      </c>
      <c r="Y53" s="394" t="s">
        <v>431</v>
      </c>
      <c r="Z53" s="394" t="s">
        <v>431</v>
      </c>
      <c r="AA53" s="393">
        <v>1.7657998887516155</v>
      </c>
      <c r="AB53" s="394" t="s">
        <v>431</v>
      </c>
      <c r="AC53" s="394" t="s">
        <v>431</v>
      </c>
      <c r="AD53" s="395" t="s">
        <v>431</v>
      </c>
      <c r="AE53" s="395" t="s">
        <v>431</v>
      </c>
      <c r="AF53" s="395" t="s">
        <v>431</v>
      </c>
      <c r="AG53" s="395" t="s">
        <v>431</v>
      </c>
      <c r="AH53" s="395" t="s">
        <v>431</v>
      </c>
      <c r="AI53" s="396" t="s">
        <v>431</v>
      </c>
      <c r="AJ53" s="396" t="s">
        <v>431</v>
      </c>
      <c r="AK53" s="396" t="s">
        <v>431</v>
      </c>
      <c r="AL53" s="396" t="s">
        <v>431</v>
      </c>
      <c r="AM53" s="396" t="s">
        <v>431</v>
      </c>
      <c r="AN53" s="396" t="s">
        <v>431</v>
      </c>
      <c r="AO53" s="396" t="s">
        <v>431</v>
      </c>
      <c r="AP53" s="396" t="s">
        <v>431</v>
      </c>
      <c r="AQ53" s="396" t="s">
        <v>431</v>
      </c>
      <c r="AR53" s="397" t="s">
        <v>431</v>
      </c>
    </row>
    <row r="54" spans="1:44" s="386" customFormat="1" x14ac:dyDescent="0.3">
      <c r="A54" s="380" t="s">
        <v>551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388" t="s">
        <v>431</v>
      </c>
      <c r="P54" s="388" t="s">
        <v>431</v>
      </c>
      <c r="Q54" s="388" t="s">
        <v>431</v>
      </c>
      <c r="R54" s="388" t="s">
        <v>431</v>
      </c>
      <c r="S54" s="388" t="s">
        <v>431</v>
      </c>
      <c r="T54" s="398" t="s">
        <v>431</v>
      </c>
      <c r="U54" s="398" t="s">
        <v>431</v>
      </c>
      <c r="V54" s="398" t="s">
        <v>431</v>
      </c>
      <c r="W54" s="398" t="s">
        <v>431</v>
      </c>
      <c r="X54" s="394" t="s">
        <v>431</v>
      </c>
      <c r="Y54" s="394" t="s">
        <v>431</v>
      </c>
      <c r="Z54" s="394" t="s">
        <v>431</v>
      </c>
      <c r="AA54" s="394" t="s">
        <v>431</v>
      </c>
      <c r="AB54" s="393">
        <v>1.7065299946766948</v>
      </c>
      <c r="AC54" s="393">
        <v>1.7027324967518471</v>
      </c>
      <c r="AD54" s="399">
        <v>1.6931462207906822</v>
      </c>
      <c r="AE54" s="399">
        <v>1.6901845821893544</v>
      </c>
      <c r="AF54" s="399">
        <v>1.705699337159698</v>
      </c>
      <c r="AG54" s="399">
        <v>1.7177445028067597</v>
      </c>
      <c r="AH54" s="399">
        <v>1.7212034732115575</v>
      </c>
      <c r="AI54" s="400">
        <v>1.7250006404743998</v>
      </c>
      <c r="AJ54" s="400">
        <v>1.7231784306923905</v>
      </c>
      <c r="AK54" s="400">
        <v>1.7150000000000001</v>
      </c>
      <c r="AL54" s="400">
        <v>1.704765833976547</v>
      </c>
      <c r="AM54" s="400">
        <v>1.6940494729751747</v>
      </c>
      <c r="AN54" s="400">
        <v>1.6881427548165451</v>
      </c>
      <c r="AO54" s="400">
        <v>1.6811978463415846</v>
      </c>
      <c r="AP54" s="556" t="s">
        <v>549</v>
      </c>
      <c r="AQ54" s="556" t="s">
        <v>549</v>
      </c>
      <c r="AR54" s="557" t="s">
        <v>549</v>
      </c>
    </row>
    <row r="55" spans="1:44" s="360" customFormat="1" ht="17.25" thickBot="1" x14ac:dyDescent="0.35">
      <c r="A55" s="401" t="s">
        <v>24</v>
      </c>
      <c r="B55" s="402">
        <v>14805</v>
      </c>
      <c r="C55" s="402">
        <v>16053</v>
      </c>
      <c r="D55" s="403">
        <v>17833</v>
      </c>
      <c r="E55" s="403">
        <v>18905</v>
      </c>
      <c r="F55" s="403">
        <v>19123</v>
      </c>
      <c r="G55" s="403">
        <v>19993</v>
      </c>
      <c r="H55" s="403">
        <v>20825</v>
      </c>
      <c r="I55" s="403">
        <v>21459</v>
      </c>
      <c r="J55" s="403">
        <v>22420</v>
      </c>
      <c r="K55" s="403">
        <v>23580</v>
      </c>
      <c r="L55" s="403">
        <v>24793</v>
      </c>
      <c r="M55" s="403">
        <v>26149</v>
      </c>
      <c r="N55" s="403">
        <v>26902</v>
      </c>
      <c r="O55" s="404">
        <v>30286</v>
      </c>
      <c r="P55" s="404">
        <v>31543</v>
      </c>
      <c r="Q55" s="404">
        <v>31670</v>
      </c>
      <c r="R55" s="404">
        <v>31993</v>
      </c>
      <c r="S55" s="404">
        <v>33749</v>
      </c>
      <c r="T55" s="404">
        <v>34035.956892588998</v>
      </c>
      <c r="U55" s="404">
        <v>35375.26999225295</v>
      </c>
      <c r="V55" s="404">
        <v>35795</v>
      </c>
      <c r="W55" s="415">
        <f>+W49/W52</f>
        <v>39909.197861215456</v>
      </c>
      <c r="X55" s="415">
        <f>+X49/X52</f>
        <v>41891.481140955759</v>
      </c>
      <c r="Y55" s="377">
        <f>+Y49/Y52</f>
        <v>44185.841831095728</v>
      </c>
      <c r="Z55" s="377">
        <f>+Z49/Z52</f>
        <v>45950.634547321046</v>
      </c>
      <c r="AA55" s="377">
        <f>+AA49/AA53</f>
        <v>47579.712709231208</v>
      </c>
      <c r="AB55" s="377">
        <f t="shared" ref="AB55:AH55" si="4">+AB49/AB54</f>
        <v>49809.052070615267</v>
      </c>
      <c r="AC55" s="377">
        <f t="shared" si="4"/>
        <v>51228.812612091082</v>
      </c>
      <c r="AD55" s="377">
        <f t="shared" si="4"/>
        <v>54001.222711328606</v>
      </c>
      <c r="AE55" s="377">
        <f t="shared" si="4"/>
        <v>56644.590809065332</v>
      </c>
      <c r="AF55" s="377">
        <f t="shared" si="4"/>
        <v>58926.019614925681</v>
      </c>
      <c r="AG55" s="377">
        <f t="shared" si="4"/>
        <v>59495.497680419205</v>
      </c>
      <c r="AH55" s="377">
        <f t="shared" si="4"/>
        <v>59651.975832215561</v>
      </c>
      <c r="AI55" s="377">
        <f>+AI49/AI54</f>
        <v>59698.027025700081</v>
      </c>
      <c r="AJ55" s="377">
        <f>+AJ49/AJ54</f>
        <v>60031.10543650086</v>
      </c>
      <c r="AK55" s="377">
        <v>61654</v>
      </c>
      <c r="AL55" s="377">
        <v>63290.247547306724</v>
      </c>
      <c r="AM55" s="377">
        <v>66440.759256956619</v>
      </c>
      <c r="AN55" s="377">
        <v>68647.633526415506</v>
      </c>
      <c r="AO55" s="377">
        <v>72504.264595599059</v>
      </c>
      <c r="AP55" s="560" t="s">
        <v>549</v>
      </c>
      <c r="AQ55" s="560" t="s">
        <v>549</v>
      </c>
      <c r="AR55" s="562" t="s">
        <v>549</v>
      </c>
    </row>
    <row r="56" spans="1:44" s="365" customFormat="1" ht="17.25" x14ac:dyDescent="0.3">
      <c r="A56" s="361" t="s">
        <v>31</v>
      </c>
      <c r="B56" s="362"/>
      <c r="C56" s="362"/>
      <c r="D56" s="362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4"/>
      <c r="Y56" s="364"/>
      <c r="Z56" s="364"/>
      <c r="AA56" s="364"/>
      <c r="AB56" s="364"/>
      <c r="AC56" s="789"/>
      <c r="AD56" s="789"/>
      <c r="AE56" s="789"/>
      <c r="AF56" s="789"/>
      <c r="AG56" s="789"/>
      <c r="AH56" s="789"/>
      <c r="AI56" s="789"/>
      <c r="AJ56" s="789"/>
      <c r="AK56" s="789"/>
      <c r="AL56" s="789"/>
      <c r="AM56" s="789"/>
      <c r="AN56" s="789"/>
      <c r="AO56" s="789"/>
      <c r="AP56" s="789"/>
      <c r="AQ56" s="789"/>
      <c r="AR56" s="790"/>
    </row>
    <row r="57" spans="1:44" s="372" customFormat="1" x14ac:dyDescent="0.3">
      <c r="A57" s="366" t="s">
        <v>20</v>
      </c>
      <c r="B57" s="367">
        <v>33381</v>
      </c>
      <c r="C57" s="367">
        <v>33591</v>
      </c>
      <c r="D57" s="367">
        <v>33304</v>
      </c>
      <c r="E57" s="367">
        <v>32607</v>
      </c>
      <c r="F57" s="367">
        <v>31748</v>
      </c>
      <c r="G57" s="367">
        <v>32410</v>
      </c>
      <c r="H57" s="367">
        <v>33049</v>
      </c>
      <c r="I57" s="367">
        <v>33382</v>
      </c>
      <c r="J57" s="367">
        <v>34347</v>
      </c>
      <c r="K57" s="367">
        <v>35077</v>
      </c>
      <c r="L57" s="367">
        <v>35885</v>
      </c>
      <c r="M57" s="367">
        <v>37432</v>
      </c>
      <c r="N57" s="367">
        <v>38886</v>
      </c>
      <c r="O57" s="368">
        <v>40328</v>
      </c>
      <c r="P57" s="368">
        <v>41582</v>
      </c>
      <c r="Q57" s="368">
        <v>42609</v>
      </c>
      <c r="R57" s="368">
        <v>43482</v>
      </c>
      <c r="S57" s="368">
        <v>45420</v>
      </c>
      <c r="T57" s="368">
        <v>46608</v>
      </c>
      <c r="U57" s="368">
        <v>47150.378999999994</v>
      </c>
      <c r="V57" s="368">
        <v>47501.37</v>
      </c>
      <c r="W57" s="368">
        <v>47903.331999999995</v>
      </c>
      <c r="X57" s="369">
        <v>47642.04</v>
      </c>
      <c r="Y57" s="369">
        <v>48129.62</v>
      </c>
      <c r="Z57" s="369">
        <v>47983.38</v>
      </c>
      <c r="AA57" s="369">
        <v>47715.93</v>
      </c>
      <c r="AB57" s="369">
        <v>47546.94</v>
      </c>
      <c r="AC57" s="369">
        <v>47538.67</v>
      </c>
      <c r="AD57" s="370">
        <v>47533.740000000013</v>
      </c>
      <c r="AE57" s="370">
        <v>45951.360000000001</v>
      </c>
      <c r="AF57" s="370">
        <v>46348.740000000005</v>
      </c>
      <c r="AG57" s="370">
        <v>46786.850000000006</v>
      </c>
      <c r="AH57" s="370">
        <v>48066.589999999989</v>
      </c>
      <c r="AI57" s="407">
        <v>48042.510000000017</v>
      </c>
      <c r="AJ57" s="407">
        <v>48563.889999999985</v>
      </c>
      <c r="AK57" s="407">
        <v>49732.1</v>
      </c>
      <c r="AL57" s="407">
        <v>51370.450000000004</v>
      </c>
      <c r="AM57" s="407">
        <v>53113.39</v>
      </c>
      <c r="AN57" s="407">
        <v>54884.070000000007</v>
      </c>
      <c r="AO57" s="407">
        <v>55860.740000000013</v>
      </c>
      <c r="AP57" s="407">
        <v>57054.44</v>
      </c>
      <c r="AQ57" s="407">
        <v>57198.57</v>
      </c>
      <c r="AR57" s="408">
        <f>+Table3WS2!S12</f>
        <v>56442.54</v>
      </c>
    </row>
    <row r="58" spans="1:44" s="360" customFormat="1" x14ac:dyDescent="0.3">
      <c r="A58" s="373" t="s">
        <v>430</v>
      </c>
      <c r="B58" s="374">
        <v>17628</v>
      </c>
      <c r="C58" s="374">
        <v>19292</v>
      </c>
      <c r="D58" s="375">
        <v>21664</v>
      </c>
      <c r="E58" s="375">
        <v>23338</v>
      </c>
      <c r="F58" s="375">
        <v>23877</v>
      </c>
      <c r="G58" s="375">
        <v>24810</v>
      </c>
      <c r="H58" s="375">
        <v>25929</v>
      </c>
      <c r="I58" s="375">
        <v>26630</v>
      </c>
      <c r="J58" s="375">
        <v>27700</v>
      </c>
      <c r="K58" s="375">
        <v>28604</v>
      </c>
      <c r="L58" s="375">
        <v>29583</v>
      </c>
      <c r="M58" s="375">
        <v>30837</v>
      </c>
      <c r="N58" s="375">
        <v>33501</v>
      </c>
      <c r="O58" s="258">
        <v>35272</v>
      </c>
      <c r="P58" s="258">
        <v>36182</v>
      </c>
      <c r="Q58" s="258">
        <v>36283</v>
      </c>
      <c r="R58" s="258">
        <v>36575</v>
      </c>
      <c r="S58" s="258">
        <v>38291</v>
      </c>
      <c r="T58" s="258">
        <v>38256.813484594917</v>
      </c>
      <c r="U58" s="258">
        <v>39213.366550251587</v>
      </c>
      <c r="V58" s="258">
        <v>39120</v>
      </c>
      <c r="W58" s="258">
        <v>41524.455584843323</v>
      </c>
      <c r="X58" s="376">
        <v>42760.26</v>
      </c>
      <c r="Y58" s="377">
        <v>44321.66564311125</v>
      </c>
      <c r="Z58" s="377">
        <v>45632.16827347302</v>
      </c>
      <c r="AA58" s="377">
        <v>45961.722492467408</v>
      </c>
      <c r="AB58" s="377">
        <v>46195.909677888856</v>
      </c>
      <c r="AC58" s="377">
        <v>46766.463670313038</v>
      </c>
      <c r="AD58" s="378">
        <v>48269.181740590982</v>
      </c>
      <c r="AE58" s="378">
        <v>50299.788111603244</v>
      </c>
      <c r="AF58" s="378">
        <v>52983.706160296897</v>
      </c>
      <c r="AG58" s="378">
        <v>53392.304795043885</v>
      </c>
      <c r="AH58" s="378">
        <v>53298.090803196152</v>
      </c>
      <c r="AI58" s="377">
        <v>52642.638444785662</v>
      </c>
      <c r="AJ58" s="377">
        <v>52645.5250551387</v>
      </c>
      <c r="AK58" s="377">
        <v>53380</v>
      </c>
      <c r="AL58" s="377">
        <v>52890.878722884474</v>
      </c>
      <c r="AM58" s="377">
        <v>54072.562489421223</v>
      </c>
      <c r="AN58" s="377">
        <v>54804.179738310217</v>
      </c>
      <c r="AO58" s="377">
        <v>56036.838805393541</v>
      </c>
      <c r="AP58" s="377">
        <v>73628</v>
      </c>
      <c r="AQ58" s="377">
        <v>77266</v>
      </c>
      <c r="AR58" s="379">
        <f>+Table3WS2!S63</f>
        <v>80004</v>
      </c>
    </row>
    <row r="59" spans="1:44" s="386" customFormat="1" ht="16.5" hidden="1" customHeight="1" x14ac:dyDescent="0.3">
      <c r="A59" s="380" t="s">
        <v>21</v>
      </c>
      <c r="B59" s="381">
        <v>1.5580000000000001</v>
      </c>
      <c r="C59" s="381">
        <v>1.57</v>
      </c>
      <c r="D59" s="381">
        <v>1.5920000000000001</v>
      </c>
      <c r="E59" s="381">
        <v>1.619</v>
      </c>
      <c r="F59" s="381">
        <v>1.6319999999999999</v>
      </c>
      <c r="G59" s="381">
        <v>1.6359999999999999</v>
      </c>
      <c r="H59" s="381">
        <v>1.641</v>
      </c>
      <c r="I59" s="381">
        <v>1.651</v>
      </c>
      <c r="J59" s="381">
        <v>1.657</v>
      </c>
      <c r="K59" s="381">
        <v>1.663</v>
      </c>
      <c r="L59" s="381">
        <v>1.675</v>
      </c>
      <c r="M59" s="381">
        <v>1.6759999999999999</v>
      </c>
      <c r="N59" s="381">
        <v>1.6870000000000001</v>
      </c>
      <c r="O59" s="382" t="s">
        <v>431</v>
      </c>
      <c r="P59" s="382" t="s">
        <v>431</v>
      </c>
      <c r="Q59" s="382" t="s">
        <v>431</v>
      </c>
      <c r="R59" s="382" t="s">
        <v>431</v>
      </c>
      <c r="S59" s="382" t="s">
        <v>431</v>
      </c>
      <c r="T59" s="382" t="s">
        <v>431</v>
      </c>
      <c r="U59" s="382" t="s">
        <v>431</v>
      </c>
      <c r="V59" s="382" t="s">
        <v>431</v>
      </c>
      <c r="W59" s="382" t="s">
        <v>431</v>
      </c>
      <c r="X59" s="382" t="s">
        <v>431</v>
      </c>
      <c r="Y59" s="382" t="s">
        <v>431</v>
      </c>
      <c r="Z59" s="382" t="s">
        <v>431</v>
      </c>
      <c r="AA59" s="382" t="s">
        <v>431</v>
      </c>
      <c r="AB59" s="382" t="s">
        <v>431</v>
      </c>
      <c r="AC59" s="382" t="s">
        <v>431</v>
      </c>
      <c r="AD59" s="383" t="s">
        <v>431</v>
      </c>
      <c r="AE59" s="383" t="s">
        <v>431</v>
      </c>
      <c r="AF59" s="383" t="s">
        <v>431</v>
      </c>
      <c r="AG59" s="383" t="s">
        <v>431</v>
      </c>
      <c r="AH59" s="383" t="s">
        <v>431</v>
      </c>
      <c r="AI59" s="384" t="s">
        <v>431</v>
      </c>
      <c r="AJ59" s="384" t="s">
        <v>431</v>
      </c>
      <c r="AK59" s="384" t="s">
        <v>431</v>
      </c>
      <c r="AL59" s="384" t="s">
        <v>431</v>
      </c>
      <c r="AM59" s="384" t="s">
        <v>431</v>
      </c>
      <c r="AN59" s="384" t="s">
        <v>431</v>
      </c>
      <c r="AO59" s="384" t="s">
        <v>431</v>
      </c>
      <c r="AP59" s="384" t="s">
        <v>431</v>
      </c>
      <c r="AQ59" s="384" t="s">
        <v>431</v>
      </c>
      <c r="AR59" s="385" t="s">
        <v>431</v>
      </c>
    </row>
    <row r="60" spans="1:44" s="386" customFormat="1" ht="16.5" hidden="1" customHeight="1" x14ac:dyDescent="0.3">
      <c r="A60" s="380" t="s">
        <v>23</v>
      </c>
      <c r="B60" s="381" t="s">
        <v>431</v>
      </c>
      <c r="C60" s="381" t="s">
        <v>431</v>
      </c>
      <c r="D60" s="381" t="s">
        <v>431</v>
      </c>
      <c r="E60" s="381" t="s">
        <v>431</v>
      </c>
      <c r="F60" s="381" t="s">
        <v>431</v>
      </c>
      <c r="G60" s="381" t="s">
        <v>431</v>
      </c>
      <c r="H60" s="381" t="s">
        <v>431</v>
      </c>
      <c r="I60" s="381" t="s">
        <v>431</v>
      </c>
      <c r="J60" s="381" t="s">
        <v>431</v>
      </c>
      <c r="K60" s="381" t="s">
        <v>431</v>
      </c>
      <c r="L60" s="381" t="s">
        <v>431</v>
      </c>
      <c r="M60" s="381" t="s">
        <v>431</v>
      </c>
      <c r="N60" s="381">
        <v>1.6679999999999999</v>
      </c>
      <c r="O60" s="388">
        <v>1.6859999999999999</v>
      </c>
      <c r="P60" s="388">
        <v>1.6759999999999999</v>
      </c>
      <c r="Q60" s="388">
        <v>1.6830000000000001</v>
      </c>
      <c r="R60" s="388">
        <v>1.69</v>
      </c>
      <c r="S60" s="388">
        <v>1.7020599999999999</v>
      </c>
      <c r="T60" s="388">
        <v>1.7013972964340882</v>
      </c>
      <c r="U60" s="388">
        <v>1.7006280939314442</v>
      </c>
      <c r="V60" s="388">
        <v>1.696</v>
      </c>
      <c r="W60" s="398" t="s">
        <v>431</v>
      </c>
      <c r="X60" s="398" t="s">
        <v>431</v>
      </c>
      <c r="Y60" s="394" t="s">
        <v>431</v>
      </c>
      <c r="Z60" s="394" t="s">
        <v>431</v>
      </c>
      <c r="AA60" s="394" t="s">
        <v>431</v>
      </c>
      <c r="AB60" s="394" t="s">
        <v>431</v>
      </c>
      <c r="AC60" s="394" t="s">
        <v>431</v>
      </c>
      <c r="AD60" s="395" t="s">
        <v>431</v>
      </c>
      <c r="AE60" s="395" t="s">
        <v>431</v>
      </c>
      <c r="AF60" s="395" t="s">
        <v>431</v>
      </c>
      <c r="AG60" s="395" t="s">
        <v>431</v>
      </c>
      <c r="AH60" s="395" t="s">
        <v>431</v>
      </c>
      <c r="AI60" s="396" t="s">
        <v>431</v>
      </c>
      <c r="AJ60" s="396" t="s">
        <v>431</v>
      </c>
      <c r="AK60" s="396" t="s">
        <v>431</v>
      </c>
      <c r="AL60" s="396" t="s">
        <v>431</v>
      </c>
      <c r="AM60" s="396" t="s">
        <v>431</v>
      </c>
      <c r="AN60" s="396" t="s">
        <v>431</v>
      </c>
      <c r="AO60" s="396" t="s">
        <v>431</v>
      </c>
      <c r="AP60" s="396" t="s">
        <v>431</v>
      </c>
      <c r="AQ60" s="396" t="s">
        <v>431</v>
      </c>
      <c r="AR60" s="397" t="s">
        <v>431</v>
      </c>
    </row>
    <row r="61" spans="1:44" s="386" customFormat="1" ht="16.5" hidden="1" customHeight="1" x14ac:dyDescent="0.3">
      <c r="A61" s="380" t="s">
        <v>201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388" t="s">
        <v>431</v>
      </c>
      <c r="P61" s="388" t="s">
        <v>431</v>
      </c>
      <c r="Q61" s="388" t="s">
        <v>431</v>
      </c>
      <c r="R61" s="388" t="s">
        <v>431</v>
      </c>
      <c r="S61" s="388" t="s">
        <v>431</v>
      </c>
      <c r="T61" s="398" t="s">
        <v>431</v>
      </c>
      <c r="U61" s="398" t="s">
        <v>431</v>
      </c>
      <c r="V61" s="398" t="s">
        <v>431</v>
      </c>
      <c r="W61" s="388">
        <v>1.6064652367072789</v>
      </c>
      <c r="X61" s="393">
        <v>1.6067100000000001</v>
      </c>
      <c r="Y61" s="393">
        <v>1.6064051676514375</v>
      </c>
      <c r="Z61" s="393">
        <v>1.605744468145011</v>
      </c>
      <c r="AA61" s="394" t="s">
        <v>431</v>
      </c>
      <c r="AB61" s="394" t="s">
        <v>431</v>
      </c>
      <c r="AC61" s="394" t="s">
        <v>431</v>
      </c>
      <c r="AD61" s="395" t="s">
        <v>431</v>
      </c>
      <c r="AE61" s="395" t="s">
        <v>431</v>
      </c>
      <c r="AF61" s="395" t="s">
        <v>431</v>
      </c>
      <c r="AG61" s="395" t="s">
        <v>431</v>
      </c>
      <c r="AH61" s="395" t="s">
        <v>431</v>
      </c>
      <c r="AI61" s="396" t="s">
        <v>431</v>
      </c>
      <c r="AJ61" s="396" t="s">
        <v>431</v>
      </c>
      <c r="AK61" s="396" t="s">
        <v>431</v>
      </c>
      <c r="AL61" s="396" t="s">
        <v>431</v>
      </c>
      <c r="AM61" s="396" t="s">
        <v>431</v>
      </c>
      <c r="AN61" s="396" t="s">
        <v>431</v>
      </c>
      <c r="AO61" s="396" t="s">
        <v>431</v>
      </c>
      <c r="AP61" s="396" t="s">
        <v>431</v>
      </c>
      <c r="AQ61" s="396" t="s">
        <v>431</v>
      </c>
      <c r="AR61" s="397" t="s">
        <v>431</v>
      </c>
    </row>
    <row r="62" spans="1:44" s="386" customFormat="1" ht="16.5" hidden="1" customHeight="1" x14ac:dyDescent="0.3">
      <c r="A62" s="380" t="s">
        <v>319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388" t="s">
        <v>431</v>
      </c>
      <c r="P62" s="388" t="s">
        <v>431</v>
      </c>
      <c r="Q62" s="388" t="s">
        <v>431</v>
      </c>
      <c r="R62" s="388" t="s">
        <v>431</v>
      </c>
      <c r="S62" s="388" t="s">
        <v>431</v>
      </c>
      <c r="T62" s="398" t="s">
        <v>431</v>
      </c>
      <c r="U62" s="398" t="s">
        <v>431</v>
      </c>
      <c r="V62" s="398" t="s">
        <v>431</v>
      </c>
      <c r="W62" s="398" t="s">
        <v>431</v>
      </c>
      <c r="X62" s="394" t="s">
        <v>431</v>
      </c>
      <c r="Y62" s="394" t="s">
        <v>431</v>
      </c>
      <c r="Z62" s="394" t="s">
        <v>431</v>
      </c>
      <c r="AA62" s="393">
        <v>1.5696024713360928</v>
      </c>
      <c r="AB62" s="394" t="s">
        <v>431</v>
      </c>
      <c r="AC62" s="394" t="s">
        <v>431</v>
      </c>
      <c r="AD62" s="395" t="s">
        <v>431</v>
      </c>
      <c r="AE62" s="395" t="s">
        <v>431</v>
      </c>
      <c r="AF62" s="395" t="s">
        <v>431</v>
      </c>
      <c r="AG62" s="395" t="s">
        <v>431</v>
      </c>
      <c r="AH62" s="395" t="s">
        <v>431</v>
      </c>
      <c r="AI62" s="396" t="s">
        <v>431</v>
      </c>
      <c r="AJ62" s="396" t="s">
        <v>431</v>
      </c>
      <c r="AK62" s="396" t="s">
        <v>431</v>
      </c>
      <c r="AL62" s="396" t="s">
        <v>431</v>
      </c>
      <c r="AM62" s="396" t="s">
        <v>431</v>
      </c>
      <c r="AN62" s="396" t="s">
        <v>431</v>
      </c>
      <c r="AO62" s="396" t="s">
        <v>431</v>
      </c>
      <c r="AP62" s="396" t="s">
        <v>431</v>
      </c>
      <c r="AQ62" s="396" t="s">
        <v>431</v>
      </c>
      <c r="AR62" s="397" t="s">
        <v>431</v>
      </c>
    </row>
    <row r="63" spans="1:44" s="386" customFormat="1" x14ac:dyDescent="0.3">
      <c r="A63" s="380" t="s">
        <v>551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388" t="s">
        <v>431</v>
      </c>
      <c r="P63" s="388" t="s">
        <v>431</v>
      </c>
      <c r="Q63" s="388" t="s">
        <v>431</v>
      </c>
      <c r="R63" s="388" t="s">
        <v>431</v>
      </c>
      <c r="S63" s="388" t="s">
        <v>431</v>
      </c>
      <c r="T63" s="398" t="s">
        <v>431</v>
      </c>
      <c r="U63" s="398" t="s">
        <v>431</v>
      </c>
      <c r="V63" s="398" t="s">
        <v>431</v>
      </c>
      <c r="W63" s="398" t="s">
        <v>431</v>
      </c>
      <c r="X63" s="394" t="s">
        <v>431</v>
      </c>
      <c r="Y63" s="394" t="s">
        <v>431</v>
      </c>
      <c r="Z63" s="394" t="s">
        <v>431</v>
      </c>
      <c r="AA63" s="394" t="s">
        <v>431</v>
      </c>
      <c r="AB63" s="393">
        <v>1.5314514997831621</v>
      </c>
      <c r="AC63" s="393">
        <v>1.531819126645739</v>
      </c>
      <c r="AD63" s="399">
        <v>1.5306898582796136</v>
      </c>
      <c r="AE63" s="399">
        <v>1.5304899999999999</v>
      </c>
      <c r="AF63" s="399">
        <v>1.5360693003995363</v>
      </c>
      <c r="AG63" s="399">
        <v>1.5563387204054131</v>
      </c>
      <c r="AH63" s="399">
        <v>1.5615990462606149</v>
      </c>
      <c r="AI63" s="400">
        <v>1.5718439332561926</v>
      </c>
      <c r="AJ63" s="400">
        <v>1.5721104451990979</v>
      </c>
      <c r="AK63" s="400">
        <v>1.5640000000000001</v>
      </c>
      <c r="AL63" s="400">
        <v>1.5508677126032577</v>
      </c>
      <c r="AM63" s="400">
        <v>1.539607453691056</v>
      </c>
      <c r="AN63" s="400">
        <v>1.5325956650900705</v>
      </c>
      <c r="AO63" s="400">
        <v>1.5305330093496787</v>
      </c>
      <c r="AP63" s="556" t="s">
        <v>549</v>
      </c>
      <c r="AQ63" s="556" t="s">
        <v>549</v>
      </c>
      <c r="AR63" s="557" t="s">
        <v>549</v>
      </c>
    </row>
    <row r="64" spans="1:44" s="360" customFormat="1" ht="17.25" thickBot="1" x14ac:dyDescent="0.35">
      <c r="A64" s="401" t="s">
        <v>24</v>
      </c>
      <c r="B64" s="402">
        <v>11315</v>
      </c>
      <c r="C64" s="402">
        <v>12285</v>
      </c>
      <c r="D64" s="403">
        <v>13608</v>
      </c>
      <c r="E64" s="403">
        <v>14412</v>
      </c>
      <c r="F64" s="403">
        <v>14629</v>
      </c>
      <c r="G64" s="403">
        <v>15165</v>
      </c>
      <c r="H64" s="403">
        <v>15801</v>
      </c>
      <c r="I64" s="403">
        <v>16130</v>
      </c>
      <c r="J64" s="403">
        <v>16717</v>
      </c>
      <c r="K64" s="403">
        <v>17200</v>
      </c>
      <c r="L64" s="403">
        <v>17666</v>
      </c>
      <c r="M64" s="403">
        <v>18399</v>
      </c>
      <c r="N64" s="403">
        <v>18932</v>
      </c>
      <c r="O64" s="404">
        <v>20919</v>
      </c>
      <c r="P64" s="404">
        <v>21589</v>
      </c>
      <c r="Q64" s="404">
        <v>21560</v>
      </c>
      <c r="R64" s="404">
        <v>21647</v>
      </c>
      <c r="S64" s="404">
        <v>22497</v>
      </c>
      <c r="T64" s="404">
        <v>22485.526199422275</v>
      </c>
      <c r="U64" s="404">
        <v>23058.16697382653</v>
      </c>
      <c r="V64" s="404">
        <v>23063</v>
      </c>
      <c r="W64" s="415">
        <f>+W58/W61</f>
        <v>25848.337477849622</v>
      </c>
      <c r="X64" s="415">
        <f>+X58/X61</f>
        <v>26613.551916649551</v>
      </c>
      <c r="Y64" s="377">
        <f>+Y58/Y61</f>
        <v>27590.589557122425</v>
      </c>
      <c r="Z64" s="377">
        <f>+Z58/Z61</f>
        <v>28418.075963349409</v>
      </c>
      <c r="AA64" s="377">
        <f>+AA58/AA62</f>
        <v>29282.396869153377</v>
      </c>
      <c r="AB64" s="377">
        <f t="shared" ref="AB64:AH64" si="5">+AB58/AB63</f>
        <v>30164.787905088557</v>
      </c>
      <c r="AC64" s="377">
        <f t="shared" si="5"/>
        <v>30530.01679951515</v>
      </c>
      <c r="AD64" s="377">
        <f t="shared" si="5"/>
        <v>31534.266382898822</v>
      </c>
      <c r="AE64" s="377">
        <f t="shared" si="5"/>
        <v>32865.153063138765</v>
      </c>
      <c r="AF64" s="377">
        <f t="shared" si="5"/>
        <v>34493.044126665169</v>
      </c>
      <c r="AG64" s="377">
        <f t="shared" si="5"/>
        <v>34306.352527896779</v>
      </c>
      <c r="AH64" s="377">
        <f t="shared" si="5"/>
        <v>34130.458090905653</v>
      </c>
      <c r="AI64" s="377">
        <f>+AI58/AI63</f>
        <v>33491.008446196363</v>
      </c>
      <c r="AJ64" s="377">
        <f>+AJ58/AJ63</f>
        <v>33487.167021825539</v>
      </c>
      <c r="AK64" s="377">
        <v>34134</v>
      </c>
      <c r="AL64" s="377">
        <v>34104.055615486912</v>
      </c>
      <c r="AM64" s="377">
        <v>35121.00591601296</v>
      </c>
      <c r="AN64" s="377">
        <v>35759.059604993323</v>
      </c>
      <c r="AO64" s="377">
        <v>36612.63002044204</v>
      </c>
      <c r="AP64" s="560" t="s">
        <v>549</v>
      </c>
      <c r="AQ64" s="560" t="s">
        <v>549</v>
      </c>
      <c r="AR64" s="562" t="s">
        <v>549</v>
      </c>
    </row>
    <row r="65" spans="1:45" s="365" customFormat="1" ht="17.25" x14ac:dyDescent="0.3">
      <c r="A65" s="361" t="s">
        <v>517</v>
      </c>
      <c r="B65" s="362"/>
      <c r="C65" s="362"/>
      <c r="D65" s="362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4"/>
      <c r="Y65" s="364"/>
      <c r="Z65" s="364"/>
      <c r="AA65" s="364"/>
      <c r="AB65" s="364"/>
      <c r="AC65" s="789"/>
      <c r="AD65" s="789"/>
      <c r="AE65" s="789"/>
      <c r="AF65" s="789"/>
      <c r="AG65" s="789"/>
      <c r="AH65" s="789"/>
      <c r="AI65" s="789"/>
      <c r="AJ65" s="789"/>
      <c r="AK65" s="789"/>
      <c r="AL65" s="789"/>
      <c r="AM65" s="789"/>
      <c r="AN65" s="789"/>
      <c r="AO65" s="789"/>
      <c r="AP65" s="789"/>
      <c r="AQ65" s="789"/>
      <c r="AR65" s="790"/>
    </row>
    <row r="66" spans="1:45" s="372" customFormat="1" x14ac:dyDescent="0.3">
      <c r="A66" s="366" t="s">
        <v>20</v>
      </c>
      <c r="B66" s="367">
        <v>11727</v>
      </c>
      <c r="C66" s="367">
        <v>12444</v>
      </c>
      <c r="D66" s="367">
        <v>12612</v>
      </c>
      <c r="E66" s="367">
        <v>12107</v>
      </c>
      <c r="F66" s="367">
        <v>11838</v>
      </c>
      <c r="G66" s="367">
        <v>12259</v>
      </c>
      <c r="H66" s="367">
        <v>12582</v>
      </c>
      <c r="I66" s="367">
        <v>12753</v>
      </c>
      <c r="J66" s="367">
        <v>13108</v>
      </c>
      <c r="K66" s="367">
        <v>13446</v>
      </c>
      <c r="L66" s="367">
        <v>13843</v>
      </c>
      <c r="M66" s="367">
        <v>14201</v>
      </c>
      <c r="N66" s="367">
        <v>14844</v>
      </c>
      <c r="O66" s="368">
        <v>15448</v>
      </c>
      <c r="P66" s="368">
        <v>16012</v>
      </c>
      <c r="Q66" s="368">
        <v>16387</v>
      </c>
      <c r="R66" s="368">
        <v>16752</v>
      </c>
      <c r="S66" s="368">
        <v>17053</v>
      </c>
      <c r="T66" s="368">
        <v>17558.04</v>
      </c>
      <c r="U66" s="368">
        <v>18126.633999999998</v>
      </c>
      <c r="V66" s="368">
        <v>18339.419999999998</v>
      </c>
      <c r="W66" s="368">
        <v>18872.826000000001</v>
      </c>
      <c r="X66" s="369">
        <v>18843.22</v>
      </c>
      <c r="Y66" s="369">
        <v>19226.84</v>
      </c>
      <c r="Z66" s="369">
        <v>19410.830000000002</v>
      </c>
      <c r="AA66" s="369">
        <v>19374.32</v>
      </c>
      <c r="AB66" s="369">
        <v>19481.580000000002</v>
      </c>
      <c r="AC66" s="369">
        <v>19575.810000000001</v>
      </c>
      <c r="AD66" s="370">
        <v>19607.25</v>
      </c>
      <c r="AE66" s="370">
        <v>19745.21</v>
      </c>
      <c r="AF66" s="370">
        <v>19861.550000000003</v>
      </c>
      <c r="AG66" s="370">
        <v>19308.080000000002</v>
      </c>
      <c r="AH66" s="370">
        <v>19246.650000000001</v>
      </c>
      <c r="AI66" s="407">
        <v>19209.03</v>
      </c>
      <c r="AJ66" s="407">
        <v>19355.879999999997</v>
      </c>
      <c r="AK66" s="407">
        <v>19823.599999999999</v>
      </c>
      <c r="AL66" s="407">
        <v>20568.379999999997</v>
      </c>
      <c r="AM66" s="407">
        <v>21188.250000000004</v>
      </c>
      <c r="AN66" s="407">
        <v>22010.9</v>
      </c>
      <c r="AO66" s="407">
        <v>22330.5</v>
      </c>
      <c r="AP66" s="407">
        <v>22973.05</v>
      </c>
      <c r="AQ66" s="407">
        <v>22767.72</v>
      </c>
      <c r="AR66" s="408">
        <f>+Table3WS2!S34</f>
        <v>21355.759999999998</v>
      </c>
    </row>
    <row r="67" spans="1:45" s="360" customFormat="1" ht="17.25" thickBot="1" x14ac:dyDescent="0.35">
      <c r="A67" s="373" t="s">
        <v>430</v>
      </c>
      <c r="B67" s="374">
        <v>12444</v>
      </c>
      <c r="C67" s="374">
        <v>13442</v>
      </c>
      <c r="D67" s="375">
        <v>14775</v>
      </c>
      <c r="E67" s="375">
        <v>15875</v>
      </c>
      <c r="F67" s="375">
        <v>16035</v>
      </c>
      <c r="G67" s="375">
        <v>16880</v>
      </c>
      <c r="H67" s="375">
        <v>17777</v>
      </c>
      <c r="I67" s="375">
        <v>18217</v>
      </c>
      <c r="J67" s="375">
        <v>18778</v>
      </c>
      <c r="K67" s="375">
        <v>19539</v>
      </c>
      <c r="L67" s="375">
        <v>20458</v>
      </c>
      <c r="M67" s="375">
        <v>21453</v>
      </c>
      <c r="N67" s="375">
        <v>22562</v>
      </c>
      <c r="O67" s="258">
        <v>23826</v>
      </c>
      <c r="P67" s="258">
        <v>24769</v>
      </c>
      <c r="Q67" s="258">
        <v>25117</v>
      </c>
      <c r="R67" s="258">
        <v>25469</v>
      </c>
      <c r="S67" s="258">
        <v>26541</v>
      </c>
      <c r="T67" s="258">
        <v>26772.761163546729</v>
      </c>
      <c r="U67" s="258">
        <v>27867.965079433794</v>
      </c>
      <c r="V67" s="258">
        <v>28207</v>
      </c>
      <c r="W67" s="258">
        <v>29442.864147637389</v>
      </c>
      <c r="X67" s="376">
        <v>30766</v>
      </c>
      <c r="Y67" s="377">
        <v>32208.438903636801</v>
      </c>
      <c r="Z67" s="377">
        <v>33753.052144086578</v>
      </c>
      <c r="AA67" s="377">
        <v>34051.545928321611</v>
      </c>
      <c r="AB67" s="377">
        <v>34813.604527456191</v>
      </c>
      <c r="AC67" s="377">
        <v>35720.370517490723</v>
      </c>
      <c r="AD67" s="378">
        <v>37209.707490851601</v>
      </c>
      <c r="AE67" s="378">
        <v>38934</v>
      </c>
      <c r="AF67" s="378">
        <v>41144.804902940596</v>
      </c>
      <c r="AG67" s="378">
        <v>41656.081658559524</v>
      </c>
      <c r="AH67" s="378">
        <v>41849.153491127021</v>
      </c>
      <c r="AI67" s="377">
        <v>41899.51490575006</v>
      </c>
      <c r="AJ67" s="377">
        <v>42247.171894018771</v>
      </c>
      <c r="AK67" s="377">
        <v>43200</v>
      </c>
      <c r="AL67" s="377">
        <v>44249.260320939233</v>
      </c>
      <c r="AM67" s="377">
        <v>46326</v>
      </c>
      <c r="AN67" s="377">
        <v>48153.677290342508</v>
      </c>
      <c r="AO67" s="377">
        <v>50915.085662210884</v>
      </c>
      <c r="AP67" s="377">
        <v>54172</v>
      </c>
      <c r="AQ67" s="377">
        <v>57668</v>
      </c>
      <c r="AR67" s="379">
        <f>+Table3WS2!S84</f>
        <v>60721</v>
      </c>
    </row>
    <row r="68" spans="1:45" s="245" customFormat="1" ht="17.25" hidden="1" thickBot="1" x14ac:dyDescent="0.35">
      <c r="A68" s="427" t="s">
        <v>25</v>
      </c>
      <c r="B68" s="381" t="s">
        <v>22</v>
      </c>
      <c r="C68" s="381" t="s">
        <v>22</v>
      </c>
      <c r="D68" s="381" t="s">
        <v>22</v>
      </c>
      <c r="E68" s="381" t="s">
        <v>22</v>
      </c>
      <c r="F68" s="381" t="s">
        <v>22</v>
      </c>
      <c r="G68" s="381" t="s">
        <v>22</v>
      </c>
      <c r="H68" s="381" t="s">
        <v>22</v>
      </c>
      <c r="I68" s="381">
        <v>1.1970000000000001</v>
      </c>
      <c r="J68" s="381">
        <v>1.1970000000000001</v>
      </c>
      <c r="K68" s="381" t="s">
        <v>22</v>
      </c>
      <c r="L68" s="381" t="s">
        <v>22</v>
      </c>
      <c r="M68" s="381" t="s">
        <v>22</v>
      </c>
      <c r="N68" s="381" t="s">
        <v>22</v>
      </c>
      <c r="O68" s="382" t="s">
        <v>22</v>
      </c>
      <c r="P68" s="382" t="s">
        <v>22</v>
      </c>
      <c r="Q68" s="382" t="s">
        <v>22</v>
      </c>
      <c r="R68" s="382" t="s">
        <v>22</v>
      </c>
      <c r="S68" s="382" t="s">
        <v>22</v>
      </c>
      <c r="T68" s="382" t="s">
        <v>22</v>
      </c>
      <c r="U68" s="382" t="s">
        <v>22</v>
      </c>
      <c r="V68" s="382" t="s">
        <v>22</v>
      </c>
      <c r="W68" s="382" t="s">
        <v>22</v>
      </c>
      <c r="X68" s="382" t="s">
        <v>22</v>
      </c>
      <c r="Y68" s="382" t="s">
        <v>22</v>
      </c>
      <c r="Z68" s="382" t="s">
        <v>22</v>
      </c>
      <c r="AA68" s="382" t="s">
        <v>22</v>
      </c>
      <c r="AB68" s="428" t="s">
        <v>22</v>
      </c>
      <c r="AC68" s="428" t="s">
        <v>22</v>
      </c>
      <c r="AD68" s="428" t="s">
        <v>22</v>
      </c>
      <c r="AE68" s="428" t="s">
        <v>22</v>
      </c>
      <c r="AF68" s="428" t="s">
        <v>22</v>
      </c>
      <c r="AG68" s="428" t="s">
        <v>22</v>
      </c>
      <c r="AH68" s="428" t="s">
        <v>22</v>
      </c>
      <c r="AI68" s="428" t="s">
        <v>22</v>
      </c>
      <c r="AJ68" s="428" t="s">
        <v>22</v>
      </c>
      <c r="AK68" s="428" t="s">
        <v>22</v>
      </c>
      <c r="AL68" s="428" t="s">
        <v>22</v>
      </c>
      <c r="AM68" s="428" t="s">
        <v>22</v>
      </c>
      <c r="AN68" s="428" t="s">
        <v>22</v>
      </c>
      <c r="AO68" s="428" t="s">
        <v>22</v>
      </c>
      <c r="AP68" s="428" t="s">
        <v>22</v>
      </c>
      <c r="AQ68" s="428" t="s">
        <v>22</v>
      </c>
      <c r="AR68" s="429" t="s">
        <v>22</v>
      </c>
    </row>
    <row r="69" spans="1:45" ht="17.25" hidden="1" thickBot="1" x14ac:dyDescent="0.35">
      <c r="A69" s="430" t="s">
        <v>24</v>
      </c>
      <c r="B69" s="431" t="s">
        <v>22</v>
      </c>
      <c r="C69" s="431" t="s">
        <v>22</v>
      </c>
      <c r="D69" s="432" t="s">
        <v>22</v>
      </c>
      <c r="E69" s="432" t="s">
        <v>22</v>
      </c>
      <c r="F69" s="432" t="s">
        <v>22</v>
      </c>
      <c r="G69" s="432" t="s">
        <v>22</v>
      </c>
      <c r="H69" s="432" t="s">
        <v>22</v>
      </c>
      <c r="I69" s="432">
        <v>15219</v>
      </c>
      <c r="J69" s="432">
        <v>15688</v>
      </c>
      <c r="K69" s="432" t="s">
        <v>22</v>
      </c>
      <c r="L69" s="432" t="s">
        <v>22</v>
      </c>
      <c r="M69" s="432" t="s">
        <v>22</v>
      </c>
      <c r="N69" s="432" t="s">
        <v>22</v>
      </c>
      <c r="O69" s="382" t="s">
        <v>22</v>
      </c>
      <c r="P69" s="382" t="s">
        <v>22</v>
      </c>
      <c r="Q69" s="382" t="s">
        <v>22</v>
      </c>
      <c r="R69" s="382" t="s">
        <v>22</v>
      </c>
      <c r="S69" s="382" t="s">
        <v>22</v>
      </c>
      <c r="T69" s="382" t="s">
        <v>22</v>
      </c>
      <c r="U69" s="382" t="s">
        <v>22</v>
      </c>
      <c r="V69" s="382" t="s">
        <v>22</v>
      </c>
      <c r="W69" s="382" t="s">
        <v>22</v>
      </c>
      <c r="X69" s="382" t="s">
        <v>22</v>
      </c>
      <c r="Y69" s="382" t="s">
        <v>22</v>
      </c>
      <c r="Z69" s="382" t="s">
        <v>22</v>
      </c>
      <c r="AA69" s="382" t="s">
        <v>22</v>
      </c>
      <c r="AB69" s="428" t="s">
        <v>22</v>
      </c>
      <c r="AC69" s="428" t="s">
        <v>22</v>
      </c>
      <c r="AD69" s="428" t="s">
        <v>22</v>
      </c>
      <c r="AE69" s="428" t="s">
        <v>22</v>
      </c>
      <c r="AF69" s="428" t="s">
        <v>22</v>
      </c>
      <c r="AG69" s="428" t="s">
        <v>22</v>
      </c>
      <c r="AH69" s="428" t="s">
        <v>22</v>
      </c>
      <c r="AI69" s="428" t="s">
        <v>22</v>
      </c>
      <c r="AJ69" s="428" t="s">
        <v>22</v>
      </c>
      <c r="AK69" s="428" t="s">
        <v>22</v>
      </c>
      <c r="AL69" s="428" t="s">
        <v>22</v>
      </c>
      <c r="AM69" s="428" t="s">
        <v>22</v>
      </c>
      <c r="AN69" s="428" t="s">
        <v>22</v>
      </c>
      <c r="AO69" s="428" t="s">
        <v>22</v>
      </c>
      <c r="AP69" s="428" t="s">
        <v>22</v>
      </c>
      <c r="AQ69" s="428" t="s">
        <v>22</v>
      </c>
      <c r="AR69" s="429" t="s">
        <v>22</v>
      </c>
    </row>
    <row r="70" spans="1:45" ht="17.25" thickTop="1" x14ac:dyDescent="0.3">
      <c r="A70" s="433"/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5"/>
    </row>
    <row r="71" spans="1:45" x14ac:dyDescent="0.3">
      <c r="A71" s="244" t="s">
        <v>346</v>
      </c>
      <c r="Y71" s="244"/>
      <c r="AB71" s="328"/>
      <c r="AR71" s="435"/>
      <c r="AS71" s="435"/>
    </row>
    <row r="72" spans="1:45" x14ac:dyDescent="0.3">
      <c r="AR72" s="244"/>
    </row>
    <row r="73" spans="1:45" x14ac:dyDescent="0.3">
      <c r="AR73" s="244"/>
    </row>
    <row r="74" spans="1:45" x14ac:dyDescent="0.3">
      <c r="AR74" s="244"/>
    </row>
    <row r="75" spans="1:45" x14ac:dyDescent="0.3">
      <c r="AR75" s="244"/>
    </row>
    <row r="76" spans="1:45" x14ac:dyDescent="0.3">
      <c r="AR76" s="244"/>
    </row>
    <row r="77" spans="1:45" x14ac:dyDescent="0.3">
      <c r="AR77" s="244"/>
    </row>
    <row r="78" spans="1:45" x14ac:dyDescent="0.3">
      <c r="AR78" s="244"/>
    </row>
    <row r="79" spans="1:45" x14ac:dyDescent="0.3">
      <c r="AR79" s="244"/>
    </row>
    <row r="80" spans="1:45" x14ac:dyDescent="0.3">
      <c r="AR80" s="244"/>
    </row>
    <row r="81" spans="44:44" x14ac:dyDescent="0.3">
      <c r="AR81" s="244"/>
    </row>
    <row r="82" spans="44:44" x14ac:dyDescent="0.3">
      <c r="AR82" s="244"/>
    </row>
    <row r="83" spans="44:44" x14ac:dyDescent="0.3">
      <c r="AR83" s="244"/>
    </row>
    <row r="84" spans="44:44" x14ac:dyDescent="0.3">
      <c r="AR84" s="244"/>
    </row>
    <row r="85" spans="44:44" x14ac:dyDescent="0.3">
      <c r="AR85" s="244"/>
    </row>
    <row r="86" spans="44:44" x14ac:dyDescent="0.3">
      <c r="AR86" s="244"/>
    </row>
    <row r="87" spans="44:44" x14ac:dyDescent="0.3">
      <c r="AR87" s="244"/>
    </row>
    <row r="88" spans="44:44" x14ac:dyDescent="0.3">
      <c r="AR88" s="244"/>
    </row>
    <row r="89" spans="44:44" x14ac:dyDescent="0.3">
      <c r="AR89" s="244"/>
    </row>
    <row r="90" spans="44:44" x14ac:dyDescent="0.3">
      <c r="AR90" s="244"/>
    </row>
    <row r="91" spans="44:44" x14ac:dyDescent="0.3">
      <c r="AR91" s="244"/>
    </row>
    <row r="92" spans="44:44" x14ac:dyDescent="0.3">
      <c r="AR92" s="244"/>
    </row>
    <row r="93" spans="44:44" x14ac:dyDescent="0.3">
      <c r="AR93" s="244"/>
    </row>
    <row r="94" spans="44:44" x14ac:dyDescent="0.3">
      <c r="AR94" s="244"/>
    </row>
    <row r="95" spans="44:44" x14ac:dyDescent="0.3">
      <c r="AR95" s="244"/>
    </row>
    <row r="96" spans="44:44" x14ac:dyDescent="0.3">
      <c r="AR96" s="244"/>
    </row>
    <row r="97" spans="44:44" x14ac:dyDescent="0.3">
      <c r="AR97" s="244"/>
    </row>
    <row r="98" spans="44:44" x14ac:dyDescent="0.3">
      <c r="AR98" s="244"/>
    </row>
    <row r="99" spans="44:44" x14ac:dyDescent="0.3">
      <c r="AR99" s="244"/>
    </row>
    <row r="100" spans="44:44" x14ac:dyDescent="0.3">
      <c r="AR100" s="244"/>
    </row>
    <row r="101" spans="44:44" x14ac:dyDescent="0.3">
      <c r="AR101" s="244"/>
    </row>
    <row r="102" spans="44:44" x14ac:dyDescent="0.3">
      <c r="AR102" s="244"/>
    </row>
    <row r="103" spans="44:44" x14ac:dyDescent="0.3">
      <c r="AR103" s="244"/>
    </row>
    <row r="104" spans="44:44" x14ac:dyDescent="0.3">
      <c r="AR104" s="244"/>
    </row>
    <row r="105" spans="44:44" x14ac:dyDescent="0.3">
      <c r="AR105" s="244"/>
    </row>
    <row r="106" spans="44:44" x14ac:dyDescent="0.3">
      <c r="AR106" s="244"/>
    </row>
    <row r="107" spans="44:44" x14ac:dyDescent="0.3">
      <c r="AR107" s="244"/>
    </row>
  </sheetData>
  <mergeCells count="2">
    <mergeCell ref="A1:AR1"/>
    <mergeCell ref="A2:AR2"/>
  </mergeCells>
  <phoneticPr fontId="0" type="noConversion"/>
  <printOptions horizontalCentered="1" verticalCentered="1"/>
  <pageMargins left="0.75" right="0.75" top="0.5" bottom="0.5" header="0.5" footer="0.5"/>
  <pageSetup scale="67" orientation="landscape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3"/>
  <sheetViews>
    <sheetView zoomScaleNormal="100" workbookViewId="0">
      <selection activeCell="J26" sqref="J26"/>
    </sheetView>
  </sheetViews>
  <sheetFormatPr defaultRowHeight="10.5" x14ac:dyDescent="0.15"/>
  <cols>
    <col min="1" max="1" width="9.28515625" style="5" bestFit="1" customWidth="1"/>
    <col min="2" max="2" width="8.140625" style="5" bestFit="1" customWidth="1"/>
    <col min="3" max="3" width="9.28515625" style="92" bestFit="1" customWidth="1"/>
    <col min="4" max="4" width="9.85546875" style="5" bestFit="1" customWidth="1"/>
    <col min="5" max="5" width="11.7109375" style="5" bestFit="1" customWidth="1"/>
    <col min="6" max="6" width="10" style="5" bestFit="1" customWidth="1"/>
    <col min="7" max="7" width="11.7109375" style="5" bestFit="1" customWidth="1"/>
    <col min="8" max="8" width="12.85546875" style="5" bestFit="1" customWidth="1"/>
    <col min="9" max="9" width="23.140625" style="5" customWidth="1"/>
    <col min="10" max="10" width="9" style="5" bestFit="1" customWidth="1"/>
    <col min="11" max="12" width="12.28515625" style="5" bestFit="1" customWidth="1"/>
    <col min="13" max="13" width="11.28515625" style="5" customWidth="1"/>
    <col min="14" max="16384" width="9.140625" style="5"/>
  </cols>
  <sheetData>
    <row r="1" spans="1:13" x14ac:dyDescent="0.15">
      <c r="B1" s="103" t="s">
        <v>216</v>
      </c>
      <c r="C1" s="104"/>
      <c r="D1" s="104"/>
      <c r="E1" s="104"/>
      <c r="F1" s="105"/>
      <c r="G1" s="106" t="s">
        <v>10</v>
      </c>
    </row>
    <row r="2" spans="1:13" x14ac:dyDescent="0.15">
      <c r="A2" s="5" t="s">
        <v>26</v>
      </c>
      <c r="B2" s="5" t="s">
        <v>196</v>
      </c>
      <c r="C2" s="107" t="s">
        <v>27</v>
      </c>
      <c r="D2" s="28" t="s">
        <v>6</v>
      </c>
      <c r="E2" s="28" t="s">
        <v>10</v>
      </c>
      <c r="F2" s="106" t="s">
        <v>11</v>
      </c>
      <c r="G2" s="106" t="s">
        <v>12</v>
      </c>
    </row>
    <row r="3" spans="1:13" ht="11.25" thickBot="1" x14ac:dyDescent="0.2"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3" x14ac:dyDescent="0.15">
      <c r="A4" s="110">
        <v>11</v>
      </c>
      <c r="B4" s="111"/>
      <c r="C4" s="112"/>
      <c r="D4" s="113">
        <f>table7!E7</f>
        <v>253.2</v>
      </c>
      <c r="E4" s="114">
        <f>table7!F7</f>
        <v>167016</v>
      </c>
      <c r="F4" s="115"/>
      <c r="G4" s="116"/>
      <c r="H4" s="117"/>
      <c r="M4" s="118"/>
    </row>
    <row r="5" spans="1:13" x14ac:dyDescent="0.15">
      <c r="A5" s="119">
        <v>12</v>
      </c>
      <c r="B5" s="120"/>
      <c r="C5" s="121"/>
      <c r="D5" s="113">
        <f>table7!E8</f>
        <v>141.35</v>
      </c>
      <c r="E5" s="122">
        <f>table7!F8</f>
        <v>177432</v>
      </c>
      <c r="F5" s="37"/>
      <c r="G5" s="37"/>
      <c r="H5" s="123"/>
    </row>
    <row r="6" spans="1:13" ht="11.25" thickBot="1" x14ac:dyDescent="0.2">
      <c r="A6" s="124">
        <v>13</v>
      </c>
      <c r="B6" s="125"/>
      <c r="C6" s="126"/>
      <c r="D6" s="127">
        <f>table7!E9</f>
        <v>1019.85</v>
      </c>
      <c r="E6" s="128">
        <f>table7!F9</f>
        <v>143011</v>
      </c>
      <c r="F6" s="129">
        <f>SUM(D4:D6)</f>
        <v>1414.4</v>
      </c>
      <c r="G6" s="130">
        <f>SUMPRODUCT(D4:D6*E4:E6)/F6</f>
        <v>150748.18491940043</v>
      </c>
      <c r="H6" s="131"/>
    </row>
    <row r="7" spans="1:13" x14ac:dyDescent="0.15">
      <c r="A7" s="110">
        <v>21</v>
      </c>
      <c r="B7" s="120"/>
      <c r="C7" s="121"/>
      <c r="D7" s="113">
        <f>table7!E10</f>
        <v>1211.6600000000001</v>
      </c>
      <c r="E7" s="132">
        <f>table7!F10</f>
        <v>138741</v>
      </c>
      <c r="F7" s="133"/>
      <c r="G7" s="134"/>
      <c r="H7" s="135"/>
    </row>
    <row r="8" spans="1:13" x14ac:dyDescent="0.15">
      <c r="A8" s="119">
        <v>22</v>
      </c>
      <c r="B8" s="120"/>
      <c r="C8" s="121"/>
      <c r="D8" s="113">
        <f>table7!E11</f>
        <v>532.72</v>
      </c>
      <c r="E8" s="132">
        <f>table7!F11</f>
        <v>126156</v>
      </c>
      <c r="F8" s="31"/>
      <c r="G8" s="134"/>
      <c r="H8" s="136"/>
      <c r="I8" s="137" t="s">
        <v>28</v>
      </c>
      <c r="J8" s="137"/>
      <c r="L8" s="88"/>
    </row>
    <row r="9" spans="1:13" x14ac:dyDescent="0.15">
      <c r="A9" s="119">
        <v>23</v>
      </c>
      <c r="B9" s="120"/>
      <c r="C9" s="121"/>
      <c r="D9" s="113">
        <f>table7!E12</f>
        <v>747.51</v>
      </c>
      <c r="E9" s="132">
        <f>table7!F12</f>
        <v>144735</v>
      </c>
      <c r="F9" s="31"/>
      <c r="G9" s="37"/>
      <c r="H9" s="138"/>
      <c r="I9" s="137" t="s">
        <v>29</v>
      </c>
      <c r="J9" s="118">
        <f>+F6+F11</f>
        <v>5028.51</v>
      </c>
      <c r="L9" s="88"/>
    </row>
    <row r="10" spans="1:13" x14ac:dyDescent="0.15">
      <c r="A10" s="119">
        <v>24</v>
      </c>
      <c r="B10" s="120"/>
      <c r="C10" s="121"/>
      <c r="D10" s="113">
        <f>table7!E13</f>
        <v>898.16</v>
      </c>
      <c r="E10" s="132">
        <f>table7!F13</f>
        <v>135796</v>
      </c>
      <c r="F10" s="139"/>
      <c r="G10" s="37"/>
      <c r="H10" s="138"/>
      <c r="I10" s="140" t="s">
        <v>30</v>
      </c>
      <c r="J10" s="141">
        <f>SUMPRODUCT(D4:D11*E4:E11)/J9</f>
        <v>140303.00747935273</v>
      </c>
      <c r="L10" s="88"/>
    </row>
    <row r="11" spans="1:13" ht="11.25" thickBot="1" x14ac:dyDescent="0.2">
      <c r="A11" s="124">
        <v>25</v>
      </c>
      <c r="B11" s="125"/>
      <c r="C11" s="126"/>
      <c r="D11" s="127">
        <f>table7!E14</f>
        <v>224.06</v>
      </c>
      <c r="E11" s="125">
        <f>table7!F14</f>
        <v>119730</v>
      </c>
      <c r="F11" s="142">
        <f>SUM(D7:D11)</f>
        <v>3614.11</v>
      </c>
      <c r="G11" s="130">
        <f>SUMPRODUCT(D7:D11*E7:E11)/F11</f>
        <v>136215.23511735947</v>
      </c>
      <c r="H11" s="143"/>
      <c r="I11" s="137"/>
      <c r="J11" s="144"/>
      <c r="L11" s="88"/>
    </row>
    <row r="12" spans="1:13" x14ac:dyDescent="0.15">
      <c r="A12" s="110">
        <v>31</v>
      </c>
      <c r="B12" s="120">
        <f>table7!C15</f>
        <v>33638</v>
      </c>
      <c r="C12" s="121">
        <f>table7!D15</f>
        <v>5379</v>
      </c>
      <c r="D12" s="113">
        <f>table7!E15</f>
        <v>27321.33</v>
      </c>
      <c r="E12" s="132">
        <f>table7!F15</f>
        <v>77906</v>
      </c>
      <c r="F12" s="133"/>
      <c r="G12" s="134"/>
      <c r="H12" s="145"/>
      <c r="I12" s="110"/>
      <c r="J12" s="135"/>
    </row>
    <row r="13" spans="1:13" x14ac:dyDescent="0.15">
      <c r="A13" s="119">
        <v>32</v>
      </c>
      <c r="B13" s="120">
        <f>table7!C16</f>
        <v>29851</v>
      </c>
      <c r="C13" s="121">
        <f>table7!D16</f>
        <v>7177</v>
      </c>
      <c r="D13" s="113">
        <f>table7!E16</f>
        <v>23521.24</v>
      </c>
      <c r="E13" s="132">
        <f>table7!F16</f>
        <v>80958</v>
      </c>
      <c r="F13" s="31"/>
      <c r="G13" s="37"/>
      <c r="H13" s="106"/>
      <c r="I13" s="146"/>
      <c r="J13" s="147"/>
    </row>
    <row r="14" spans="1:13" x14ac:dyDescent="0.15">
      <c r="A14" s="119">
        <v>33</v>
      </c>
      <c r="B14" s="120">
        <f>table7!C17</f>
        <v>14253</v>
      </c>
      <c r="C14" s="121">
        <f>table7!D17</f>
        <v>6904</v>
      </c>
      <c r="D14" s="113">
        <f>table7!E17</f>
        <v>7893.93</v>
      </c>
      <c r="E14" s="132">
        <f>table7!F17</f>
        <v>79381</v>
      </c>
      <c r="F14" s="148"/>
      <c r="G14" s="149"/>
      <c r="H14" s="150"/>
      <c r="I14" s="146">
        <f>+Table2!F68</f>
        <v>62691.37000000001</v>
      </c>
      <c r="J14" s="147" t="s">
        <v>13</v>
      </c>
    </row>
    <row r="15" spans="1:13" x14ac:dyDescent="0.15">
      <c r="A15" s="119">
        <v>34</v>
      </c>
      <c r="B15" s="120">
        <f>table7!C18</f>
        <v>4767</v>
      </c>
      <c r="C15" s="121">
        <f>table7!D18</f>
        <v>6092</v>
      </c>
      <c r="D15" s="113">
        <f>table7!E18</f>
        <v>3743.15</v>
      </c>
      <c r="E15" s="132">
        <f>table7!F18</f>
        <v>82142</v>
      </c>
      <c r="F15" s="148">
        <f>SUM(D12:D15)</f>
        <v>62479.650000000009</v>
      </c>
      <c r="G15" s="149">
        <f>SUMPRODUCT(D12:D15*E12:E15)/F15</f>
        <v>79495.099084741989</v>
      </c>
      <c r="H15" s="150" t="s">
        <v>211</v>
      </c>
      <c r="I15" s="146">
        <v>62479.66</v>
      </c>
      <c r="J15" s="147" t="s">
        <v>185</v>
      </c>
    </row>
    <row r="16" spans="1:13" ht="11.25" thickBot="1" x14ac:dyDescent="0.2">
      <c r="A16" s="124">
        <v>63</v>
      </c>
      <c r="B16" s="125">
        <f>table7!C32</f>
        <v>261</v>
      </c>
      <c r="C16" s="126">
        <f>table7!D32</f>
        <v>0</v>
      </c>
      <c r="D16" s="127">
        <f>table7!E32</f>
        <v>211.72</v>
      </c>
      <c r="E16" s="125">
        <f>table7!F32</f>
        <v>54029</v>
      </c>
      <c r="F16" s="142">
        <f>SUM(D12:D16)</f>
        <v>62691.37000000001</v>
      </c>
      <c r="G16" s="151">
        <f>SUMPRODUCT(D12:D16*E12:E16)/F16</f>
        <v>79409.095500864001</v>
      </c>
      <c r="H16" s="152"/>
      <c r="I16" s="153">
        <f>+I14-I15</f>
        <v>211.7100000000064</v>
      </c>
      <c r="J16" s="154" t="s">
        <v>14</v>
      </c>
    </row>
    <row r="17" spans="1:12" x14ac:dyDescent="0.15">
      <c r="A17" s="110">
        <v>40</v>
      </c>
      <c r="B17" s="120">
        <f>table7!C19</f>
        <v>4995</v>
      </c>
      <c r="C17" s="121">
        <f>table7!D19</f>
        <v>5878</v>
      </c>
      <c r="D17" s="113">
        <f>table7!E19</f>
        <v>2027.1</v>
      </c>
      <c r="E17" s="132">
        <f>table7!F19</f>
        <v>88979</v>
      </c>
      <c r="F17" s="133"/>
      <c r="G17" s="134"/>
      <c r="H17" s="135"/>
      <c r="I17" s="119"/>
      <c r="J17" s="105"/>
    </row>
    <row r="18" spans="1:12" x14ac:dyDescent="0.15">
      <c r="A18" s="119">
        <v>41</v>
      </c>
      <c r="B18" s="120">
        <f>table7!C20</f>
        <v>1149</v>
      </c>
      <c r="C18" s="121">
        <f>table7!D20</f>
        <v>7824</v>
      </c>
      <c r="D18" s="113">
        <f>table7!E20</f>
        <v>790.6</v>
      </c>
      <c r="E18" s="132">
        <f>table7!F20</f>
        <v>90426</v>
      </c>
      <c r="F18" s="31"/>
      <c r="G18" s="134"/>
      <c r="H18" s="136"/>
      <c r="I18" s="119"/>
      <c r="J18" s="105"/>
    </row>
    <row r="19" spans="1:12" x14ac:dyDescent="0.15">
      <c r="A19" s="119">
        <v>42</v>
      </c>
      <c r="B19" s="120">
        <f>table7!C21</f>
        <v>2992</v>
      </c>
      <c r="C19" s="121">
        <f>table7!D21</f>
        <v>8616</v>
      </c>
      <c r="D19" s="113">
        <f>table7!E21</f>
        <v>2738.21</v>
      </c>
      <c r="E19" s="132">
        <f>table7!F21</f>
        <v>81531</v>
      </c>
      <c r="F19" s="31"/>
      <c r="G19" s="134"/>
      <c r="H19" s="136"/>
      <c r="I19" s="119"/>
      <c r="J19" s="105"/>
    </row>
    <row r="20" spans="1:12" x14ac:dyDescent="0.15">
      <c r="A20" s="119">
        <v>43</v>
      </c>
      <c r="B20" s="120">
        <f>table7!C22</f>
        <v>644</v>
      </c>
      <c r="C20" s="121">
        <f>table7!D22</f>
        <v>8680</v>
      </c>
      <c r="D20" s="113">
        <f>table7!E22</f>
        <v>538.72</v>
      </c>
      <c r="E20" s="132">
        <f>table7!F22</f>
        <v>81010</v>
      </c>
      <c r="F20" s="148">
        <f>D16+D27</f>
        <v>315.26</v>
      </c>
      <c r="G20" s="149">
        <f>+((D16*E16)+(D27*E27))/F20</f>
        <v>57261.053352788178</v>
      </c>
      <c r="H20" s="147" t="s">
        <v>213</v>
      </c>
      <c r="I20" s="119"/>
      <c r="J20" s="105"/>
    </row>
    <row r="21" spans="1:12" x14ac:dyDescent="0.15">
      <c r="A21" s="119">
        <v>44</v>
      </c>
      <c r="B21" s="120">
        <f>table7!C23</f>
        <v>323</v>
      </c>
      <c r="C21" s="121">
        <f>table7!D23</f>
        <v>5709</v>
      </c>
      <c r="D21" s="113">
        <f>table7!E23</f>
        <v>200.71</v>
      </c>
      <c r="E21" s="132">
        <f>table7!F23</f>
        <v>77721</v>
      </c>
      <c r="F21" s="31"/>
      <c r="G21" s="134"/>
      <c r="H21" s="136"/>
      <c r="I21" s="119"/>
      <c r="J21" s="105"/>
    </row>
    <row r="22" spans="1:12" x14ac:dyDescent="0.15">
      <c r="A22" s="119">
        <v>45</v>
      </c>
      <c r="B22" s="120">
        <f>table7!C24</f>
        <v>1653</v>
      </c>
      <c r="C22" s="121">
        <f>table7!D24</f>
        <v>8063</v>
      </c>
      <c r="D22" s="113">
        <f>table7!E24</f>
        <v>1455.9</v>
      </c>
      <c r="E22" s="132">
        <f>table7!F24</f>
        <v>82661</v>
      </c>
      <c r="F22" s="31"/>
      <c r="G22" s="134"/>
      <c r="H22" s="136"/>
      <c r="I22" s="119"/>
      <c r="J22" s="105"/>
    </row>
    <row r="23" spans="1:12" x14ac:dyDescent="0.15">
      <c r="A23" s="119">
        <v>46</v>
      </c>
      <c r="B23" s="120">
        <f>table7!C25</f>
        <v>1242</v>
      </c>
      <c r="C23" s="121">
        <f>table7!D25</f>
        <v>10329</v>
      </c>
      <c r="D23" s="113">
        <f>table7!E25</f>
        <v>1093.4100000000001</v>
      </c>
      <c r="E23" s="132">
        <f>table7!F25</f>
        <v>84252</v>
      </c>
      <c r="F23" s="31"/>
      <c r="G23" s="134"/>
      <c r="H23" s="136"/>
      <c r="I23" s="137" t="s">
        <v>31</v>
      </c>
      <c r="J23" s="155"/>
    </row>
    <row r="24" spans="1:12" x14ac:dyDescent="0.15">
      <c r="A24" s="119">
        <v>47</v>
      </c>
      <c r="B24" s="120">
        <f>table7!C26</f>
        <v>666</v>
      </c>
      <c r="C24" s="121">
        <f>table7!D26</f>
        <v>6615</v>
      </c>
      <c r="D24" s="113">
        <f>table7!E26</f>
        <v>567.20000000000005</v>
      </c>
      <c r="E24" s="132">
        <f>table7!F26</f>
        <v>72121</v>
      </c>
      <c r="F24" s="31"/>
      <c r="G24" s="134"/>
      <c r="H24" s="136"/>
      <c r="I24" s="137" t="s">
        <v>29</v>
      </c>
      <c r="J24" s="118">
        <f>+F16+F27</f>
        <v>72395.950000000012</v>
      </c>
    </row>
    <row r="25" spans="1:12" x14ac:dyDescent="0.15">
      <c r="A25" s="119">
        <v>48</v>
      </c>
      <c r="B25" s="120">
        <f>table7!C27</f>
        <v>222</v>
      </c>
      <c r="C25" s="121">
        <f>table7!D27</f>
        <v>9212</v>
      </c>
      <c r="D25" s="113">
        <f>table7!E27</f>
        <v>177.19</v>
      </c>
      <c r="E25" s="132">
        <f>table7!F27</f>
        <v>87473</v>
      </c>
      <c r="F25" s="31"/>
      <c r="G25" s="37"/>
      <c r="H25" s="138"/>
      <c r="I25" s="156" t="s">
        <v>30</v>
      </c>
      <c r="J25" s="141">
        <f>SUMPRODUCT(D12:D27,E12:E27)/J24</f>
        <v>79963.519224763251</v>
      </c>
    </row>
    <row r="26" spans="1:12" x14ac:dyDescent="0.15">
      <c r="A26" s="119">
        <v>49</v>
      </c>
      <c r="B26" s="120">
        <f>table7!C28</f>
        <v>16</v>
      </c>
      <c r="C26" s="121">
        <f>table7!D28</f>
        <v>6619</v>
      </c>
      <c r="D26" s="113">
        <f>table7!E28</f>
        <v>12</v>
      </c>
      <c r="E26" s="132">
        <f>table7!F28</f>
        <v>77678</v>
      </c>
      <c r="F26" s="148">
        <f>SUM(D17:D26)</f>
        <v>9601.0400000000009</v>
      </c>
      <c r="G26" s="149">
        <f>SUMPRODUCT(D17:D26*E17:E26)/F26</f>
        <v>83757.26508899036</v>
      </c>
      <c r="H26" s="147" t="s">
        <v>212</v>
      </c>
      <c r="I26" s="137" t="s">
        <v>32</v>
      </c>
      <c r="J26" s="141">
        <f>SUMPRODUCT(B12:B27,C12:C27)/J24</f>
        <v>8659.3159562102555</v>
      </c>
    </row>
    <row r="27" spans="1:12" ht="11.25" thickBot="1" x14ac:dyDescent="0.2">
      <c r="A27" s="124">
        <v>64</v>
      </c>
      <c r="B27" s="125">
        <f>table7!C33</f>
        <v>108</v>
      </c>
      <c r="C27" s="126">
        <f>table7!D33</f>
        <v>0</v>
      </c>
      <c r="D27" s="127">
        <f>table7!E33</f>
        <v>103.54</v>
      </c>
      <c r="E27" s="125">
        <f>table7!F33</f>
        <v>63870</v>
      </c>
      <c r="F27" s="142">
        <f>SUM(D17:D27)</f>
        <v>9704.5800000000017</v>
      </c>
      <c r="G27" s="157">
        <f>SUMPRODUCT(D17:D27*E17:E27)/F27</f>
        <v>83545.08409534466</v>
      </c>
      <c r="H27" s="143"/>
      <c r="I27" s="137"/>
      <c r="J27" s="141"/>
    </row>
    <row r="28" spans="1:12" x14ac:dyDescent="0.15">
      <c r="A28" s="110">
        <v>51</v>
      </c>
      <c r="B28" s="120"/>
      <c r="C28" s="158"/>
      <c r="D28" s="113">
        <f>table7!E29</f>
        <v>102.86</v>
      </c>
      <c r="E28" s="114">
        <f>table7!F29</f>
        <v>96829</v>
      </c>
      <c r="F28" s="115"/>
      <c r="G28" s="159"/>
      <c r="H28" s="160"/>
      <c r="I28" s="145"/>
      <c r="J28" s="135"/>
    </row>
    <row r="29" spans="1:12" x14ac:dyDescent="0.15">
      <c r="A29" s="119">
        <v>52</v>
      </c>
      <c r="B29" s="120"/>
      <c r="C29" s="158"/>
      <c r="D29" s="113">
        <f>table7!E30</f>
        <v>111.6</v>
      </c>
      <c r="E29" s="122">
        <f>table7!F30</f>
        <v>63889</v>
      </c>
      <c r="F29" s="161">
        <f>SUM(D28:D29)</f>
        <v>214.45999999999998</v>
      </c>
      <c r="G29" s="162">
        <f>SUMPRODUCT(D28:D29*E28:E29)/F29</f>
        <v>79687.789517858808</v>
      </c>
      <c r="H29" s="163" t="s">
        <v>214</v>
      </c>
      <c r="I29" s="164"/>
      <c r="J29" s="136"/>
    </row>
    <row r="30" spans="1:12" ht="11.25" thickBot="1" x14ac:dyDescent="0.2">
      <c r="A30" s="124">
        <v>61</v>
      </c>
      <c r="B30" s="125"/>
      <c r="C30" s="165"/>
      <c r="D30" s="127">
        <f>table7!E31</f>
        <v>65.53</v>
      </c>
      <c r="E30" s="128">
        <f>table7!F31</f>
        <v>93487</v>
      </c>
      <c r="F30" s="166">
        <f>SUM(D28:D30)</f>
        <v>279.99</v>
      </c>
      <c r="G30" s="167">
        <f>SUMPRODUCT(D28:D30*E28:E30)/F30</f>
        <v>82917.412943319403</v>
      </c>
      <c r="H30" s="168"/>
      <c r="I30" s="169" t="s">
        <v>215</v>
      </c>
      <c r="J30" s="170"/>
      <c r="K30" s="150"/>
      <c r="L30" s="171"/>
    </row>
    <row r="31" spans="1:12" x14ac:dyDescent="0.15">
      <c r="A31" s="11"/>
      <c r="B31" s="172"/>
      <c r="C31" s="5"/>
      <c r="D31" s="41" t="s">
        <v>11</v>
      </c>
      <c r="E31" s="42" t="s">
        <v>12</v>
      </c>
      <c r="F31" s="173" t="s">
        <v>15</v>
      </c>
      <c r="G31" s="174">
        <f>SUM(D4:D11)</f>
        <v>5028.5100000000011</v>
      </c>
      <c r="K31" s="175"/>
      <c r="L31" s="176"/>
    </row>
    <row r="32" spans="1:12" x14ac:dyDescent="0.15">
      <c r="A32" s="94" t="s">
        <v>16</v>
      </c>
      <c r="B32" s="177"/>
      <c r="C32" s="5"/>
      <c r="D32" s="178">
        <f>+G31+G32</f>
        <v>77704.450000000012</v>
      </c>
      <c r="E32" s="179">
        <f>SUMPRODUCT(D4:D30*E4:E30)/D32</f>
        <v>83878.929227476634</v>
      </c>
      <c r="F32" s="173" t="s">
        <v>320</v>
      </c>
      <c r="G32" s="174">
        <f>SUM(D12:D30)</f>
        <v>72675.940000000017</v>
      </c>
    </row>
    <row r="33" spans="1:7" x14ac:dyDescent="0.15">
      <c r="A33" s="5" t="s">
        <v>198</v>
      </c>
      <c r="B33" s="132"/>
      <c r="D33" s="95">
        <v>77704.44</v>
      </c>
      <c r="E33" s="180">
        <v>83879</v>
      </c>
      <c r="F33" s="173" t="s">
        <v>17</v>
      </c>
      <c r="G33" s="174">
        <f>+G31+G32</f>
        <v>77704.450000000012</v>
      </c>
    </row>
    <row r="34" spans="1:7" x14ac:dyDescent="0.15">
      <c r="A34" s="5" t="s">
        <v>19</v>
      </c>
      <c r="B34" s="132"/>
      <c r="D34" s="95">
        <f>+D32-D33</f>
        <v>1.0000000009313226E-2</v>
      </c>
      <c r="E34" s="132">
        <f>+E32-E33</f>
        <v>-7.0772523366031237E-2</v>
      </c>
    </row>
    <row r="35" spans="1:7" x14ac:dyDescent="0.15">
      <c r="B35" s="132"/>
      <c r="E35" s="181"/>
    </row>
    <row r="36" spans="1:7" x14ac:dyDescent="0.15">
      <c r="A36" s="5">
        <v>90</v>
      </c>
      <c r="B36" s="132"/>
      <c r="D36" s="113">
        <f>table7!E34</f>
        <v>8.52</v>
      </c>
      <c r="E36" s="92">
        <f>table7!F34</f>
        <v>53507</v>
      </c>
    </row>
    <row r="37" spans="1:7" x14ac:dyDescent="0.15">
      <c r="A37" s="5">
        <v>91</v>
      </c>
      <c r="B37" s="132"/>
      <c r="D37" s="113">
        <f>table7!E35</f>
        <v>14573.38</v>
      </c>
      <c r="E37" s="92">
        <f>table7!F35</f>
        <v>46969</v>
      </c>
    </row>
    <row r="38" spans="1:7" x14ac:dyDescent="0.15">
      <c r="A38" s="5">
        <v>92</v>
      </c>
      <c r="B38" s="132"/>
      <c r="D38" s="113">
        <f>table7!E36</f>
        <v>1613.87</v>
      </c>
      <c r="E38" s="92">
        <f>table7!F36</f>
        <v>69333</v>
      </c>
    </row>
    <row r="39" spans="1:7" x14ac:dyDescent="0.15">
      <c r="A39" s="5">
        <v>93</v>
      </c>
      <c r="B39" s="132"/>
      <c r="D39" s="113">
        <f>table7!E37</f>
        <v>227.32</v>
      </c>
      <c r="E39" s="92">
        <f>table7!F37</f>
        <v>59429</v>
      </c>
    </row>
    <row r="40" spans="1:7" x14ac:dyDescent="0.15">
      <c r="A40" s="5">
        <v>94</v>
      </c>
      <c r="B40" s="132"/>
      <c r="D40" s="113">
        <f>table7!E38</f>
        <v>7910.09</v>
      </c>
      <c r="E40" s="92">
        <f>table7!F38</f>
        <v>57169</v>
      </c>
    </row>
    <row r="41" spans="1:7" x14ac:dyDescent="0.15">
      <c r="A41" s="5">
        <v>95</v>
      </c>
      <c r="B41" s="132"/>
      <c r="D41" s="113">
        <f>table7!E39</f>
        <v>2457.0300000000002</v>
      </c>
      <c r="E41" s="92">
        <f>table7!F39</f>
        <v>54769</v>
      </c>
    </row>
    <row r="42" spans="1:7" x14ac:dyDescent="0.15">
      <c r="A42" s="5">
        <v>96</v>
      </c>
      <c r="B42" s="132"/>
      <c r="D42" s="113">
        <f>table7!E40</f>
        <v>2309.4899999999998</v>
      </c>
      <c r="E42" s="92">
        <f>table7!F40</f>
        <v>77833</v>
      </c>
    </row>
    <row r="43" spans="1:7" x14ac:dyDescent="0.15">
      <c r="A43" s="5">
        <v>97</v>
      </c>
      <c r="B43" s="132"/>
      <c r="D43" s="113">
        <f>table7!E41</f>
        <v>8396.99</v>
      </c>
      <c r="E43" s="92">
        <f>table7!F41</f>
        <v>48623</v>
      </c>
    </row>
    <row r="44" spans="1:7" x14ac:dyDescent="0.15">
      <c r="A44" s="5">
        <v>98</v>
      </c>
      <c r="B44" s="132"/>
      <c r="D44" s="113">
        <f>table7!E42</f>
        <v>1708.32</v>
      </c>
      <c r="E44" s="92">
        <f>table7!F42</f>
        <v>75092</v>
      </c>
    </row>
    <row r="45" spans="1:7" x14ac:dyDescent="0.15">
      <c r="A45" s="5">
        <v>99</v>
      </c>
      <c r="B45" s="132"/>
      <c r="D45" s="113">
        <f>table7!E43</f>
        <v>1782.36</v>
      </c>
      <c r="E45" s="92">
        <f>table7!F43</f>
        <v>110681</v>
      </c>
    </row>
    <row r="46" spans="1:7" x14ac:dyDescent="0.15">
      <c r="B46" s="132"/>
      <c r="D46" s="182" t="s">
        <v>11</v>
      </c>
      <c r="E46" s="182" t="s">
        <v>12</v>
      </c>
    </row>
    <row r="47" spans="1:7" x14ac:dyDescent="0.15">
      <c r="A47" s="171" t="s">
        <v>18</v>
      </c>
      <c r="B47" s="183"/>
      <c r="D47" s="184">
        <f>SUM(D36:D45)</f>
        <v>40987.369999999995</v>
      </c>
      <c r="E47" s="185">
        <f>SUMPRODUCT(D36:D45*E36:E45)/D47</f>
        <v>56376.726725086301</v>
      </c>
    </row>
    <row r="48" spans="1:7" x14ac:dyDescent="0.15">
      <c r="A48" s="5" t="s">
        <v>197</v>
      </c>
      <c r="B48" s="132"/>
      <c r="D48" s="95">
        <v>40987.360000000001</v>
      </c>
      <c r="E48" s="88">
        <v>56377</v>
      </c>
    </row>
    <row r="49" spans="1:5" x14ac:dyDescent="0.15">
      <c r="A49" s="5" t="s">
        <v>19</v>
      </c>
      <c r="B49" s="132"/>
      <c r="D49" s="95">
        <f>+D47-D48</f>
        <v>9.9999999947613105E-3</v>
      </c>
      <c r="E49" s="132">
        <f>+E47-E48</f>
        <v>-0.27327491369942436</v>
      </c>
    </row>
    <row r="50" spans="1:5" x14ac:dyDescent="0.15">
      <c r="B50" s="132"/>
    </row>
    <row r="51" spans="1:5" x14ac:dyDescent="0.15">
      <c r="A51" s="5" t="s">
        <v>174</v>
      </c>
      <c r="B51" s="132"/>
      <c r="D51" s="95">
        <f>SUM(D4:D30)+SUM(D36:D45)</f>
        <v>118691.82000000002</v>
      </c>
    </row>
    <row r="52" spans="1:5" x14ac:dyDescent="0.15">
      <c r="A52" s="5" t="s">
        <v>9</v>
      </c>
      <c r="B52" s="132"/>
      <c r="D52" s="95">
        <v>118691.79</v>
      </c>
    </row>
    <row r="53" spans="1:5" x14ac:dyDescent="0.15">
      <c r="A53" s="5" t="s">
        <v>19</v>
      </c>
      <c r="B53" s="132"/>
      <c r="D53" s="95">
        <f>+D51-D52</f>
        <v>3.0000000027939677E-2</v>
      </c>
    </row>
  </sheetData>
  <phoneticPr fontId="0" type="noConversion"/>
  <pageMargins left="1" right="1" top="1" bottom="0.99" header="0.5" footer="0.5"/>
  <pageSetup scale="86" orientation="landscape" r:id="rId1"/>
  <headerFooter alignWithMargins="0">
    <oddHeader>&amp;A</oddHeader>
    <oddFooter>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90"/>
  <sheetViews>
    <sheetView showZeros="0" zoomScaleNormal="10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14.28515625" style="5" customWidth="1"/>
    <col min="2" max="9" width="9" style="5" customWidth="1"/>
    <col min="10" max="10" width="15.7109375" style="5" customWidth="1"/>
    <col min="11" max="11" width="12" style="5" customWidth="1"/>
    <col min="12" max="12" width="10.7109375" style="5" customWidth="1"/>
    <col min="13" max="13" width="9" style="5" customWidth="1"/>
    <col min="14" max="14" width="10.7109375" style="5" customWidth="1"/>
    <col min="15" max="16" width="9.85546875" style="5" customWidth="1"/>
    <col min="17" max="17" width="10.7109375" style="5" customWidth="1"/>
    <col min="18" max="18" width="12" style="5" customWidth="1"/>
    <col min="19" max="19" width="9" style="5" customWidth="1"/>
    <col min="20" max="20" width="15.7109375" style="5" customWidth="1"/>
    <col min="21" max="21" width="12.28515625" style="5" bestFit="1" customWidth="1"/>
    <col min="22" max="16384" width="9.140625" style="5"/>
  </cols>
  <sheetData>
    <row r="1" spans="1:20" ht="11.25" thickBot="1" x14ac:dyDescent="0.2">
      <c r="A1" s="8" t="s">
        <v>484</v>
      </c>
      <c r="B1" s="9"/>
      <c r="C1" s="10"/>
    </row>
    <row r="2" spans="1:20" ht="11.25" thickBot="1" x14ac:dyDescent="0.2">
      <c r="A2" s="11" t="s">
        <v>33</v>
      </c>
      <c r="B2" s="12" t="s">
        <v>34</v>
      </c>
      <c r="C2" s="13"/>
      <c r="D2" s="13"/>
      <c r="E2" s="13"/>
      <c r="F2" s="13"/>
      <c r="G2" s="13"/>
      <c r="H2" s="13"/>
      <c r="I2" s="13"/>
      <c r="K2" s="12" t="s">
        <v>35</v>
      </c>
      <c r="L2" s="14"/>
      <c r="M2" s="14"/>
      <c r="N2" s="14"/>
      <c r="O2" s="14"/>
      <c r="P2" s="14"/>
      <c r="Q2" s="14"/>
      <c r="R2" s="14"/>
    </row>
    <row r="3" spans="1:20" ht="11.25" thickBot="1" x14ac:dyDescent="0.2">
      <c r="A3" s="15" t="s">
        <v>36</v>
      </c>
      <c r="B3" s="16" t="s">
        <v>37</v>
      </c>
      <c r="C3" s="16" t="s">
        <v>364</v>
      </c>
      <c r="D3" s="16" t="s">
        <v>483</v>
      </c>
      <c r="E3" s="17">
        <v>31</v>
      </c>
      <c r="F3" s="17">
        <v>34</v>
      </c>
      <c r="G3" s="17">
        <v>45</v>
      </c>
      <c r="H3" s="17">
        <v>97</v>
      </c>
      <c r="I3" s="17" t="s">
        <v>38</v>
      </c>
      <c r="K3" s="16" t="s">
        <v>37</v>
      </c>
      <c r="L3" s="16" t="s">
        <v>364</v>
      </c>
      <c r="M3" s="16" t="s">
        <v>483</v>
      </c>
      <c r="N3" s="17">
        <v>31</v>
      </c>
      <c r="O3" s="17">
        <v>34</v>
      </c>
      <c r="P3" s="17">
        <v>45</v>
      </c>
      <c r="Q3" s="17">
        <v>97</v>
      </c>
      <c r="R3" s="18" t="s">
        <v>39</v>
      </c>
      <c r="S3" s="5" t="s">
        <v>40</v>
      </c>
    </row>
    <row r="4" spans="1:20" x14ac:dyDescent="0.15">
      <c r="A4" s="5">
        <v>11</v>
      </c>
      <c r="B4" s="7">
        <v>2.5</v>
      </c>
      <c r="C4" s="7"/>
      <c r="D4" s="7"/>
      <c r="E4" s="7"/>
      <c r="F4" s="7"/>
      <c r="G4" s="7"/>
      <c r="H4" s="7">
        <v>249.8</v>
      </c>
      <c r="I4" s="19">
        <f t="shared" ref="I4:I40" si="0">SUM(B4:H4)</f>
        <v>252.3</v>
      </c>
      <c r="J4" s="20" t="s">
        <v>41</v>
      </c>
      <c r="K4" s="21"/>
      <c r="L4" s="21"/>
      <c r="M4" s="21"/>
      <c r="N4" s="21"/>
      <c r="O4" s="21"/>
      <c r="P4" s="21"/>
      <c r="Q4" s="21"/>
      <c r="R4" s="22"/>
      <c r="S4" s="23" t="s">
        <v>57</v>
      </c>
      <c r="T4" s="20" t="s">
        <v>41</v>
      </c>
    </row>
    <row r="5" spans="1:20" x14ac:dyDescent="0.15">
      <c r="A5" s="5">
        <v>12</v>
      </c>
      <c r="B5" s="7">
        <v>76.290000000000006</v>
      </c>
      <c r="C5" s="7">
        <v>0.15</v>
      </c>
      <c r="D5" s="7"/>
      <c r="E5" s="7">
        <v>1.07</v>
      </c>
      <c r="F5" s="7"/>
      <c r="G5" s="7"/>
      <c r="H5" s="7">
        <v>55.16</v>
      </c>
      <c r="I5" s="19">
        <f t="shared" si="0"/>
        <v>132.67000000000002</v>
      </c>
      <c r="J5" s="24" t="s">
        <v>29</v>
      </c>
      <c r="K5" s="25">
        <f t="shared" ref="K5:Q5" si="1">SUM(B4:B11)</f>
        <v>3831.4500000000003</v>
      </c>
      <c r="L5" s="25">
        <f t="shared" si="1"/>
        <v>84.41</v>
      </c>
      <c r="M5" s="25">
        <f t="shared" si="1"/>
        <v>6.19</v>
      </c>
      <c r="N5" s="25">
        <f t="shared" si="1"/>
        <v>102.86</v>
      </c>
      <c r="O5" s="25">
        <f t="shared" si="1"/>
        <v>22.69</v>
      </c>
      <c r="P5" s="25">
        <f t="shared" si="1"/>
        <v>25.21</v>
      </c>
      <c r="Q5" s="25">
        <f t="shared" si="1"/>
        <v>413.40000000000009</v>
      </c>
      <c r="R5" s="26">
        <f>SUM(K5:Q5)</f>
        <v>4486.2100000000009</v>
      </c>
      <c r="S5" s="27">
        <v>4486.21</v>
      </c>
      <c r="T5" s="24" t="s">
        <v>29</v>
      </c>
    </row>
    <row r="6" spans="1:20" x14ac:dyDescent="0.15">
      <c r="A6" s="5">
        <v>13</v>
      </c>
      <c r="B6" s="7">
        <v>385.98</v>
      </c>
      <c r="C6" s="7">
        <v>8.83</v>
      </c>
      <c r="D6" s="7">
        <v>0.34</v>
      </c>
      <c r="E6" s="7">
        <v>64.510000000000005</v>
      </c>
      <c r="F6" s="7">
        <v>15.15</v>
      </c>
      <c r="G6" s="7"/>
      <c r="H6" s="7">
        <v>106.29</v>
      </c>
      <c r="I6" s="19">
        <f t="shared" si="0"/>
        <v>581.09999999999991</v>
      </c>
      <c r="J6" s="28"/>
      <c r="K6" s="29"/>
      <c r="L6" s="29"/>
      <c r="M6" s="29"/>
      <c r="N6" s="29"/>
      <c r="R6" s="30"/>
    </row>
    <row r="7" spans="1:20" x14ac:dyDescent="0.15">
      <c r="A7" s="5">
        <v>21</v>
      </c>
      <c r="B7" s="7">
        <v>1190.56</v>
      </c>
      <c r="C7" s="7">
        <v>14.6</v>
      </c>
      <c r="D7" s="7"/>
      <c r="E7" s="7"/>
      <c r="F7" s="7"/>
      <c r="G7" s="7"/>
      <c r="H7" s="7">
        <v>0.05</v>
      </c>
      <c r="I7" s="19">
        <f t="shared" si="0"/>
        <v>1205.2099999999998</v>
      </c>
      <c r="J7" s="28"/>
      <c r="R7" s="31"/>
    </row>
    <row r="8" spans="1:20" x14ac:dyDescent="0.15">
      <c r="A8" s="5">
        <v>22</v>
      </c>
      <c r="B8" s="7">
        <v>518.09</v>
      </c>
      <c r="C8" s="7">
        <v>1</v>
      </c>
      <c r="D8" s="7"/>
      <c r="E8" s="7"/>
      <c r="F8" s="7"/>
      <c r="G8" s="7"/>
      <c r="H8" s="7">
        <v>0.5</v>
      </c>
      <c r="I8" s="19">
        <f t="shared" si="0"/>
        <v>519.59</v>
      </c>
      <c r="R8" s="31"/>
    </row>
    <row r="9" spans="1:20" x14ac:dyDescent="0.15">
      <c r="A9" s="5">
        <v>23</v>
      </c>
      <c r="B9" s="7">
        <v>696.01</v>
      </c>
      <c r="C9" s="7">
        <v>29.93</v>
      </c>
      <c r="D9" s="7">
        <v>4.82</v>
      </c>
      <c r="E9" s="7">
        <v>0</v>
      </c>
      <c r="F9" s="7"/>
      <c r="G9" s="7">
        <v>8.34</v>
      </c>
      <c r="H9" s="7">
        <v>1.1000000000000001</v>
      </c>
      <c r="I9" s="19">
        <f t="shared" si="0"/>
        <v>740.2</v>
      </c>
      <c r="R9" s="31"/>
    </row>
    <row r="10" spans="1:20" x14ac:dyDescent="0.15">
      <c r="A10" s="5">
        <v>24</v>
      </c>
      <c r="B10" s="7">
        <v>868.07</v>
      </c>
      <c r="C10" s="7">
        <v>15.03</v>
      </c>
      <c r="D10" s="7">
        <v>1.03</v>
      </c>
      <c r="E10" s="7">
        <v>1.62</v>
      </c>
      <c r="F10" s="7">
        <v>0</v>
      </c>
      <c r="G10" s="7">
        <v>4.25</v>
      </c>
      <c r="H10" s="7">
        <v>0.5</v>
      </c>
      <c r="I10" s="19">
        <f t="shared" si="0"/>
        <v>890.5</v>
      </c>
      <c r="R10" s="31"/>
    </row>
    <row r="11" spans="1:20" x14ac:dyDescent="0.15">
      <c r="A11" s="5">
        <v>25</v>
      </c>
      <c r="B11" s="7">
        <v>93.95</v>
      </c>
      <c r="C11" s="7">
        <v>14.87</v>
      </c>
      <c r="D11" s="7">
        <v>0</v>
      </c>
      <c r="E11" s="7">
        <v>35.659999999999997</v>
      </c>
      <c r="F11" s="7">
        <v>7.54</v>
      </c>
      <c r="G11" s="7">
        <v>12.62</v>
      </c>
      <c r="H11" s="7">
        <v>0</v>
      </c>
      <c r="I11" s="19">
        <f t="shared" si="0"/>
        <v>164.64000000000001</v>
      </c>
      <c r="J11" s="20" t="s">
        <v>42</v>
      </c>
      <c r="K11" s="21"/>
      <c r="L11" s="21"/>
      <c r="M11" s="21"/>
      <c r="N11" s="21"/>
      <c r="O11" s="21"/>
      <c r="P11" s="21"/>
      <c r="Q11" s="21"/>
      <c r="R11" s="22"/>
      <c r="S11" s="23" t="s">
        <v>59</v>
      </c>
      <c r="T11" s="20" t="s">
        <v>42</v>
      </c>
    </row>
    <row r="12" spans="1:20" x14ac:dyDescent="0.15">
      <c r="A12" s="5">
        <v>31</v>
      </c>
      <c r="B12" s="7">
        <v>25415.83</v>
      </c>
      <c r="C12" s="7">
        <v>299.62</v>
      </c>
      <c r="D12" s="7">
        <v>0</v>
      </c>
      <c r="E12" s="7">
        <v>0.31</v>
      </c>
      <c r="F12" s="7">
        <v>11.54</v>
      </c>
      <c r="G12" s="7">
        <v>0</v>
      </c>
      <c r="H12" s="7">
        <v>1</v>
      </c>
      <c r="I12" s="19">
        <f t="shared" si="0"/>
        <v>25728.300000000003</v>
      </c>
      <c r="J12" s="24" t="s">
        <v>29</v>
      </c>
      <c r="K12" s="25">
        <f t="shared" ref="K12:Q12" si="2">SUM(B12:B27)</f>
        <v>51480.41</v>
      </c>
      <c r="L12" s="25">
        <f t="shared" si="2"/>
        <v>1276.7200000000003</v>
      </c>
      <c r="M12" s="25">
        <f t="shared" si="2"/>
        <v>54.129999999999995</v>
      </c>
      <c r="N12" s="25">
        <f t="shared" si="2"/>
        <v>2874.9399999999996</v>
      </c>
      <c r="O12" s="25">
        <f t="shared" si="2"/>
        <v>542.63</v>
      </c>
      <c r="P12" s="25">
        <f t="shared" si="2"/>
        <v>205.86</v>
      </c>
      <c r="Q12" s="25">
        <f t="shared" si="2"/>
        <v>7.8</v>
      </c>
      <c r="R12" s="26">
        <f>SUM(K12:Q12)</f>
        <v>56442.490000000005</v>
      </c>
      <c r="S12" s="27">
        <v>56442.54</v>
      </c>
      <c r="T12" s="24" t="s">
        <v>29</v>
      </c>
    </row>
    <row r="13" spans="1:20" x14ac:dyDescent="0.15">
      <c r="A13" s="5">
        <v>32</v>
      </c>
      <c r="B13" s="7">
        <v>17721.439999999999</v>
      </c>
      <c r="C13" s="7">
        <v>574.03</v>
      </c>
      <c r="D13" s="7">
        <v>37.43</v>
      </c>
      <c r="E13" s="7">
        <v>2697.26</v>
      </c>
      <c r="F13" s="7">
        <v>492.08</v>
      </c>
      <c r="G13" s="7">
        <v>198.86</v>
      </c>
      <c r="H13" s="7">
        <v>4</v>
      </c>
      <c r="I13" s="19">
        <f t="shared" si="0"/>
        <v>21725.1</v>
      </c>
      <c r="J13" s="28"/>
      <c r="R13" s="31"/>
    </row>
    <row r="14" spans="1:20" x14ac:dyDescent="0.15">
      <c r="A14" s="5">
        <v>33</v>
      </c>
      <c r="B14" s="7">
        <v>566.4</v>
      </c>
      <c r="C14" s="7">
        <v>128.05000000000001</v>
      </c>
      <c r="D14" s="7">
        <v>7.3</v>
      </c>
      <c r="E14" s="7">
        <v>18.97</v>
      </c>
      <c r="F14" s="7">
        <v>3.8</v>
      </c>
      <c r="G14" s="7">
        <v>1</v>
      </c>
      <c r="H14" s="7">
        <v>1</v>
      </c>
      <c r="I14" s="19">
        <f>SUM(B14:H14)</f>
        <v>726.52</v>
      </c>
      <c r="J14" s="28"/>
      <c r="R14" s="31"/>
    </row>
    <row r="15" spans="1:20" x14ac:dyDescent="0.15">
      <c r="A15" s="5">
        <v>34</v>
      </c>
      <c r="B15" s="7">
        <v>3121.52</v>
      </c>
      <c r="C15" s="7">
        <v>13.26</v>
      </c>
      <c r="D15" s="7"/>
      <c r="E15" s="7">
        <v>0</v>
      </c>
      <c r="F15" s="7">
        <v>0</v>
      </c>
      <c r="G15" s="7"/>
      <c r="H15" s="7">
        <v>0</v>
      </c>
      <c r="I15" s="19">
        <f t="shared" si="0"/>
        <v>3134.78</v>
      </c>
      <c r="J15" s="28"/>
      <c r="R15" s="31"/>
    </row>
    <row r="16" spans="1:20" x14ac:dyDescent="0.15">
      <c r="A16" s="5">
        <v>63</v>
      </c>
      <c r="B16" s="7">
        <v>5</v>
      </c>
      <c r="C16" s="7">
        <v>174.41</v>
      </c>
      <c r="D16" s="7"/>
      <c r="E16" s="7"/>
      <c r="F16" s="7"/>
      <c r="G16" s="7">
        <v>2</v>
      </c>
      <c r="H16" s="7"/>
      <c r="I16" s="19">
        <f t="shared" si="0"/>
        <v>181.41</v>
      </c>
      <c r="R16" s="31"/>
    </row>
    <row r="17" spans="1:20" x14ac:dyDescent="0.15">
      <c r="A17" s="5">
        <v>40</v>
      </c>
      <c r="B17" s="7">
        <v>810.51</v>
      </c>
      <c r="C17" s="7">
        <v>23.19</v>
      </c>
      <c r="D17" s="7">
        <v>0.25</v>
      </c>
      <c r="E17" s="7">
        <v>38.5</v>
      </c>
      <c r="F17" s="7">
        <v>9.74</v>
      </c>
      <c r="G17" s="7">
        <v>2.2999999999999998</v>
      </c>
      <c r="H17" s="7">
        <v>1.8</v>
      </c>
      <c r="I17" s="19">
        <f t="shared" si="0"/>
        <v>886.29</v>
      </c>
      <c r="K17" s="29"/>
      <c r="L17" s="29"/>
      <c r="M17" s="29"/>
      <c r="N17" s="29"/>
      <c r="R17" s="30"/>
    </row>
    <row r="18" spans="1:20" x14ac:dyDescent="0.15">
      <c r="A18" s="5">
        <v>41</v>
      </c>
      <c r="B18" s="7">
        <v>777.8</v>
      </c>
      <c r="C18" s="7">
        <v>1</v>
      </c>
      <c r="D18" s="7"/>
      <c r="E18" s="7">
        <v>7.16</v>
      </c>
      <c r="F18" s="7">
        <v>1.01</v>
      </c>
      <c r="G18" s="7"/>
      <c r="H18" s="7">
        <v>0</v>
      </c>
      <c r="I18" s="19">
        <f t="shared" si="0"/>
        <v>786.96999999999991</v>
      </c>
      <c r="R18" s="31"/>
    </row>
    <row r="19" spans="1:20" x14ac:dyDescent="0.15">
      <c r="A19" s="5">
        <v>42</v>
      </c>
      <c r="B19" s="7">
        <v>2361.17</v>
      </c>
      <c r="C19" s="7">
        <v>52.52</v>
      </c>
      <c r="D19" s="7">
        <v>6.15</v>
      </c>
      <c r="E19" s="7">
        <v>112.74</v>
      </c>
      <c r="F19" s="7">
        <v>24.34</v>
      </c>
      <c r="G19" s="7">
        <v>1.5</v>
      </c>
      <c r="H19" s="7"/>
      <c r="I19" s="19">
        <f t="shared" si="0"/>
        <v>2558.42</v>
      </c>
      <c r="J19" s="20" t="s">
        <v>43</v>
      </c>
      <c r="K19" s="21"/>
      <c r="L19" s="21"/>
      <c r="M19" s="21"/>
      <c r="N19" s="21"/>
      <c r="O19" s="21"/>
      <c r="P19" s="21"/>
      <c r="Q19" s="21"/>
      <c r="R19" s="22"/>
      <c r="S19" s="23"/>
      <c r="T19" s="20" t="s">
        <v>43</v>
      </c>
    </row>
    <row r="20" spans="1:20" x14ac:dyDescent="0.15">
      <c r="A20" s="5">
        <v>43</v>
      </c>
      <c r="B20" s="7">
        <v>3.72</v>
      </c>
      <c r="C20" s="7">
        <v>0</v>
      </c>
      <c r="D20" s="7"/>
      <c r="E20" s="7"/>
      <c r="F20" s="7"/>
      <c r="G20" s="7"/>
      <c r="H20" s="7"/>
      <c r="I20" s="19">
        <f t="shared" si="0"/>
        <v>3.72</v>
      </c>
      <c r="J20" s="24" t="s">
        <v>29</v>
      </c>
      <c r="K20" s="25">
        <f t="shared" ref="K20:Q20" si="3">SUM(B28:B30)</f>
        <v>221.65</v>
      </c>
      <c r="L20" s="25">
        <f t="shared" si="3"/>
        <v>3.2</v>
      </c>
      <c r="M20" s="25">
        <f t="shared" si="3"/>
        <v>0</v>
      </c>
      <c r="N20" s="25">
        <f t="shared" si="3"/>
        <v>1</v>
      </c>
      <c r="O20" s="25">
        <f t="shared" si="3"/>
        <v>1.4400000000000002</v>
      </c>
      <c r="P20" s="25">
        <f t="shared" si="3"/>
        <v>0</v>
      </c>
      <c r="Q20" s="25">
        <f t="shared" si="3"/>
        <v>6.8</v>
      </c>
      <c r="R20" s="26">
        <f>SUM(K20:Q20)</f>
        <v>234.09</v>
      </c>
      <c r="S20" s="27"/>
      <c r="T20" s="24" t="s">
        <v>29</v>
      </c>
    </row>
    <row r="21" spans="1:20" x14ac:dyDescent="0.15">
      <c r="A21" s="5">
        <v>44</v>
      </c>
      <c r="B21" s="7">
        <v>128.09</v>
      </c>
      <c r="C21" s="7">
        <v>1</v>
      </c>
      <c r="D21" s="7">
        <v>3</v>
      </c>
      <c r="E21" s="7"/>
      <c r="F21" s="7">
        <v>0.12</v>
      </c>
      <c r="G21" s="7"/>
      <c r="H21" s="7"/>
      <c r="I21" s="19">
        <f t="shared" si="0"/>
        <v>132.21</v>
      </c>
      <c r="J21" s="28"/>
      <c r="R21" s="31"/>
    </row>
    <row r="22" spans="1:20" x14ac:dyDescent="0.15">
      <c r="A22" s="5">
        <v>45</v>
      </c>
      <c r="B22" s="7">
        <v>3.65</v>
      </c>
      <c r="C22" s="7">
        <v>0.2</v>
      </c>
      <c r="D22" s="7"/>
      <c r="E22" s="7"/>
      <c r="F22" s="7"/>
      <c r="G22" s="7"/>
      <c r="H22" s="7"/>
      <c r="I22" s="19">
        <f t="shared" si="0"/>
        <v>3.85</v>
      </c>
      <c r="J22" s="28"/>
      <c r="R22" s="31"/>
    </row>
    <row r="23" spans="1:20" x14ac:dyDescent="0.15">
      <c r="A23" s="5">
        <v>46</v>
      </c>
      <c r="B23" s="7">
        <v>33.28</v>
      </c>
      <c r="C23" s="7">
        <v>0.03</v>
      </c>
      <c r="D23" s="7"/>
      <c r="E23" s="7"/>
      <c r="F23" s="7"/>
      <c r="G23" s="7"/>
      <c r="H23" s="7"/>
      <c r="I23" s="19">
        <f t="shared" si="0"/>
        <v>33.31</v>
      </c>
      <c r="Q23" s="5" t="s">
        <v>46</v>
      </c>
      <c r="R23" s="32">
        <f>SUM(I4:I30)</f>
        <v>61162.789999999994</v>
      </c>
      <c r="S23" s="33">
        <f>+S12+S5</f>
        <v>60928.75</v>
      </c>
      <c r="T23" s="34" t="s">
        <v>47</v>
      </c>
    </row>
    <row r="24" spans="1:20" ht="11.25" thickBot="1" x14ac:dyDescent="0.2">
      <c r="A24" s="5">
        <v>47</v>
      </c>
      <c r="B24" s="7">
        <v>529.91</v>
      </c>
      <c r="C24" s="7">
        <v>3.01</v>
      </c>
      <c r="D24" s="7"/>
      <c r="E24" s="7"/>
      <c r="F24" s="7"/>
      <c r="G24" s="7">
        <v>0.2</v>
      </c>
      <c r="H24" s="7"/>
      <c r="I24" s="19">
        <f t="shared" si="0"/>
        <v>533.12</v>
      </c>
      <c r="J24" s="20" t="s">
        <v>48</v>
      </c>
      <c r="K24" s="21"/>
      <c r="L24" s="21"/>
      <c r="M24" s="21"/>
      <c r="N24" s="21"/>
      <c r="O24" s="21"/>
      <c r="P24" s="21"/>
      <c r="Q24" s="21"/>
      <c r="R24" s="35"/>
      <c r="S24" s="36">
        <f>+R20</f>
        <v>234.09</v>
      </c>
      <c r="T24" s="37" t="s">
        <v>49</v>
      </c>
    </row>
    <row r="25" spans="1:20" ht="11.25" thickBot="1" x14ac:dyDescent="0.2">
      <c r="A25" s="5">
        <v>48</v>
      </c>
      <c r="B25" s="7">
        <v>2.09</v>
      </c>
      <c r="C25" s="7"/>
      <c r="D25" s="7"/>
      <c r="E25" s="7"/>
      <c r="F25" s="7"/>
      <c r="G25" s="7"/>
      <c r="H25" s="7">
        <v>0</v>
      </c>
      <c r="I25" s="19">
        <f t="shared" si="0"/>
        <v>2.09</v>
      </c>
      <c r="J25" s="24" t="s">
        <v>29</v>
      </c>
      <c r="K25" s="25">
        <f t="shared" ref="K25:Q25" si="4">SUM(B4:B30)</f>
        <v>55533.51</v>
      </c>
      <c r="L25" s="25">
        <f t="shared" si="4"/>
        <v>1364.3300000000002</v>
      </c>
      <c r="M25" s="25">
        <f t="shared" si="4"/>
        <v>60.319999999999993</v>
      </c>
      <c r="N25" s="25">
        <f t="shared" si="4"/>
        <v>2978.7999999999997</v>
      </c>
      <c r="O25" s="25">
        <f t="shared" si="4"/>
        <v>566.76</v>
      </c>
      <c r="P25" s="25">
        <f t="shared" si="4"/>
        <v>231.07000000000002</v>
      </c>
      <c r="Q25" s="25">
        <f t="shared" si="4"/>
        <v>428.00000000000011</v>
      </c>
      <c r="R25" s="38">
        <f>SUM(K25:Q25)</f>
        <v>61162.790000000008</v>
      </c>
      <c r="S25" s="39">
        <f>+S23+S24</f>
        <v>61162.84</v>
      </c>
      <c r="T25" s="40" t="s">
        <v>38</v>
      </c>
    </row>
    <row r="26" spans="1:20" x14ac:dyDescent="0.15">
      <c r="A26" s="5">
        <v>49</v>
      </c>
      <c r="B26" s="7"/>
      <c r="C26" s="7"/>
      <c r="D26" s="7"/>
      <c r="E26" s="7"/>
      <c r="F26" s="7"/>
      <c r="G26" s="7"/>
      <c r="H26" s="7"/>
      <c r="I26" s="19">
        <f t="shared" si="0"/>
        <v>0</v>
      </c>
      <c r="R26" s="31"/>
    </row>
    <row r="27" spans="1:20" x14ac:dyDescent="0.15">
      <c r="A27" s="5">
        <v>64</v>
      </c>
      <c r="B27" s="7"/>
      <c r="C27" s="7">
        <v>6.4</v>
      </c>
      <c r="D27" s="7"/>
      <c r="E27" s="7"/>
      <c r="F27" s="7"/>
      <c r="G27" s="7"/>
      <c r="H27" s="7"/>
      <c r="I27" s="19">
        <f t="shared" si="0"/>
        <v>6.4</v>
      </c>
      <c r="R27" s="31"/>
      <c r="T27" s="41" t="s">
        <v>48</v>
      </c>
    </row>
    <row r="28" spans="1:20" x14ac:dyDescent="0.15">
      <c r="A28" s="5">
        <v>51</v>
      </c>
      <c r="B28" s="7">
        <v>100.18</v>
      </c>
      <c r="C28" s="7"/>
      <c r="D28" s="7"/>
      <c r="E28" s="7">
        <v>0</v>
      </c>
      <c r="F28" s="7">
        <v>1.08</v>
      </c>
      <c r="G28" s="7"/>
      <c r="H28" s="7"/>
      <c r="I28" s="19">
        <f t="shared" si="0"/>
        <v>101.26</v>
      </c>
      <c r="R28" s="31"/>
      <c r="T28" s="42" t="s">
        <v>29</v>
      </c>
    </row>
    <row r="29" spans="1:20" x14ac:dyDescent="0.15">
      <c r="A29" s="5">
        <v>52</v>
      </c>
      <c r="B29" s="7">
        <v>79.31</v>
      </c>
      <c r="C29" s="7">
        <v>3.2</v>
      </c>
      <c r="D29" s="7"/>
      <c r="E29" s="7">
        <v>1</v>
      </c>
      <c r="F29" s="7">
        <v>0.12</v>
      </c>
      <c r="G29" s="7"/>
      <c r="H29" s="7"/>
      <c r="I29" s="19">
        <f t="shared" si="0"/>
        <v>83.63000000000001</v>
      </c>
      <c r="R29" s="31"/>
    </row>
    <row r="30" spans="1:20" x14ac:dyDescent="0.15">
      <c r="A30" s="5">
        <v>61</v>
      </c>
      <c r="B30" s="7">
        <v>42.16</v>
      </c>
      <c r="C30" s="7">
        <v>0</v>
      </c>
      <c r="D30" s="7"/>
      <c r="E30" s="7"/>
      <c r="F30" s="7">
        <v>0.24</v>
      </c>
      <c r="G30" s="7">
        <v>0</v>
      </c>
      <c r="H30" s="7">
        <v>6.8</v>
      </c>
      <c r="I30" s="19">
        <f t="shared" si="0"/>
        <v>49.199999999999996</v>
      </c>
      <c r="R30" s="31"/>
    </row>
    <row r="31" spans="1:20" x14ac:dyDescent="0.15">
      <c r="A31" s="5">
        <v>90</v>
      </c>
      <c r="B31" s="7">
        <v>2.72</v>
      </c>
      <c r="C31" s="7">
        <v>0</v>
      </c>
      <c r="D31" s="7"/>
      <c r="E31" s="7">
        <v>0</v>
      </c>
      <c r="F31" s="7"/>
      <c r="G31" s="7"/>
      <c r="H31" s="7">
        <v>1.19</v>
      </c>
      <c r="I31" s="19">
        <f t="shared" si="0"/>
        <v>3.91</v>
      </c>
      <c r="R31" s="31"/>
    </row>
    <row r="32" spans="1:20" x14ac:dyDescent="0.15">
      <c r="A32" s="5">
        <v>91</v>
      </c>
      <c r="B32" s="7">
        <v>2863.57</v>
      </c>
      <c r="C32" s="7">
        <v>70.8</v>
      </c>
      <c r="D32" s="7">
        <v>7.06</v>
      </c>
      <c r="E32" s="7">
        <v>115.56</v>
      </c>
      <c r="F32" s="7">
        <v>4.16</v>
      </c>
      <c r="G32" s="7">
        <v>9.1199999999999992</v>
      </c>
      <c r="H32" s="7">
        <v>6.3</v>
      </c>
      <c r="I32" s="19">
        <f t="shared" si="0"/>
        <v>3076.57</v>
      </c>
      <c r="R32" s="31"/>
    </row>
    <row r="33" spans="1:20" x14ac:dyDescent="0.15">
      <c r="A33" s="5">
        <v>92</v>
      </c>
      <c r="B33" s="7">
        <v>0</v>
      </c>
      <c r="C33" s="7"/>
      <c r="D33" s="7"/>
      <c r="E33" s="7"/>
      <c r="F33" s="7"/>
      <c r="G33" s="7">
        <v>0.22</v>
      </c>
      <c r="H33" s="7">
        <v>1257.3599999999999</v>
      </c>
      <c r="I33" s="19">
        <f t="shared" si="0"/>
        <v>1257.58</v>
      </c>
      <c r="J33" s="20" t="s">
        <v>487</v>
      </c>
      <c r="K33" s="21"/>
      <c r="L33" s="21"/>
      <c r="M33" s="21"/>
      <c r="N33" s="21"/>
      <c r="O33" s="21"/>
      <c r="P33" s="21"/>
      <c r="Q33" s="21"/>
      <c r="R33" s="22"/>
      <c r="S33" s="23" t="s">
        <v>269</v>
      </c>
      <c r="T33" s="41" t="s">
        <v>487</v>
      </c>
    </row>
    <row r="34" spans="1:20" x14ac:dyDescent="0.15">
      <c r="A34" s="5">
        <v>93</v>
      </c>
      <c r="B34" s="7"/>
      <c r="C34" s="7"/>
      <c r="D34" s="7"/>
      <c r="E34" s="7"/>
      <c r="F34" s="7"/>
      <c r="G34" s="7"/>
      <c r="H34" s="7">
        <v>219.35</v>
      </c>
      <c r="I34" s="19">
        <f t="shared" si="0"/>
        <v>219.35</v>
      </c>
      <c r="J34" s="24" t="s">
        <v>29</v>
      </c>
      <c r="K34" s="25">
        <f t="shared" ref="K34:Q34" si="5">SUM(B31:B40)</f>
        <v>8958.81</v>
      </c>
      <c r="L34" s="25">
        <f t="shared" si="5"/>
        <v>265.19</v>
      </c>
      <c r="M34" s="25">
        <f t="shared" si="5"/>
        <v>28.289999999999996</v>
      </c>
      <c r="N34" s="25">
        <f t="shared" si="5"/>
        <v>311.08</v>
      </c>
      <c r="O34" s="25">
        <f t="shared" si="5"/>
        <v>34.950000000000003</v>
      </c>
      <c r="P34" s="25">
        <f t="shared" si="5"/>
        <v>66.279999999999987</v>
      </c>
      <c r="Q34" s="25">
        <f t="shared" si="5"/>
        <v>11691.170000000002</v>
      </c>
      <c r="R34" s="26">
        <f>SUM(K34:Q34)</f>
        <v>21355.770000000004</v>
      </c>
      <c r="S34" s="27">
        <v>21355.759999999998</v>
      </c>
      <c r="T34" s="42" t="s">
        <v>29</v>
      </c>
    </row>
    <row r="35" spans="1:20" x14ac:dyDescent="0.15">
      <c r="A35" s="5">
        <v>94</v>
      </c>
      <c r="B35" s="7">
        <v>4799.6899999999996</v>
      </c>
      <c r="C35" s="7">
        <v>151.22999999999999</v>
      </c>
      <c r="D35" s="7">
        <v>11.18</v>
      </c>
      <c r="E35" s="7">
        <v>118.7</v>
      </c>
      <c r="F35" s="7">
        <v>19.170000000000002</v>
      </c>
      <c r="G35" s="7">
        <v>37.869999999999997</v>
      </c>
      <c r="H35" s="7">
        <v>1721.91</v>
      </c>
      <c r="I35" s="19">
        <f t="shared" si="0"/>
        <v>6859.7499999999991</v>
      </c>
      <c r="R35" s="32"/>
      <c r="S35" s="43">
        <v>55533.53</v>
      </c>
      <c r="T35" s="44" t="s">
        <v>44</v>
      </c>
    </row>
    <row r="36" spans="1:20" x14ac:dyDescent="0.15">
      <c r="A36" s="5">
        <v>95</v>
      </c>
      <c r="B36" s="7">
        <v>0.44</v>
      </c>
      <c r="C36" s="7"/>
      <c r="D36" s="7"/>
      <c r="E36" s="7">
        <v>0.5</v>
      </c>
      <c r="F36" s="7"/>
      <c r="G36" s="7"/>
      <c r="H36" s="7">
        <v>42.42</v>
      </c>
      <c r="I36" s="19">
        <f t="shared" si="0"/>
        <v>43.36</v>
      </c>
      <c r="R36" s="31"/>
      <c r="S36" s="45">
        <v>1364.32</v>
      </c>
      <c r="T36" s="46" t="s">
        <v>365</v>
      </c>
    </row>
    <row r="37" spans="1:20" x14ac:dyDescent="0.15">
      <c r="A37" s="5">
        <v>96</v>
      </c>
      <c r="B37" s="7">
        <v>610.70000000000005</v>
      </c>
      <c r="C37" s="7">
        <v>24.18</v>
      </c>
      <c r="D37" s="7">
        <v>1.17</v>
      </c>
      <c r="E37" s="7">
        <v>29.11</v>
      </c>
      <c r="F37" s="7">
        <v>1.43</v>
      </c>
      <c r="G37" s="7">
        <v>1.69</v>
      </c>
      <c r="H37" s="7">
        <v>793.22</v>
      </c>
      <c r="I37" s="19">
        <f t="shared" si="0"/>
        <v>1461.5</v>
      </c>
      <c r="R37" s="31"/>
      <c r="S37" s="45">
        <v>60.33</v>
      </c>
      <c r="T37" s="46" t="s">
        <v>486</v>
      </c>
    </row>
    <row r="38" spans="1:20" x14ac:dyDescent="0.15">
      <c r="A38" s="5">
        <v>97</v>
      </c>
      <c r="B38" s="7">
        <v>218.04</v>
      </c>
      <c r="C38" s="7">
        <v>3.76</v>
      </c>
      <c r="D38" s="7">
        <v>0.74</v>
      </c>
      <c r="E38" s="7">
        <v>3.14</v>
      </c>
      <c r="F38" s="7"/>
      <c r="G38" s="7">
        <v>14.92</v>
      </c>
      <c r="H38" s="7">
        <v>5599.72</v>
      </c>
      <c r="I38" s="19">
        <f t="shared" si="0"/>
        <v>5840.3200000000006</v>
      </c>
      <c r="R38" s="31"/>
      <c r="S38" s="45">
        <v>2978.82</v>
      </c>
      <c r="T38" s="46" t="s">
        <v>45</v>
      </c>
    </row>
    <row r="39" spans="1:20" x14ac:dyDescent="0.15">
      <c r="A39" s="5">
        <v>98</v>
      </c>
      <c r="B39" s="7">
        <v>313.13</v>
      </c>
      <c r="C39" s="7">
        <v>12.72</v>
      </c>
      <c r="D39" s="7">
        <v>7.55</v>
      </c>
      <c r="E39" s="7">
        <v>38.909999999999997</v>
      </c>
      <c r="F39" s="7">
        <v>9.52</v>
      </c>
      <c r="G39" s="7">
        <v>1.46</v>
      </c>
      <c r="H39" s="7">
        <v>1054.53</v>
      </c>
      <c r="I39" s="19">
        <f t="shared" si="0"/>
        <v>1437.82</v>
      </c>
      <c r="R39" s="31"/>
      <c r="S39" s="45">
        <v>566.78</v>
      </c>
      <c r="T39" s="46" t="s">
        <v>366</v>
      </c>
    </row>
    <row r="40" spans="1:20" x14ac:dyDescent="0.15">
      <c r="A40" s="5">
        <v>99</v>
      </c>
      <c r="B40" s="7">
        <v>150.52000000000001</v>
      </c>
      <c r="C40" s="7">
        <v>2.5</v>
      </c>
      <c r="D40" s="7">
        <v>0.59</v>
      </c>
      <c r="E40" s="7">
        <v>5.16</v>
      </c>
      <c r="F40" s="7">
        <v>0.67</v>
      </c>
      <c r="G40" s="7">
        <v>1</v>
      </c>
      <c r="H40" s="7">
        <v>995.17</v>
      </c>
      <c r="I40" s="19">
        <f t="shared" si="0"/>
        <v>1155.6099999999999</v>
      </c>
      <c r="R40" s="31"/>
      <c r="S40" s="45">
        <v>231.08</v>
      </c>
      <c r="T40" s="46" t="s">
        <v>367</v>
      </c>
    </row>
    <row r="41" spans="1:20" ht="11.25" thickBot="1" x14ac:dyDescent="0.2">
      <c r="B41" s="47" t="s">
        <v>52</v>
      </c>
      <c r="C41" s="48" t="s">
        <v>52</v>
      </c>
      <c r="D41" s="48" t="s">
        <v>52</v>
      </c>
      <c r="E41" s="48" t="s">
        <v>52</v>
      </c>
      <c r="F41" s="48" t="s">
        <v>52</v>
      </c>
      <c r="G41" s="48" t="s">
        <v>52</v>
      </c>
      <c r="H41" s="48" t="s">
        <v>52</v>
      </c>
      <c r="I41" s="48" t="s">
        <v>52</v>
      </c>
      <c r="R41" s="49"/>
      <c r="S41" s="50">
        <v>428</v>
      </c>
      <c r="T41" s="51" t="s">
        <v>50</v>
      </c>
    </row>
    <row r="42" spans="1:20" ht="11.25" thickBot="1" x14ac:dyDescent="0.2">
      <c r="A42" s="11" t="s">
        <v>53</v>
      </c>
      <c r="B42" s="52">
        <f t="shared" ref="B42:I42" si="6">SUM(B4:B40)</f>
        <v>64492.32</v>
      </c>
      <c r="C42" s="52">
        <f>SUM(C4:C40)</f>
        <v>1629.5200000000002</v>
      </c>
      <c r="D42" s="52">
        <f t="shared" si="6"/>
        <v>88.61</v>
      </c>
      <c r="E42" s="52">
        <f t="shared" si="6"/>
        <v>3289.8799999999992</v>
      </c>
      <c r="F42" s="52">
        <f t="shared" si="6"/>
        <v>601.70999999999981</v>
      </c>
      <c r="G42" s="52">
        <f t="shared" si="6"/>
        <v>297.35000000000002</v>
      </c>
      <c r="H42" s="52">
        <f t="shared" si="6"/>
        <v>12119.170000000002</v>
      </c>
      <c r="I42" s="53">
        <f t="shared" si="6"/>
        <v>82518.560000000012</v>
      </c>
      <c r="J42" s="54" t="s">
        <v>54</v>
      </c>
      <c r="K42" s="53">
        <f t="shared" ref="K42:R42" si="7">+K5+K12+K20+K34</f>
        <v>64492.32</v>
      </c>
      <c r="L42" s="53">
        <f>+L5+L12+L20+L34</f>
        <v>1629.5200000000004</v>
      </c>
      <c r="M42" s="53">
        <f t="shared" si="7"/>
        <v>88.609999999999985</v>
      </c>
      <c r="N42" s="53">
        <f t="shared" si="7"/>
        <v>3289.8799999999997</v>
      </c>
      <c r="O42" s="53">
        <f t="shared" si="7"/>
        <v>601.71000000000015</v>
      </c>
      <c r="P42" s="53">
        <f t="shared" si="7"/>
        <v>297.35000000000002</v>
      </c>
      <c r="Q42" s="53">
        <f t="shared" si="7"/>
        <v>12119.170000000002</v>
      </c>
      <c r="R42" s="53">
        <f t="shared" si="7"/>
        <v>82518.559999999998</v>
      </c>
      <c r="S42" s="55">
        <f>SUM(S35:S41)</f>
        <v>61162.86</v>
      </c>
      <c r="T42" s="51" t="s">
        <v>51</v>
      </c>
    </row>
    <row r="43" spans="1:20" ht="11.25" thickBot="1" x14ac:dyDescent="0.2">
      <c r="A43" s="15" t="s">
        <v>36</v>
      </c>
      <c r="B43" s="56" t="s">
        <v>37</v>
      </c>
      <c r="C43" s="57" t="s">
        <v>364</v>
      </c>
      <c r="D43" s="57" t="s">
        <v>483</v>
      </c>
      <c r="E43" s="57">
        <v>31</v>
      </c>
      <c r="F43" s="57">
        <v>34</v>
      </c>
      <c r="G43" s="57">
        <v>45</v>
      </c>
      <c r="H43" s="57">
        <v>97</v>
      </c>
      <c r="I43" s="57" t="s">
        <v>38</v>
      </c>
      <c r="J43" s="15" t="s">
        <v>36</v>
      </c>
      <c r="K43" s="16" t="s">
        <v>37</v>
      </c>
      <c r="L43" s="17" t="s">
        <v>364</v>
      </c>
      <c r="M43" s="16" t="s">
        <v>483</v>
      </c>
      <c r="N43" s="17">
        <v>31</v>
      </c>
      <c r="O43" s="17">
        <v>34</v>
      </c>
      <c r="P43" s="17">
        <v>45</v>
      </c>
      <c r="Q43" s="17">
        <v>97</v>
      </c>
      <c r="R43" s="18" t="s">
        <v>39</v>
      </c>
    </row>
    <row r="44" spans="1:20" ht="11.25" thickTop="1" x14ac:dyDescent="0.15">
      <c r="A44" s="58" t="s">
        <v>40</v>
      </c>
      <c r="B44" s="59"/>
      <c r="C44" s="60"/>
      <c r="D44" s="60"/>
      <c r="E44" s="60"/>
      <c r="F44" s="60"/>
      <c r="G44" s="60"/>
      <c r="H44" s="60"/>
      <c r="I44" s="61"/>
      <c r="J44" s="15"/>
      <c r="K44" s="62"/>
      <c r="L44" s="63"/>
      <c r="M44" s="63"/>
      <c r="N44" s="63"/>
      <c r="O44" s="63"/>
      <c r="P44" s="63"/>
      <c r="Q44" s="63"/>
      <c r="R44" s="63"/>
    </row>
    <row r="45" spans="1:20" x14ac:dyDescent="0.15">
      <c r="A45" s="64" t="s">
        <v>182</v>
      </c>
      <c r="B45" s="65">
        <v>55533.53</v>
      </c>
      <c r="C45" s="66">
        <v>1364.32</v>
      </c>
      <c r="D45" s="66">
        <v>60.33</v>
      </c>
      <c r="E45" s="66">
        <v>2978.82</v>
      </c>
      <c r="F45" s="66">
        <v>566.78</v>
      </c>
      <c r="G45" s="66">
        <v>231.08</v>
      </c>
      <c r="H45" s="66">
        <v>428</v>
      </c>
      <c r="I45" s="67">
        <f>SUM(B45:H45)</f>
        <v>61162.86</v>
      </c>
      <c r="J45" s="68"/>
      <c r="K45" s="69"/>
      <c r="L45" s="70"/>
      <c r="M45" s="70"/>
      <c r="N45" s="70"/>
      <c r="O45" s="63"/>
      <c r="P45" s="63"/>
      <c r="Q45" s="63"/>
      <c r="R45" s="63"/>
    </row>
    <row r="46" spans="1:20" x14ac:dyDescent="0.15">
      <c r="A46" s="64" t="s">
        <v>183</v>
      </c>
      <c r="B46" s="65">
        <v>8958.81</v>
      </c>
      <c r="C46" s="66">
        <v>265.19</v>
      </c>
      <c r="D46" s="66">
        <v>28.3</v>
      </c>
      <c r="E46" s="66">
        <v>311.08</v>
      </c>
      <c r="F46" s="66">
        <v>34.94</v>
      </c>
      <c r="G46" s="66">
        <v>66.28</v>
      </c>
      <c r="H46" s="66">
        <v>11691.16</v>
      </c>
      <c r="I46" s="67">
        <f>SUM(B46:H46)</f>
        <v>21355.760000000002</v>
      </c>
      <c r="J46" s="68"/>
      <c r="K46" s="69"/>
      <c r="L46" s="70"/>
      <c r="M46" s="70"/>
      <c r="N46" s="70"/>
      <c r="O46" s="63"/>
      <c r="P46" s="63"/>
      <c r="Q46" s="63"/>
      <c r="R46" s="63"/>
    </row>
    <row r="47" spans="1:20" ht="11.25" thickBot="1" x14ac:dyDescent="0.2">
      <c r="A47" s="71" t="s">
        <v>184</v>
      </c>
      <c r="B47" s="72">
        <f t="shared" ref="B47:I47" si="8">SUM(B45:B46)</f>
        <v>64492.34</v>
      </c>
      <c r="C47" s="72">
        <f>SUM(C45:C46)</f>
        <v>1629.51</v>
      </c>
      <c r="D47" s="72">
        <f t="shared" si="8"/>
        <v>88.63</v>
      </c>
      <c r="E47" s="72">
        <f t="shared" si="8"/>
        <v>3289.9</v>
      </c>
      <c r="F47" s="72">
        <f t="shared" si="8"/>
        <v>601.72</v>
      </c>
      <c r="G47" s="72">
        <f t="shared" si="8"/>
        <v>297.36</v>
      </c>
      <c r="H47" s="72">
        <f t="shared" si="8"/>
        <v>12119.16</v>
      </c>
      <c r="I47" s="73">
        <f t="shared" si="8"/>
        <v>82518.62</v>
      </c>
      <c r="J47" s="68"/>
      <c r="K47" s="69"/>
      <c r="L47" s="70"/>
      <c r="M47" s="70"/>
      <c r="N47" s="70"/>
      <c r="O47" s="63"/>
      <c r="P47" s="63"/>
      <c r="Q47" s="63"/>
      <c r="R47" s="63"/>
    </row>
    <row r="48" spans="1:20" ht="11.25" thickTop="1" x14ac:dyDescent="0.15">
      <c r="A48" s="68"/>
      <c r="B48" s="74"/>
      <c r="C48" s="70"/>
      <c r="D48" s="70"/>
      <c r="E48" s="70"/>
      <c r="F48" s="70"/>
      <c r="G48" s="70"/>
      <c r="H48" s="70"/>
      <c r="I48" s="70"/>
      <c r="J48" s="68"/>
      <c r="K48" s="69"/>
      <c r="L48" s="70"/>
      <c r="M48" s="70"/>
      <c r="N48" s="70"/>
      <c r="O48" s="63"/>
      <c r="P48" s="63"/>
      <c r="Q48" s="63"/>
      <c r="R48" s="63"/>
    </row>
    <row r="49" spans="1:20" x14ac:dyDescent="0.15">
      <c r="A49" s="68"/>
      <c r="B49" s="75"/>
      <c r="C49" s="70"/>
      <c r="D49" s="70"/>
      <c r="E49" s="70"/>
      <c r="F49" s="70"/>
      <c r="G49" s="70"/>
      <c r="H49" s="70"/>
      <c r="I49" s="70"/>
      <c r="J49" s="68"/>
      <c r="K49" s="69"/>
      <c r="L49" s="70"/>
      <c r="M49" s="70"/>
      <c r="N49" s="70"/>
      <c r="O49" s="63"/>
      <c r="P49" s="63"/>
      <c r="Q49" s="63"/>
      <c r="R49" s="63"/>
    </row>
    <row r="50" spans="1:20" ht="11.25" thickBot="1" x14ac:dyDescent="0.2">
      <c r="B50" s="12" t="s">
        <v>55</v>
      </c>
      <c r="C50" s="14"/>
      <c r="D50" s="14"/>
      <c r="E50" s="14"/>
      <c r="F50" s="14"/>
      <c r="G50" s="14"/>
      <c r="H50" s="14"/>
      <c r="I50" s="14"/>
    </row>
    <row r="51" spans="1:20" ht="11.25" thickBot="1" x14ac:dyDescent="0.2">
      <c r="A51" s="15" t="s">
        <v>36</v>
      </c>
      <c r="B51" s="16" t="s">
        <v>37</v>
      </c>
      <c r="C51" s="17" t="s">
        <v>364</v>
      </c>
      <c r="D51" s="16" t="s">
        <v>483</v>
      </c>
      <c r="E51" s="17">
        <v>31</v>
      </c>
      <c r="F51" s="17">
        <v>34</v>
      </c>
      <c r="G51" s="17">
        <v>45</v>
      </c>
      <c r="H51" s="17">
        <v>97</v>
      </c>
      <c r="I51" s="17" t="s">
        <v>38</v>
      </c>
      <c r="K51" s="16" t="s">
        <v>37</v>
      </c>
      <c r="L51" s="17" t="s">
        <v>364</v>
      </c>
      <c r="M51" s="16" t="s">
        <v>483</v>
      </c>
      <c r="N51" s="17">
        <v>31</v>
      </c>
      <c r="O51" s="17">
        <v>34</v>
      </c>
      <c r="P51" s="17">
        <v>45</v>
      </c>
      <c r="Q51" s="17">
        <v>97</v>
      </c>
      <c r="R51" s="18" t="s">
        <v>39</v>
      </c>
    </row>
    <row r="52" spans="1:20" x14ac:dyDescent="0.15">
      <c r="A52" s="5">
        <v>11</v>
      </c>
      <c r="B52" s="6">
        <v>135028</v>
      </c>
      <c r="C52" s="76"/>
      <c r="D52" s="76"/>
      <c r="E52" s="76"/>
      <c r="F52" s="76"/>
      <c r="G52" s="76"/>
      <c r="H52" s="6">
        <v>167528</v>
      </c>
      <c r="I52" s="77">
        <f>SUM(B52:H52)</f>
        <v>302556</v>
      </c>
      <c r="J52" s="20" t="s">
        <v>41</v>
      </c>
      <c r="K52" s="21"/>
      <c r="L52" s="21"/>
      <c r="M52" s="21"/>
      <c r="N52" s="21"/>
      <c r="O52" s="21"/>
      <c r="P52" s="21"/>
      <c r="Q52" s="21"/>
      <c r="R52" s="22"/>
    </row>
    <row r="53" spans="1:20" x14ac:dyDescent="0.15">
      <c r="A53" s="5">
        <v>12</v>
      </c>
      <c r="B53" s="6">
        <v>180699</v>
      </c>
      <c r="C53" s="6">
        <v>147520</v>
      </c>
      <c r="D53" s="6"/>
      <c r="E53" s="6">
        <v>190903</v>
      </c>
      <c r="F53" s="76"/>
      <c r="G53" s="76"/>
      <c r="H53" s="6">
        <v>174181</v>
      </c>
      <c r="I53" s="77">
        <f t="shared" ref="I53:I69" si="9">SUM(B53:H53)</f>
        <v>693303</v>
      </c>
      <c r="J53" s="78" t="s">
        <v>29</v>
      </c>
      <c r="K53" s="79">
        <f t="shared" ref="K53:Q53" si="10">+K5</f>
        <v>3831.4500000000003</v>
      </c>
      <c r="L53" s="79">
        <f>+L5</f>
        <v>84.41</v>
      </c>
      <c r="M53" s="79">
        <f t="shared" si="10"/>
        <v>6.19</v>
      </c>
      <c r="N53" s="79">
        <f t="shared" si="10"/>
        <v>102.86</v>
      </c>
      <c r="O53" s="79">
        <f t="shared" si="10"/>
        <v>22.69</v>
      </c>
      <c r="P53" s="79">
        <f t="shared" si="10"/>
        <v>25.21</v>
      </c>
      <c r="Q53" s="79">
        <f t="shared" si="10"/>
        <v>413.40000000000009</v>
      </c>
      <c r="R53" s="30">
        <f>SUM(K53:Q53)</f>
        <v>4486.2100000000009</v>
      </c>
    </row>
    <row r="54" spans="1:20" x14ac:dyDescent="0.15">
      <c r="A54" s="5">
        <v>13</v>
      </c>
      <c r="B54" s="6">
        <v>149640</v>
      </c>
      <c r="C54" s="6">
        <v>120512</v>
      </c>
      <c r="D54" s="6">
        <v>140064</v>
      </c>
      <c r="E54" s="6">
        <v>140681</v>
      </c>
      <c r="F54" s="6">
        <v>140021</v>
      </c>
      <c r="G54" s="6"/>
      <c r="H54" s="6">
        <v>149767</v>
      </c>
      <c r="I54" s="77">
        <f t="shared" si="9"/>
        <v>840685</v>
      </c>
      <c r="J54" s="80" t="s">
        <v>56</v>
      </c>
      <c r="K54" s="76">
        <f t="shared" ref="K54:Q54" si="11">SUMPRODUCT(B52:B59,B4:B11)</f>
        <v>531763924.20000005</v>
      </c>
      <c r="L54" s="76">
        <f t="shared" si="11"/>
        <v>11072877.309999999</v>
      </c>
      <c r="M54" s="76">
        <f t="shared" si="11"/>
        <v>983365.07000000007</v>
      </c>
      <c r="N54" s="76">
        <f t="shared" si="11"/>
        <v>14330034.560000001</v>
      </c>
      <c r="O54" s="76">
        <f t="shared" si="11"/>
        <v>3137333.15</v>
      </c>
      <c r="P54" s="76">
        <f t="shared" si="11"/>
        <v>3529508.79</v>
      </c>
      <c r="Q54" s="76">
        <f t="shared" si="11"/>
        <v>67679893.290000007</v>
      </c>
      <c r="R54" s="81">
        <f>SUM(K54:Q54)</f>
        <v>632496936.36999989</v>
      </c>
      <c r="S54" s="23" t="s">
        <v>57</v>
      </c>
      <c r="T54" s="82" t="s">
        <v>41</v>
      </c>
    </row>
    <row r="55" spans="1:20" x14ac:dyDescent="0.15">
      <c r="A55" s="5">
        <v>21</v>
      </c>
      <c r="B55" s="6">
        <v>138836</v>
      </c>
      <c r="C55" s="6">
        <v>136821</v>
      </c>
      <c r="D55" s="6"/>
      <c r="E55" s="76"/>
      <c r="F55" s="76"/>
      <c r="G55" s="6"/>
      <c r="H55" s="6">
        <v>125140</v>
      </c>
      <c r="I55" s="77">
        <f t="shared" si="9"/>
        <v>400797</v>
      </c>
      <c r="J55" s="83" t="s">
        <v>58</v>
      </c>
      <c r="K55" s="84">
        <f t="shared" ref="K55:Q55" si="12">+K54/K53</f>
        <v>138789.21144736328</v>
      </c>
      <c r="L55" s="84">
        <f t="shared" si="12"/>
        <v>131179.68617462384</v>
      </c>
      <c r="M55" s="84">
        <f t="shared" si="12"/>
        <v>158863.50080775443</v>
      </c>
      <c r="N55" s="84">
        <f t="shared" si="12"/>
        <v>139315.91055804005</v>
      </c>
      <c r="O55" s="84">
        <f t="shared" si="12"/>
        <v>138269.42044953723</v>
      </c>
      <c r="P55" s="84">
        <f t="shared" si="12"/>
        <v>140004.31535105116</v>
      </c>
      <c r="Q55" s="84">
        <f t="shared" si="12"/>
        <v>163715.27162554424</v>
      </c>
      <c r="R55" s="85">
        <f>+R54/R53</f>
        <v>140986.92133671846</v>
      </c>
      <c r="S55" s="86">
        <v>140987</v>
      </c>
      <c r="T55" s="87" t="s">
        <v>58</v>
      </c>
    </row>
    <row r="56" spans="1:20" x14ac:dyDescent="0.15">
      <c r="A56" s="5">
        <v>22</v>
      </c>
      <c r="B56" s="6">
        <v>126165</v>
      </c>
      <c r="C56" s="6">
        <v>94088</v>
      </c>
      <c r="D56" s="6"/>
      <c r="E56" s="76"/>
      <c r="F56" s="76"/>
      <c r="G56" s="76"/>
      <c r="H56" s="6">
        <v>131896</v>
      </c>
      <c r="I56" s="77">
        <f t="shared" si="9"/>
        <v>352149</v>
      </c>
      <c r="K56" s="88"/>
      <c r="L56" s="88"/>
      <c r="M56" s="88"/>
      <c r="N56" s="88"/>
      <c r="O56" s="88"/>
      <c r="P56" s="88"/>
      <c r="Q56" s="88"/>
      <c r="R56" s="31"/>
    </row>
    <row r="57" spans="1:20" x14ac:dyDescent="0.15">
      <c r="A57" s="5">
        <v>23</v>
      </c>
      <c r="B57" s="6">
        <v>144982</v>
      </c>
      <c r="C57" s="6">
        <v>140968</v>
      </c>
      <c r="D57" s="6">
        <v>147984</v>
      </c>
      <c r="E57" s="6">
        <v>0</v>
      </c>
      <c r="F57" s="6"/>
      <c r="G57" s="6">
        <v>140926</v>
      </c>
      <c r="H57" s="6">
        <v>154975</v>
      </c>
      <c r="I57" s="77">
        <f t="shared" si="9"/>
        <v>729835</v>
      </c>
      <c r="Q57" s="89"/>
      <c r="R57" s="31"/>
    </row>
    <row r="58" spans="1:20" x14ac:dyDescent="0.15">
      <c r="A58" s="5">
        <v>24</v>
      </c>
      <c r="B58" s="6">
        <v>135773</v>
      </c>
      <c r="C58" s="6">
        <v>130991</v>
      </c>
      <c r="D58" s="6">
        <v>215981</v>
      </c>
      <c r="E58" s="6">
        <v>133296</v>
      </c>
      <c r="F58" s="6">
        <v>0</v>
      </c>
      <c r="G58" s="6">
        <v>134467</v>
      </c>
      <c r="H58" s="6">
        <v>124326</v>
      </c>
      <c r="I58" s="77">
        <f t="shared" si="9"/>
        <v>874834</v>
      </c>
      <c r="R58" s="31"/>
    </row>
    <row r="59" spans="1:20" x14ac:dyDescent="0.15">
      <c r="A59" s="5">
        <v>25</v>
      </c>
      <c r="B59" s="6">
        <v>111293</v>
      </c>
      <c r="C59" s="6">
        <v>114794</v>
      </c>
      <c r="D59" s="6">
        <v>0</v>
      </c>
      <c r="E59" s="6">
        <v>135572</v>
      </c>
      <c r="F59" s="6">
        <v>134750</v>
      </c>
      <c r="G59" s="6">
        <v>141260</v>
      </c>
      <c r="H59" s="6">
        <v>0</v>
      </c>
      <c r="I59" s="77">
        <f t="shared" si="9"/>
        <v>637669</v>
      </c>
      <c r="R59" s="31"/>
    </row>
    <row r="60" spans="1:20" x14ac:dyDescent="0.15">
      <c r="A60" s="5">
        <v>31</v>
      </c>
      <c r="B60" s="6">
        <v>78083</v>
      </c>
      <c r="C60" s="6">
        <v>77375</v>
      </c>
      <c r="D60" s="6">
        <v>0</v>
      </c>
      <c r="E60" s="6">
        <v>79103</v>
      </c>
      <c r="F60" s="6">
        <v>78928</v>
      </c>
      <c r="G60" s="6">
        <v>0</v>
      </c>
      <c r="H60" s="6">
        <v>84830</v>
      </c>
      <c r="I60" s="77">
        <f t="shared" si="9"/>
        <v>398319</v>
      </c>
      <c r="J60" s="20" t="s">
        <v>42</v>
      </c>
      <c r="K60" s="21"/>
      <c r="L60" s="21"/>
      <c r="M60" s="21"/>
      <c r="N60" s="21"/>
      <c r="O60" s="21"/>
      <c r="P60" s="21"/>
      <c r="Q60" s="21"/>
      <c r="R60" s="22"/>
    </row>
    <row r="61" spans="1:20" x14ac:dyDescent="0.15">
      <c r="A61" s="5">
        <v>32</v>
      </c>
      <c r="B61" s="6">
        <v>81747</v>
      </c>
      <c r="C61" s="6">
        <v>81396</v>
      </c>
      <c r="D61" s="6">
        <v>77319</v>
      </c>
      <c r="E61" s="6">
        <v>79245</v>
      </c>
      <c r="F61" s="6">
        <v>81160</v>
      </c>
      <c r="G61" s="6">
        <v>71818</v>
      </c>
      <c r="H61" s="6">
        <v>89115</v>
      </c>
      <c r="I61" s="77">
        <f t="shared" si="9"/>
        <v>561800</v>
      </c>
      <c r="J61" s="78" t="s">
        <v>29</v>
      </c>
      <c r="K61" s="79">
        <f t="shared" ref="K61:Q61" si="13">+K12</f>
        <v>51480.41</v>
      </c>
      <c r="L61" s="79">
        <f t="shared" si="13"/>
        <v>1276.7200000000003</v>
      </c>
      <c r="M61" s="79">
        <f t="shared" si="13"/>
        <v>54.129999999999995</v>
      </c>
      <c r="N61" s="79">
        <f t="shared" si="13"/>
        <v>2874.9399999999996</v>
      </c>
      <c r="O61" s="79">
        <f t="shared" si="13"/>
        <v>542.63</v>
      </c>
      <c r="P61" s="79">
        <f t="shared" si="13"/>
        <v>205.86</v>
      </c>
      <c r="Q61" s="79">
        <f t="shared" si="13"/>
        <v>7.8</v>
      </c>
      <c r="R61" s="32">
        <f>SUM(K61:Q61)</f>
        <v>56442.490000000005</v>
      </c>
    </row>
    <row r="62" spans="1:20" x14ac:dyDescent="0.15">
      <c r="A62" s="5">
        <v>33</v>
      </c>
      <c r="B62" s="6">
        <v>84617</v>
      </c>
      <c r="C62" s="6">
        <v>77937</v>
      </c>
      <c r="D62" s="6">
        <v>73772</v>
      </c>
      <c r="E62" s="6">
        <v>81447</v>
      </c>
      <c r="F62" s="6">
        <v>86478</v>
      </c>
      <c r="G62" s="6">
        <v>88123</v>
      </c>
      <c r="H62" s="6">
        <v>87436</v>
      </c>
      <c r="I62" s="77">
        <f>SUM(B62:H62)</f>
        <v>579810</v>
      </c>
      <c r="J62" s="80" t="s">
        <v>56</v>
      </c>
      <c r="K62" s="76">
        <f t="shared" ref="K62:P62" si="14">SUMPRODUCT(B12:B27,B60:B75)</f>
        <v>4125442611.0100002</v>
      </c>
      <c r="L62" s="76">
        <f t="shared" si="14"/>
        <v>97054383.599999994</v>
      </c>
      <c r="M62" s="76">
        <f t="shared" si="14"/>
        <v>4157834.22</v>
      </c>
      <c r="N62" s="76">
        <f t="shared" si="14"/>
        <v>229135304.06000003</v>
      </c>
      <c r="O62" s="76">
        <f t="shared" si="14"/>
        <v>44265690.769999988</v>
      </c>
      <c r="P62" s="76">
        <f t="shared" si="14"/>
        <v>14862665.68</v>
      </c>
      <c r="Q62" s="76">
        <f>SUMPRODUCT(H60:H74,H12:H26)</f>
        <v>718966.2</v>
      </c>
      <c r="R62" s="90">
        <f>SUM(K62:Q62)</f>
        <v>4515637455.5400009</v>
      </c>
      <c r="S62" s="23" t="s">
        <v>59</v>
      </c>
      <c r="T62" s="82" t="s">
        <v>42</v>
      </c>
    </row>
    <row r="63" spans="1:20" x14ac:dyDescent="0.15">
      <c r="A63" s="5">
        <v>34</v>
      </c>
      <c r="B63" s="6">
        <v>81772</v>
      </c>
      <c r="C63" s="6">
        <v>81470</v>
      </c>
      <c r="D63" s="6"/>
      <c r="E63" s="6">
        <v>0</v>
      </c>
      <c r="F63" s="6">
        <v>0</v>
      </c>
      <c r="G63" s="6"/>
      <c r="H63" s="6"/>
      <c r="I63" s="77">
        <f t="shared" si="9"/>
        <v>163242</v>
      </c>
      <c r="J63" s="83" t="s">
        <v>58</v>
      </c>
      <c r="K63" s="84">
        <f t="shared" ref="K63:R63" si="15">+K62/K61</f>
        <v>80136.164630584724</v>
      </c>
      <c r="L63" s="84">
        <f>+L62/L61</f>
        <v>76018.534682624202</v>
      </c>
      <c r="M63" s="84">
        <f t="shared" si="15"/>
        <v>76812.012192869035</v>
      </c>
      <c r="N63" s="84">
        <f t="shared" si="15"/>
        <v>79700.899517903003</v>
      </c>
      <c r="O63" s="84">
        <f t="shared" si="15"/>
        <v>81576.195142177894</v>
      </c>
      <c r="P63" s="84">
        <f t="shared" si="15"/>
        <v>72197.929078014175</v>
      </c>
      <c r="Q63" s="84">
        <f t="shared" si="15"/>
        <v>92175.153846153844</v>
      </c>
      <c r="R63" s="85">
        <f t="shared" si="15"/>
        <v>80004.221208880059</v>
      </c>
      <c r="S63" s="86">
        <v>80004</v>
      </c>
      <c r="T63" s="87" t="s">
        <v>58</v>
      </c>
    </row>
    <row r="64" spans="1:20" x14ac:dyDescent="0.15">
      <c r="A64" s="5">
        <v>63</v>
      </c>
      <c r="B64" s="6">
        <v>59991</v>
      </c>
      <c r="C64" s="6">
        <v>52514</v>
      </c>
      <c r="D64" s="6"/>
      <c r="E64" s="6"/>
      <c r="F64" s="6"/>
      <c r="G64" s="6">
        <v>69610</v>
      </c>
      <c r="H64" s="6"/>
      <c r="I64" s="77">
        <f t="shared" si="9"/>
        <v>182115</v>
      </c>
      <c r="K64" s="88"/>
      <c r="R64" s="31"/>
    </row>
    <row r="65" spans="1:20" x14ac:dyDescent="0.15">
      <c r="A65" s="5">
        <v>40</v>
      </c>
      <c r="B65" s="6">
        <v>90358</v>
      </c>
      <c r="C65" s="6">
        <v>83050</v>
      </c>
      <c r="D65" s="6">
        <v>109336</v>
      </c>
      <c r="E65" s="6">
        <v>92474</v>
      </c>
      <c r="F65" s="6">
        <v>96656</v>
      </c>
      <c r="G65" s="6">
        <v>85294</v>
      </c>
      <c r="H65" s="6">
        <v>105689</v>
      </c>
      <c r="I65" s="77">
        <f t="shared" si="9"/>
        <v>662857</v>
      </c>
      <c r="K65" s="29"/>
      <c r="L65" s="29"/>
      <c r="M65" s="29"/>
      <c r="N65" s="29"/>
      <c r="R65" s="30"/>
    </row>
    <row r="66" spans="1:20" x14ac:dyDescent="0.15">
      <c r="A66" s="5">
        <v>41</v>
      </c>
      <c r="B66" s="6">
        <v>90377</v>
      </c>
      <c r="C66" s="6">
        <v>115533</v>
      </c>
      <c r="D66" s="6"/>
      <c r="E66" s="6">
        <v>95636</v>
      </c>
      <c r="F66" s="6">
        <v>96575</v>
      </c>
      <c r="G66" s="76"/>
      <c r="H66" s="6"/>
      <c r="I66" s="77">
        <f t="shared" si="9"/>
        <v>398121</v>
      </c>
      <c r="R66" s="31"/>
    </row>
    <row r="67" spans="1:20" x14ac:dyDescent="0.15">
      <c r="A67" s="5">
        <v>42</v>
      </c>
      <c r="B67" s="6">
        <v>81852</v>
      </c>
      <c r="C67" s="6">
        <v>79828</v>
      </c>
      <c r="D67" s="6">
        <v>79263</v>
      </c>
      <c r="E67" s="6">
        <v>84942</v>
      </c>
      <c r="F67" s="6">
        <v>83933</v>
      </c>
      <c r="G67" s="6">
        <v>94896</v>
      </c>
      <c r="H67" s="6"/>
      <c r="I67" s="77">
        <f t="shared" si="9"/>
        <v>504714</v>
      </c>
      <c r="J67" s="20" t="s">
        <v>43</v>
      </c>
      <c r="K67" s="21"/>
      <c r="L67" s="21"/>
      <c r="M67" s="21"/>
      <c r="N67" s="21"/>
      <c r="O67" s="21"/>
      <c r="P67" s="21"/>
      <c r="Q67" s="21"/>
      <c r="R67" s="22"/>
    </row>
    <row r="68" spans="1:20" x14ac:dyDescent="0.15">
      <c r="A68" s="5">
        <v>43</v>
      </c>
      <c r="B68" s="6">
        <v>69247</v>
      </c>
      <c r="C68" s="6">
        <v>0</v>
      </c>
      <c r="D68" s="76"/>
      <c r="E68" s="76"/>
      <c r="F68" s="76"/>
      <c r="G68" s="76"/>
      <c r="H68" s="6"/>
      <c r="I68" s="77">
        <f t="shared" si="9"/>
        <v>69247</v>
      </c>
      <c r="J68" s="78" t="s">
        <v>29</v>
      </c>
      <c r="K68" s="79">
        <f t="shared" ref="K68:Q68" si="16">+K20</f>
        <v>221.65</v>
      </c>
      <c r="L68" s="79">
        <f t="shared" si="16"/>
        <v>3.2</v>
      </c>
      <c r="M68" s="79">
        <f t="shared" si="16"/>
        <v>0</v>
      </c>
      <c r="N68" s="79">
        <f t="shared" si="16"/>
        <v>1</v>
      </c>
      <c r="O68" s="79">
        <f t="shared" si="16"/>
        <v>1.4400000000000002</v>
      </c>
      <c r="P68" s="79">
        <f t="shared" si="16"/>
        <v>0</v>
      </c>
      <c r="Q68" s="79">
        <f t="shared" si="16"/>
        <v>6.8</v>
      </c>
      <c r="R68" s="32">
        <f>SUM(K68:Q68)</f>
        <v>234.09</v>
      </c>
    </row>
    <row r="69" spans="1:20" ht="9.75" customHeight="1" x14ac:dyDescent="0.15">
      <c r="A69" s="5">
        <v>44</v>
      </c>
      <c r="B69" s="6">
        <v>80170</v>
      </c>
      <c r="C69" s="6">
        <v>55821</v>
      </c>
      <c r="D69" s="6">
        <v>70149</v>
      </c>
      <c r="E69" s="6"/>
      <c r="F69" s="6">
        <v>59442</v>
      </c>
      <c r="G69" s="76"/>
      <c r="H69" s="6"/>
      <c r="I69" s="77">
        <f t="shared" si="9"/>
        <v>265582</v>
      </c>
      <c r="J69" s="80" t="s">
        <v>56</v>
      </c>
      <c r="K69" s="76">
        <f t="shared" ref="K69:Q69" si="17">SUMPRODUCT(B76:B78,B28:B30)</f>
        <v>18741838.5</v>
      </c>
      <c r="L69" s="76">
        <f t="shared" si="17"/>
        <v>182227.20000000001</v>
      </c>
      <c r="M69" s="76">
        <f t="shared" si="17"/>
        <v>0</v>
      </c>
      <c r="N69" s="76">
        <f t="shared" si="17"/>
        <v>70969</v>
      </c>
      <c r="O69" s="76">
        <f t="shared" si="17"/>
        <v>24877.919999999998</v>
      </c>
      <c r="P69" s="76">
        <f t="shared" si="17"/>
        <v>0</v>
      </c>
      <c r="Q69" s="76">
        <f t="shared" si="17"/>
        <v>586302.79999999993</v>
      </c>
      <c r="R69" s="91">
        <f>SUM(K69:Q69)</f>
        <v>19606215.420000002</v>
      </c>
      <c r="T69" s="20" t="s">
        <v>43</v>
      </c>
    </row>
    <row r="70" spans="1:20" x14ac:dyDescent="0.15">
      <c r="A70" s="5">
        <v>45</v>
      </c>
      <c r="B70" s="6">
        <v>84024</v>
      </c>
      <c r="C70" s="6">
        <v>87890</v>
      </c>
      <c r="D70" s="76"/>
      <c r="E70" s="6">
        <v>96000</v>
      </c>
      <c r="F70" s="76"/>
      <c r="G70" s="76"/>
      <c r="H70" s="6"/>
      <c r="I70" s="77">
        <f t="shared" ref="I70:I85" si="18">SUM(B70:H70)</f>
        <v>267914</v>
      </c>
      <c r="J70" s="83" t="s">
        <v>58</v>
      </c>
      <c r="K70" s="84">
        <f>+K69/K68</f>
        <v>84556.00496277916</v>
      </c>
      <c r="L70" s="84"/>
      <c r="M70" s="84"/>
      <c r="N70" s="84"/>
      <c r="O70" s="84"/>
      <c r="P70" s="84"/>
      <c r="Q70" s="84">
        <f>+Q69/Q68</f>
        <v>86220.999999999985</v>
      </c>
      <c r="R70" s="85">
        <f>+R69/R68</f>
        <v>83755.031910803547</v>
      </c>
      <c r="T70" s="83" t="s">
        <v>58</v>
      </c>
    </row>
    <row r="71" spans="1:20" x14ac:dyDescent="0.15">
      <c r="A71" s="5">
        <v>46</v>
      </c>
      <c r="B71" s="6">
        <v>82585</v>
      </c>
      <c r="C71" s="6">
        <v>64367</v>
      </c>
      <c r="D71" s="6"/>
      <c r="E71" s="76"/>
      <c r="F71" s="76"/>
      <c r="G71" s="76"/>
      <c r="H71" s="6"/>
      <c r="I71" s="77">
        <f t="shared" si="18"/>
        <v>146952</v>
      </c>
      <c r="J71" s="29"/>
      <c r="K71" s="29"/>
      <c r="L71" s="29"/>
      <c r="M71" s="29"/>
      <c r="N71" s="29"/>
      <c r="O71" s="29"/>
      <c r="P71" s="29"/>
      <c r="R71" s="31"/>
    </row>
    <row r="72" spans="1:20" x14ac:dyDescent="0.15">
      <c r="A72" s="5">
        <v>47</v>
      </c>
      <c r="B72" s="6">
        <v>72042</v>
      </c>
      <c r="C72" s="6">
        <v>71656</v>
      </c>
      <c r="D72" s="6"/>
      <c r="E72" s="76"/>
      <c r="F72" s="6"/>
      <c r="G72" s="6">
        <v>75375</v>
      </c>
      <c r="H72" s="6"/>
      <c r="I72" s="77">
        <f t="shared" si="18"/>
        <v>219073</v>
      </c>
      <c r="J72" s="92"/>
      <c r="R72" s="31"/>
    </row>
    <row r="73" spans="1:20" x14ac:dyDescent="0.15">
      <c r="A73" s="5">
        <v>48</v>
      </c>
      <c r="B73" s="6">
        <v>90238</v>
      </c>
      <c r="C73" s="76"/>
      <c r="D73" s="76"/>
      <c r="E73" s="76"/>
      <c r="F73" s="76"/>
      <c r="G73" s="76"/>
      <c r="H73" s="6"/>
      <c r="I73" s="77">
        <f t="shared" si="18"/>
        <v>90238</v>
      </c>
      <c r="R73" s="31"/>
    </row>
    <row r="74" spans="1:20" x14ac:dyDescent="0.15">
      <c r="A74" s="5">
        <v>49</v>
      </c>
      <c r="B74" s="6"/>
      <c r="C74" s="6"/>
      <c r="D74" s="6"/>
      <c r="E74" s="6"/>
      <c r="F74" s="76"/>
      <c r="G74" s="76"/>
      <c r="H74" s="6"/>
      <c r="I74" s="77">
        <f t="shared" si="18"/>
        <v>0</v>
      </c>
      <c r="J74" s="20" t="s">
        <v>48</v>
      </c>
      <c r="K74" s="21"/>
      <c r="L74" s="21"/>
      <c r="M74" s="21"/>
      <c r="N74" s="21"/>
      <c r="O74" s="21"/>
      <c r="P74" s="21"/>
      <c r="Q74" s="21"/>
      <c r="R74" s="93"/>
    </row>
    <row r="75" spans="1:20" x14ac:dyDescent="0.15">
      <c r="A75" s="5">
        <v>64</v>
      </c>
      <c r="B75" s="6"/>
      <c r="C75" s="6">
        <v>63032</v>
      </c>
      <c r="D75" s="6"/>
      <c r="E75" s="6"/>
      <c r="F75" s="76"/>
      <c r="G75" s="6"/>
      <c r="H75" s="6"/>
      <c r="I75" s="77">
        <f t="shared" si="18"/>
        <v>63032</v>
      </c>
      <c r="J75" s="78" t="s">
        <v>29</v>
      </c>
      <c r="K75" s="79">
        <f t="shared" ref="K75:Q75" si="19">+K25</f>
        <v>55533.51</v>
      </c>
      <c r="L75" s="79">
        <f t="shared" si="19"/>
        <v>1364.3300000000002</v>
      </c>
      <c r="M75" s="79">
        <f t="shared" si="19"/>
        <v>60.319999999999993</v>
      </c>
      <c r="N75" s="79">
        <f t="shared" si="19"/>
        <v>2978.7999999999997</v>
      </c>
      <c r="O75" s="79">
        <f t="shared" si="19"/>
        <v>566.76</v>
      </c>
      <c r="P75" s="79">
        <f t="shared" si="19"/>
        <v>231.07000000000002</v>
      </c>
      <c r="Q75" s="79">
        <f t="shared" si="19"/>
        <v>428.00000000000011</v>
      </c>
      <c r="R75" s="32">
        <f>SUM(K75:Q75)</f>
        <v>61162.790000000008</v>
      </c>
    </row>
    <row r="76" spans="1:20" x14ac:dyDescent="0.15">
      <c r="A76" s="5">
        <v>51</v>
      </c>
      <c r="B76" s="6">
        <v>97560</v>
      </c>
      <c r="C76" s="6"/>
      <c r="D76" s="6"/>
      <c r="E76" s="6">
        <v>0</v>
      </c>
      <c r="F76" s="76">
        <v>1616</v>
      </c>
      <c r="G76" s="76"/>
      <c r="H76" s="6"/>
      <c r="I76" s="77">
        <f t="shared" si="18"/>
        <v>99176</v>
      </c>
      <c r="J76" s="80" t="s">
        <v>56</v>
      </c>
      <c r="K76" s="76">
        <f t="shared" ref="K76:Q76" si="20">SUMPRODUCT(B4:B30,B52:B78)</f>
        <v>4675948373.7100019</v>
      </c>
      <c r="L76" s="76">
        <f t="shared" si="20"/>
        <v>108309488.11</v>
      </c>
      <c r="M76" s="76">
        <f t="shared" si="20"/>
        <v>5141199.29</v>
      </c>
      <c r="N76" s="76">
        <f t="shared" si="20"/>
        <v>243536307.62000003</v>
      </c>
      <c r="O76" s="76">
        <f t="shared" si="20"/>
        <v>47427901.839999989</v>
      </c>
      <c r="P76" s="76">
        <f t="shared" si="20"/>
        <v>18392174.469999999</v>
      </c>
      <c r="Q76" s="76">
        <f t="shared" si="20"/>
        <v>68985162.290000007</v>
      </c>
      <c r="R76" s="91">
        <f>SUM(K76:Q76)</f>
        <v>5167740607.3300018</v>
      </c>
      <c r="T76" s="20" t="s">
        <v>48</v>
      </c>
    </row>
    <row r="77" spans="1:20" x14ac:dyDescent="0.15">
      <c r="A77" s="5">
        <v>52</v>
      </c>
      <c r="B77" s="6">
        <v>64182</v>
      </c>
      <c r="C77" s="6">
        <v>56946</v>
      </c>
      <c r="D77" s="6"/>
      <c r="E77" s="6">
        <v>70969</v>
      </c>
      <c r="F77" s="6">
        <v>58380</v>
      </c>
      <c r="G77" s="6"/>
      <c r="H77" s="6"/>
      <c r="I77" s="77">
        <f t="shared" si="18"/>
        <v>250477</v>
      </c>
      <c r="J77" s="83" t="s">
        <v>58</v>
      </c>
      <c r="K77" s="84">
        <f t="shared" ref="K77:R77" si="21">+K76/K75</f>
        <v>84200.483162508579</v>
      </c>
      <c r="L77" s="84">
        <f>+L76/L75</f>
        <v>79386.576642014756</v>
      </c>
      <c r="M77" s="84">
        <f t="shared" si="21"/>
        <v>85232.083720159164</v>
      </c>
      <c r="N77" s="84">
        <f t="shared" si="21"/>
        <v>81756.515247750795</v>
      </c>
      <c r="O77" s="84">
        <f t="shared" si="21"/>
        <v>83682.514362340298</v>
      </c>
      <c r="P77" s="84">
        <f t="shared" si="21"/>
        <v>79595.68299649455</v>
      </c>
      <c r="Q77" s="84">
        <f t="shared" si="21"/>
        <v>161180.28572429903</v>
      </c>
      <c r="R77" s="85">
        <f t="shared" si="21"/>
        <v>84491.577433436265</v>
      </c>
      <c r="T77" s="83" t="s">
        <v>58</v>
      </c>
    </row>
    <row r="78" spans="1:20" x14ac:dyDescent="0.15">
      <c r="A78" s="5">
        <v>61</v>
      </c>
      <c r="B78" s="6">
        <v>91983</v>
      </c>
      <c r="C78" s="6">
        <v>0</v>
      </c>
      <c r="D78" s="6"/>
      <c r="E78" s="6"/>
      <c r="F78" s="6">
        <v>67196</v>
      </c>
      <c r="G78" s="6">
        <v>0</v>
      </c>
      <c r="H78" s="6">
        <v>86221</v>
      </c>
      <c r="I78" s="77">
        <f t="shared" si="18"/>
        <v>245400</v>
      </c>
      <c r="R78" s="31"/>
    </row>
    <row r="79" spans="1:20" x14ac:dyDescent="0.15">
      <c r="A79" s="5">
        <v>90</v>
      </c>
      <c r="B79" s="6">
        <v>57945</v>
      </c>
      <c r="C79" s="6">
        <v>0</v>
      </c>
      <c r="D79" s="6"/>
      <c r="E79" s="6">
        <v>0</v>
      </c>
      <c r="F79" s="6"/>
      <c r="G79" s="6"/>
      <c r="H79" s="6">
        <v>58181</v>
      </c>
      <c r="I79" s="77">
        <f t="shared" si="18"/>
        <v>116126</v>
      </c>
      <c r="R79" s="31"/>
    </row>
    <row r="80" spans="1:20" x14ac:dyDescent="0.15">
      <c r="A80" s="5">
        <v>91</v>
      </c>
      <c r="B80" s="6">
        <v>45530</v>
      </c>
      <c r="C80" s="6">
        <v>50442</v>
      </c>
      <c r="D80" s="6">
        <v>48117</v>
      </c>
      <c r="E80" s="6">
        <v>47911</v>
      </c>
      <c r="F80" s="6">
        <v>44095</v>
      </c>
      <c r="G80" s="6">
        <v>50253</v>
      </c>
      <c r="H80" s="6">
        <v>61099</v>
      </c>
      <c r="I80" s="77">
        <f t="shared" si="18"/>
        <v>347447</v>
      </c>
      <c r="R80" s="31"/>
    </row>
    <row r="81" spans="1:20" x14ac:dyDescent="0.15">
      <c r="A81" s="5">
        <v>92</v>
      </c>
      <c r="B81" s="76"/>
      <c r="C81" s="76"/>
      <c r="D81" s="76"/>
      <c r="E81" s="76"/>
      <c r="F81" s="6"/>
      <c r="G81" s="6">
        <v>70573</v>
      </c>
      <c r="H81" s="6">
        <v>69778</v>
      </c>
      <c r="I81" s="77">
        <f t="shared" si="18"/>
        <v>140351</v>
      </c>
      <c r="J81" s="94" t="s">
        <v>487</v>
      </c>
      <c r="R81" s="31"/>
    </row>
    <row r="82" spans="1:20" x14ac:dyDescent="0.15">
      <c r="A82" s="5">
        <v>93</v>
      </c>
      <c r="B82" s="76"/>
      <c r="C82" s="76"/>
      <c r="D82" s="76"/>
      <c r="E82" s="76"/>
      <c r="F82" s="76"/>
      <c r="G82" s="76"/>
      <c r="H82" s="6">
        <v>59907</v>
      </c>
      <c r="I82" s="77">
        <f t="shared" si="18"/>
        <v>59907</v>
      </c>
      <c r="J82" s="28" t="s">
        <v>29</v>
      </c>
      <c r="K82" s="95">
        <f t="shared" ref="K82:Q82" si="22">+K34</f>
        <v>8958.81</v>
      </c>
      <c r="L82" s="95">
        <f t="shared" si="22"/>
        <v>265.19</v>
      </c>
      <c r="M82" s="95">
        <f t="shared" si="22"/>
        <v>28.289999999999996</v>
      </c>
      <c r="N82" s="95">
        <f t="shared" si="22"/>
        <v>311.08</v>
      </c>
      <c r="O82" s="95">
        <f t="shared" si="22"/>
        <v>34.950000000000003</v>
      </c>
      <c r="P82" s="95">
        <f t="shared" si="22"/>
        <v>66.279999999999987</v>
      </c>
      <c r="Q82" s="95">
        <f t="shared" si="22"/>
        <v>11691.170000000002</v>
      </c>
      <c r="R82" s="32">
        <f>SUM(K82:Q82)</f>
        <v>21355.770000000004</v>
      </c>
    </row>
    <row r="83" spans="1:20" x14ac:dyDescent="0.15">
      <c r="A83" s="5">
        <v>94</v>
      </c>
      <c r="B83" s="6">
        <v>54716</v>
      </c>
      <c r="C83" s="6">
        <v>52838</v>
      </c>
      <c r="D83" s="6">
        <v>55137</v>
      </c>
      <c r="E83" s="6">
        <v>55345</v>
      </c>
      <c r="F83" s="6">
        <v>58607</v>
      </c>
      <c r="G83" s="6">
        <v>56103</v>
      </c>
      <c r="H83" s="6">
        <v>65099</v>
      </c>
      <c r="I83" s="77">
        <f t="shared" si="18"/>
        <v>397845</v>
      </c>
      <c r="J83" s="54" t="s">
        <v>56</v>
      </c>
      <c r="K83" s="88">
        <f t="shared" ref="K83:Q83" si="23">SUMPRODUCT(B31:B40,B79:B88)</f>
        <v>490152277.21999997</v>
      </c>
      <c r="L83" s="88">
        <f t="shared" si="23"/>
        <v>14327241.6</v>
      </c>
      <c r="M83" s="88">
        <f t="shared" si="23"/>
        <v>1653310.18</v>
      </c>
      <c r="N83" s="88">
        <f t="shared" si="23"/>
        <v>17762972.219999999</v>
      </c>
      <c r="O83" s="88">
        <f t="shared" si="23"/>
        <v>2081097.4900000002</v>
      </c>
      <c r="P83" s="88">
        <f t="shared" si="23"/>
        <v>3685603.8799999994</v>
      </c>
      <c r="Q83" s="88">
        <f t="shared" si="23"/>
        <v>767073664.82999992</v>
      </c>
      <c r="R83" s="91">
        <f>SUM(K83:Q83)</f>
        <v>1296736167.4200001</v>
      </c>
      <c r="S83" s="96" t="s">
        <v>269</v>
      </c>
      <c r="T83" s="96"/>
    </row>
    <row r="84" spans="1:20" x14ac:dyDescent="0.15">
      <c r="A84" s="5">
        <v>95</v>
      </c>
      <c r="B84" s="6">
        <v>57683</v>
      </c>
      <c r="C84" s="76"/>
      <c r="D84" s="76"/>
      <c r="E84" s="76">
        <v>77848</v>
      </c>
      <c r="F84" s="76"/>
      <c r="G84" s="76"/>
      <c r="H84" s="6">
        <v>62552</v>
      </c>
      <c r="I84" s="77">
        <f t="shared" si="18"/>
        <v>198083</v>
      </c>
      <c r="J84" s="94" t="s">
        <v>58</v>
      </c>
      <c r="K84" s="88">
        <f t="shared" ref="K84:R84" si="24">+K83/K82</f>
        <v>54711.761631288085</v>
      </c>
      <c r="L84" s="88">
        <f>+L83/L82</f>
        <v>54026.326784569552</v>
      </c>
      <c r="M84" s="88">
        <f t="shared" si="24"/>
        <v>58441.505125486045</v>
      </c>
      <c r="N84" s="88">
        <f t="shared" si="24"/>
        <v>57100.977947794781</v>
      </c>
      <c r="O84" s="88">
        <f t="shared" si="24"/>
        <v>59544.992560801147</v>
      </c>
      <c r="P84" s="88">
        <f t="shared" si="24"/>
        <v>55606.576342788176</v>
      </c>
      <c r="Q84" s="88">
        <f t="shared" si="24"/>
        <v>65611.368650870689</v>
      </c>
      <c r="R84" s="97">
        <f t="shared" si="24"/>
        <v>60720.64680505549</v>
      </c>
      <c r="S84" s="98">
        <v>60721</v>
      </c>
      <c r="T84" s="99">
        <f>+R84-S84</f>
        <v>-0.3531949445095961</v>
      </c>
    </row>
    <row r="85" spans="1:20" x14ac:dyDescent="0.15">
      <c r="A85" s="5">
        <v>96</v>
      </c>
      <c r="B85" s="6">
        <v>73756</v>
      </c>
      <c r="C85" s="6">
        <v>66314</v>
      </c>
      <c r="D85" s="6">
        <v>77478</v>
      </c>
      <c r="E85" s="6">
        <v>73865</v>
      </c>
      <c r="F85" s="6">
        <v>60112</v>
      </c>
      <c r="G85" s="6">
        <v>83921</v>
      </c>
      <c r="H85" s="6">
        <v>86394</v>
      </c>
      <c r="I85" s="77">
        <f t="shared" si="18"/>
        <v>521840</v>
      </c>
      <c r="R85" s="31"/>
      <c r="T85" s="94" t="s">
        <v>487</v>
      </c>
    </row>
    <row r="86" spans="1:20" x14ac:dyDescent="0.15">
      <c r="A86" s="5">
        <v>97</v>
      </c>
      <c r="B86" s="6">
        <v>57676</v>
      </c>
      <c r="C86" s="6">
        <v>54953</v>
      </c>
      <c r="D86" s="6">
        <v>50125</v>
      </c>
      <c r="E86" s="6">
        <v>58104</v>
      </c>
      <c r="F86" s="6"/>
      <c r="G86" s="6">
        <v>50696</v>
      </c>
      <c r="H86" s="6">
        <v>50731</v>
      </c>
      <c r="I86" s="77">
        <f>SUM(B86:H86)</f>
        <v>322285</v>
      </c>
      <c r="R86" s="31"/>
      <c r="T86" s="83" t="s">
        <v>58</v>
      </c>
    </row>
    <row r="87" spans="1:20" x14ac:dyDescent="0.15">
      <c r="A87" s="5">
        <v>98</v>
      </c>
      <c r="B87" s="6">
        <v>69304</v>
      </c>
      <c r="C87" s="6">
        <v>58018</v>
      </c>
      <c r="D87" s="6">
        <v>64827</v>
      </c>
      <c r="E87" s="6">
        <v>69371</v>
      </c>
      <c r="F87" s="6">
        <v>64995</v>
      </c>
      <c r="G87" s="6">
        <v>69024</v>
      </c>
      <c r="H87" s="6">
        <v>76059</v>
      </c>
      <c r="I87" s="77">
        <f>SUM(B87:H87)</f>
        <v>471598</v>
      </c>
      <c r="R87" s="31"/>
    </row>
    <row r="88" spans="1:20" x14ac:dyDescent="0.15">
      <c r="A88" s="5">
        <v>99</v>
      </c>
      <c r="B88" s="6">
        <v>117270</v>
      </c>
      <c r="C88" s="6">
        <v>86869</v>
      </c>
      <c r="D88" s="6">
        <v>135571</v>
      </c>
      <c r="E88" s="6">
        <v>113589</v>
      </c>
      <c r="F88" s="6">
        <v>103662</v>
      </c>
      <c r="G88" s="6">
        <v>88164</v>
      </c>
      <c r="H88" s="6">
        <v>118753</v>
      </c>
      <c r="I88" s="77">
        <f>SUM(B88:H88)</f>
        <v>763878</v>
      </c>
      <c r="R88" s="31"/>
    </row>
    <row r="89" spans="1:20" x14ac:dyDescent="0.15">
      <c r="A89" s="11"/>
      <c r="B89" s="100">
        <f t="shared" ref="B89:H89" si="25">SUM(B52:B88)</f>
        <v>3037124</v>
      </c>
      <c r="C89" s="100">
        <f t="shared" si="25"/>
        <v>2303943</v>
      </c>
      <c r="D89" s="100">
        <f t="shared" si="25"/>
        <v>1345123</v>
      </c>
      <c r="E89" s="100">
        <f t="shared" si="25"/>
        <v>1776301</v>
      </c>
      <c r="F89" s="100">
        <f t="shared" si="25"/>
        <v>1316606</v>
      </c>
      <c r="G89" s="100">
        <f t="shared" si="25"/>
        <v>1370503</v>
      </c>
      <c r="H89" s="100">
        <f t="shared" si="25"/>
        <v>2189657</v>
      </c>
      <c r="I89" s="100" t="s">
        <v>52</v>
      </c>
      <c r="J89" s="29"/>
      <c r="K89" s="29"/>
      <c r="L89" s="29"/>
      <c r="M89" s="29"/>
      <c r="N89" s="29"/>
      <c r="O89" s="29"/>
      <c r="P89" s="29"/>
      <c r="R89" s="31"/>
    </row>
    <row r="90" spans="1:20" x14ac:dyDescent="0.15">
      <c r="A90" s="11"/>
      <c r="B90" s="101"/>
      <c r="C90" s="101"/>
      <c r="D90" s="101"/>
      <c r="E90" s="101"/>
      <c r="F90" s="101"/>
      <c r="G90" s="101"/>
      <c r="H90" s="101"/>
      <c r="I90" s="101"/>
      <c r="R90" s="49"/>
    </row>
  </sheetData>
  <phoneticPr fontId="0" type="noConversion"/>
  <printOptions gridLines="1"/>
  <pageMargins left="0.25" right="0.25" top="1" bottom="1" header="0.5" footer="0.5"/>
  <pageSetup scale="64" fitToHeight="0" orientation="landscape" r:id="rId1"/>
  <headerFooter alignWithMargins="0">
    <oddHeader>&amp;A</oddHeader>
    <oddFooter>&amp;CPage &amp;P&amp;R&amp;D</oddFooter>
  </headerFooter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77"/>
  <sheetViews>
    <sheetView tabSelected="1" topLeftCell="A21" zoomScale="75" zoomScaleNormal="75" workbookViewId="0">
      <selection activeCell="A61" sqref="A61"/>
    </sheetView>
  </sheetViews>
  <sheetFormatPr defaultRowHeight="16.5" x14ac:dyDescent="0.3"/>
  <cols>
    <col min="1" max="1" width="10.85546875" style="244" customWidth="1"/>
    <col min="2" max="2" width="14.140625" style="244" customWidth="1"/>
    <col min="3" max="3" width="9.28515625" style="244" bestFit="1" customWidth="1"/>
    <col min="4" max="4" width="6.42578125" style="244" bestFit="1" customWidth="1"/>
    <col min="5" max="5" width="11.5703125" style="244" customWidth="1"/>
    <col min="6" max="6" width="7.140625" style="244" bestFit="1" customWidth="1"/>
    <col min="7" max="7" width="7.5703125" style="244" bestFit="1" customWidth="1"/>
    <col min="8" max="8" width="11.7109375" style="244" customWidth="1"/>
    <col min="9" max="9" width="15.7109375" style="244" hidden="1" customWidth="1"/>
    <col min="10" max="10" width="8.140625" style="244" bestFit="1" customWidth="1"/>
    <col min="11" max="11" width="14.85546875" style="244" customWidth="1"/>
    <col min="12" max="12" width="7.5703125" style="244" bestFit="1" customWidth="1"/>
    <col min="13" max="13" width="12" style="244" bestFit="1" customWidth="1"/>
    <col min="14" max="14" width="13.140625" style="244" hidden="1" customWidth="1"/>
    <col min="15" max="16" width="14.85546875" style="244" hidden="1" customWidth="1"/>
    <col min="17" max="17" width="13.140625" style="244" hidden="1" customWidth="1"/>
    <col min="18" max="18" width="15" style="244" hidden="1" customWidth="1"/>
    <col min="19" max="19" width="14.85546875" style="244" hidden="1" customWidth="1"/>
    <col min="20" max="16384" width="9.140625" style="244"/>
  </cols>
  <sheetData>
    <row r="1" spans="1:19" s="331" customFormat="1" ht="21" thickTop="1" x14ac:dyDescent="0.35">
      <c r="A1" s="881" t="s">
        <v>369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3"/>
      <c r="N1" s="1"/>
      <c r="O1" s="1"/>
      <c r="P1" s="2"/>
      <c r="Q1" s="1"/>
      <c r="R1" s="1"/>
      <c r="S1" s="2"/>
    </row>
    <row r="2" spans="1:19" s="331" customFormat="1" ht="21" thickBot="1" x14ac:dyDescent="0.4">
      <c r="A2" s="884" t="s">
        <v>597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6"/>
      <c r="N2" s="515"/>
      <c r="O2" s="515"/>
      <c r="P2" s="516"/>
      <c r="Q2" s="515"/>
      <c r="R2" s="515"/>
      <c r="S2" s="516"/>
    </row>
    <row r="3" spans="1:19" s="4" customFormat="1" ht="17.25" x14ac:dyDescent="0.3">
      <c r="A3" s="495"/>
      <c r="B3" s="496"/>
      <c r="C3" s="502" t="s">
        <v>598</v>
      </c>
      <c r="D3" s="502"/>
      <c r="E3" s="502"/>
      <c r="F3" s="502"/>
      <c r="G3" s="502"/>
      <c r="H3" s="502"/>
      <c r="I3" s="502"/>
      <c r="J3" s="502"/>
      <c r="K3" s="502"/>
      <c r="L3" s="502"/>
      <c r="M3" s="504"/>
      <c r="N3" s="497" t="s">
        <v>60</v>
      </c>
      <c r="O3" s="498"/>
      <c r="P3" s="499"/>
      <c r="Q3" s="500" t="s">
        <v>204</v>
      </c>
      <c r="R3" s="498"/>
      <c r="S3" s="501"/>
    </row>
    <row r="4" spans="1:19" s="4" customFormat="1" ht="17.25" x14ac:dyDescent="0.3">
      <c r="A4" s="495"/>
      <c r="B4" s="809" t="s">
        <v>62</v>
      </c>
      <c r="C4" s="810" t="s">
        <v>528</v>
      </c>
      <c r="D4" s="502"/>
      <c r="E4" s="502"/>
      <c r="F4" s="502"/>
      <c r="G4" s="502"/>
      <c r="H4" s="503"/>
      <c r="I4" s="810"/>
      <c r="J4" s="810" t="s">
        <v>527</v>
      </c>
      <c r="K4" s="502"/>
      <c r="L4" s="502"/>
      <c r="M4" s="504"/>
      <c r="N4" s="497" t="s">
        <v>61</v>
      </c>
      <c r="O4" s="498"/>
      <c r="P4" s="499"/>
      <c r="Q4" s="500" t="s">
        <v>345</v>
      </c>
      <c r="R4" s="498"/>
      <c r="S4" s="501"/>
    </row>
    <row r="5" spans="1:19" s="4" customFormat="1" ht="17.25" x14ac:dyDescent="0.3">
      <c r="A5" s="495"/>
      <c r="B5" s="809" t="s">
        <v>66</v>
      </c>
      <c r="C5" s="876" t="s">
        <v>530</v>
      </c>
      <c r="D5" s="877"/>
      <c r="E5" s="877"/>
      <c r="F5" s="877"/>
      <c r="G5" s="878"/>
      <c r="H5" s="811" t="s">
        <v>64</v>
      </c>
      <c r="I5" s="812" t="s">
        <v>68</v>
      </c>
      <c r="J5" s="879" t="s">
        <v>529</v>
      </c>
      <c r="K5" s="880"/>
      <c r="L5" s="880"/>
      <c r="M5" s="813" t="s">
        <v>64</v>
      </c>
      <c r="N5" s="497" t="s">
        <v>344</v>
      </c>
      <c r="O5" s="498"/>
      <c r="P5" s="499"/>
      <c r="Q5" s="500" t="s">
        <v>344</v>
      </c>
      <c r="R5" s="498"/>
      <c r="S5" s="501"/>
    </row>
    <row r="6" spans="1:19" s="4" customFormat="1" ht="17.25" x14ac:dyDescent="0.3">
      <c r="A6" s="814" t="s">
        <v>65</v>
      </c>
      <c r="B6" s="809" t="s">
        <v>531</v>
      </c>
      <c r="C6" s="502" t="s">
        <v>312</v>
      </c>
      <c r="D6" s="815"/>
      <c r="E6" s="502" t="s">
        <v>67</v>
      </c>
      <c r="F6" s="816"/>
      <c r="G6" s="811" t="s">
        <v>38</v>
      </c>
      <c r="H6" s="811" t="s">
        <v>38</v>
      </c>
      <c r="I6" s="817" t="s">
        <v>66</v>
      </c>
      <c r="J6" s="818"/>
      <c r="K6" s="502"/>
      <c r="L6" s="816"/>
      <c r="M6" s="819"/>
      <c r="N6" s="505" t="s">
        <v>70</v>
      </c>
      <c r="O6" s="506" t="s">
        <v>69</v>
      </c>
      <c r="P6" s="507" t="s">
        <v>67</v>
      </c>
      <c r="Q6" s="508" t="s">
        <v>70</v>
      </c>
      <c r="R6" s="506" t="s">
        <v>69</v>
      </c>
      <c r="S6" s="509" t="s">
        <v>67</v>
      </c>
    </row>
    <row r="7" spans="1:19" s="4" customFormat="1" ht="18" thickBot="1" x14ac:dyDescent="0.35">
      <c r="A7" s="820" t="s">
        <v>71</v>
      </c>
      <c r="B7" s="821" t="s">
        <v>532</v>
      </c>
      <c r="C7" s="801" t="s">
        <v>72</v>
      </c>
      <c r="D7" s="822" t="s">
        <v>73</v>
      </c>
      <c r="E7" s="801" t="s">
        <v>74</v>
      </c>
      <c r="F7" s="822" t="s">
        <v>75</v>
      </c>
      <c r="G7" s="823" t="s">
        <v>76</v>
      </c>
      <c r="H7" s="823" t="s">
        <v>76</v>
      </c>
      <c r="I7" s="801" t="s">
        <v>188</v>
      </c>
      <c r="J7" s="824" t="s">
        <v>312</v>
      </c>
      <c r="K7" s="822" t="s">
        <v>67</v>
      </c>
      <c r="L7" s="822" t="s">
        <v>38</v>
      </c>
      <c r="M7" s="825" t="s">
        <v>38</v>
      </c>
      <c r="N7" s="510" t="s">
        <v>66</v>
      </c>
      <c r="O7" s="511" t="s">
        <v>67</v>
      </c>
      <c r="P7" s="512" t="s">
        <v>77</v>
      </c>
      <c r="Q7" s="513" t="s">
        <v>66</v>
      </c>
      <c r="R7" s="511" t="s">
        <v>67</v>
      </c>
      <c r="S7" s="514" t="s">
        <v>77</v>
      </c>
    </row>
    <row r="8" spans="1:19" hidden="1" x14ac:dyDescent="0.3">
      <c r="A8" s="441" t="s">
        <v>231</v>
      </c>
      <c r="B8" s="442">
        <v>756085</v>
      </c>
      <c r="C8" s="443">
        <v>1.58</v>
      </c>
      <c r="D8" s="444">
        <v>3.2</v>
      </c>
      <c r="E8" s="443">
        <v>43.18</v>
      </c>
      <c r="F8" s="444">
        <v>5.99</v>
      </c>
      <c r="G8" s="445">
        <v>53.95</v>
      </c>
      <c r="H8" s="445">
        <v>23.49</v>
      </c>
      <c r="I8" s="446"/>
      <c r="J8" s="447"/>
      <c r="K8" s="447"/>
      <c r="L8" s="447"/>
      <c r="M8" s="448"/>
      <c r="N8" s="446"/>
      <c r="O8" s="447"/>
      <c r="P8" s="449"/>
      <c r="Q8" s="450"/>
      <c r="R8" s="447"/>
      <c r="S8" s="448"/>
    </row>
    <row r="9" spans="1:19" hidden="1" x14ac:dyDescent="0.3">
      <c r="A9" s="441" t="s">
        <v>232</v>
      </c>
      <c r="B9" s="442">
        <v>750057</v>
      </c>
      <c r="C9" s="443">
        <v>1.62</v>
      </c>
      <c r="D9" s="444">
        <v>3.22</v>
      </c>
      <c r="E9" s="443">
        <v>44.74</v>
      </c>
      <c r="F9" s="444">
        <v>5.39</v>
      </c>
      <c r="G9" s="445">
        <v>54.96</v>
      </c>
      <c r="H9" s="445">
        <v>25.37</v>
      </c>
      <c r="I9" s="446"/>
      <c r="J9" s="447"/>
      <c r="K9" s="447"/>
      <c r="L9" s="447"/>
      <c r="M9" s="448"/>
      <c r="N9" s="446"/>
      <c r="O9" s="447"/>
      <c r="P9" s="449"/>
      <c r="Q9" s="450"/>
      <c r="R9" s="447"/>
      <c r="S9" s="448"/>
    </row>
    <row r="10" spans="1:19" hidden="1" x14ac:dyDescent="0.3">
      <c r="A10" s="441" t="s">
        <v>233</v>
      </c>
      <c r="B10" s="442">
        <v>748084</v>
      </c>
      <c r="C10" s="443">
        <v>1.45</v>
      </c>
      <c r="D10" s="444">
        <v>3.12</v>
      </c>
      <c r="E10" s="443">
        <v>45.03</v>
      </c>
      <c r="F10" s="444">
        <v>4.66</v>
      </c>
      <c r="G10" s="445">
        <v>54.26</v>
      </c>
      <c r="H10" s="445">
        <v>25.26</v>
      </c>
      <c r="I10" s="446"/>
      <c r="J10" s="447"/>
      <c r="K10" s="447"/>
      <c r="L10" s="447"/>
      <c r="M10" s="448"/>
      <c r="N10" s="446"/>
      <c r="O10" s="447"/>
      <c r="P10" s="449"/>
      <c r="Q10" s="450"/>
      <c r="R10" s="447"/>
      <c r="S10" s="448"/>
    </row>
    <row r="11" spans="1:19" hidden="1" x14ac:dyDescent="0.3">
      <c r="A11" s="441" t="s">
        <v>234</v>
      </c>
      <c r="B11" s="442">
        <v>744362</v>
      </c>
      <c r="C11" s="443">
        <v>1.41</v>
      </c>
      <c r="D11" s="444">
        <v>3.01</v>
      </c>
      <c r="E11" s="443">
        <v>45.19</v>
      </c>
      <c r="F11" s="444">
        <v>4.6100000000000003</v>
      </c>
      <c r="G11" s="445">
        <v>54.22</v>
      </c>
      <c r="H11" s="445">
        <v>25.11</v>
      </c>
      <c r="I11" s="446"/>
      <c r="J11" s="447"/>
      <c r="K11" s="447"/>
      <c r="L11" s="447"/>
      <c r="M11" s="448"/>
      <c r="N11" s="446"/>
      <c r="O11" s="447"/>
      <c r="P11" s="449"/>
      <c r="Q11" s="450"/>
      <c r="R11" s="447"/>
      <c r="S11" s="448"/>
    </row>
    <row r="12" spans="1:19" hidden="1" x14ac:dyDescent="0.3">
      <c r="A12" s="441" t="s">
        <v>235</v>
      </c>
      <c r="B12" s="442">
        <v>742085</v>
      </c>
      <c r="C12" s="443">
        <v>1.43</v>
      </c>
      <c r="D12" s="444">
        <v>2.97</v>
      </c>
      <c r="E12" s="443">
        <v>46.62</v>
      </c>
      <c r="F12" s="444">
        <v>4.4400000000000004</v>
      </c>
      <c r="G12" s="445">
        <v>55.46</v>
      </c>
      <c r="H12" s="445">
        <v>26.4</v>
      </c>
      <c r="I12" s="446"/>
      <c r="J12" s="447"/>
      <c r="K12" s="447"/>
      <c r="L12" s="447"/>
      <c r="M12" s="448"/>
      <c r="N12" s="446"/>
      <c r="O12" s="447"/>
      <c r="P12" s="449"/>
      <c r="Q12" s="450"/>
      <c r="R12" s="447"/>
      <c r="S12" s="448"/>
    </row>
    <row r="13" spans="1:19" hidden="1" x14ac:dyDescent="0.3">
      <c r="A13" s="441" t="s">
        <v>236</v>
      </c>
      <c r="B13" s="442">
        <v>734917</v>
      </c>
      <c r="C13" s="443">
        <v>1.46</v>
      </c>
      <c r="D13" s="444">
        <v>3.09</v>
      </c>
      <c r="E13" s="443">
        <v>47.48</v>
      </c>
      <c r="F13" s="444">
        <v>4.62</v>
      </c>
      <c r="G13" s="445">
        <v>56.66</v>
      </c>
      <c r="H13" s="445">
        <v>27.41</v>
      </c>
      <c r="I13" s="451">
        <v>735076</v>
      </c>
      <c r="J13" s="447"/>
      <c r="K13" s="447"/>
      <c r="L13" s="444">
        <v>50.65</v>
      </c>
      <c r="M13" s="452">
        <f>(+Table3!B66)/I13*1000</f>
        <v>15.953452432129467</v>
      </c>
      <c r="N13" s="446"/>
      <c r="O13" s="447"/>
      <c r="P13" s="449"/>
      <c r="Q13" s="450"/>
      <c r="R13" s="447"/>
      <c r="S13" s="448"/>
    </row>
    <row r="14" spans="1:19" hidden="1" x14ac:dyDescent="0.3">
      <c r="A14" s="441" t="s">
        <v>237</v>
      </c>
      <c r="B14" s="442">
        <v>729450</v>
      </c>
      <c r="C14" s="443">
        <v>1.53</v>
      </c>
      <c r="D14" s="444">
        <v>3.12</v>
      </c>
      <c r="E14" s="443">
        <v>48.67</v>
      </c>
      <c r="F14" s="444">
        <v>4.82</v>
      </c>
      <c r="G14" s="445">
        <v>58.13</v>
      </c>
      <c r="H14" s="445">
        <v>28.81</v>
      </c>
      <c r="I14" s="451">
        <v>729519</v>
      </c>
      <c r="J14" s="447"/>
      <c r="K14" s="447"/>
      <c r="L14" s="444">
        <v>51.53</v>
      </c>
      <c r="M14" s="452">
        <f>(+Table3!C66)/I14*1000</f>
        <v>17.057814806742524</v>
      </c>
      <c r="N14" s="446"/>
      <c r="O14" s="447"/>
      <c r="P14" s="449"/>
      <c r="Q14" s="450"/>
      <c r="R14" s="447"/>
      <c r="S14" s="448"/>
    </row>
    <row r="15" spans="1:19" hidden="1" x14ac:dyDescent="0.3">
      <c r="A15" s="441" t="s">
        <v>238</v>
      </c>
      <c r="B15" s="442">
        <v>722623</v>
      </c>
      <c r="C15" s="443">
        <v>1.57</v>
      </c>
      <c r="D15" s="444">
        <v>3.19</v>
      </c>
      <c r="E15" s="443">
        <v>49.26</v>
      </c>
      <c r="F15" s="444">
        <v>5.09</v>
      </c>
      <c r="G15" s="445">
        <v>59.12</v>
      </c>
      <c r="H15" s="445">
        <v>29.62</v>
      </c>
      <c r="I15" s="446"/>
      <c r="J15" s="447"/>
      <c r="K15" s="447"/>
      <c r="L15" s="447"/>
      <c r="M15" s="448"/>
      <c r="N15" s="446"/>
      <c r="O15" s="447"/>
      <c r="P15" s="449"/>
      <c r="Q15" s="450"/>
      <c r="R15" s="447"/>
      <c r="S15" s="448"/>
    </row>
    <row r="16" spans="1:19" hidden="1" x14ac:dyDescent="0.3">
      <c r="A16" s="441" t="s">
        <v>239</v>
      </c>
      <c r="B16" s="442">
        <v>712769</v>
      </c>
      <c r="C16" s="443">
        <v>1.41</v>
      </c>
      <c r="D16" s="444">
        <v>3.15</v>
      </c>
      <c r="E16" s="443">
        <v>49.11</v>
      </c>
      <c r="F16" s="444">
        <v>5.0599999999999996</v>
      </c>
      <c r="G16" s="445">
        <v>58.73</v>
      </c>
      <c r="H16" s="445">
        <v>27.39</v>
      </c>
      <c r="I16" s="451">
        <v>712872</v>
      </c>
      <c r="J16" s="447"/>
      <c r="K16" s="447"/>
      <c r="L16" s="444">
        <v>50.26</v>
      </c>
      <c r="M16" s="452">
        <f>(+Table3!E66)/I16*1000</f>
        <v>16.983413572141984</v>
      </c>
      <c r="N16" s="446"/>
      <c r="O16" s="447"/>
      <c r="P16" s="449"/>
      <c r="Q16" s="450"/>
      <c r="R16" s="447"/>
      <c r="S16" s="448"/>
    </row>
    <row r="17" spans="1:19" hidden="1" x14ac:dyDescent="0.3">
      <c r="A17" s="441" t="s">
        <v>240</v>
      </c>
      <c r="B17" s="442">
        <v>701777</v>
      </c>
      <c r="C17" s="443">
        <v>1.3</v>
      </c>
      <c r="D17" s="444">
        <v>3.12</v>
      </c>
      <c r="E17" s="443">
        <v>48.62</v>
      </c>
      <c r="F17" s="444">
        <v>4.9400000000000004</v>
      </c>
      <c r="G17" s="445">
        <v>57.98</v>
      </c>
      <c r="H17" s="445">
        <v>27.02</v>
      </c>
      <c r="I17" s="451">
        <v>701875</v>
      </c>
      <c r="J17" s="447"/>
      <c r="K17" s="447"/>
      <c r="L17" s="444">
        <v>49.61</v>
      </c>
      <c r="M17" s="452">
        <f>(+Table3!F66)/I17*1000</f>
        <v>16.866251113089938</v>
      </c>
      <c r="N17" s="446"/>
      <c r="O17" s="447"/>
      <c r="P17" s="449"/>
      <c r="Q17" s="450"/>
      <c r="R17" s="447"/>
      <c r="S17" s="448"/>
    </row>
    <row r="18" spans="1:19" hidden="1" x14ac:dyDescent="0.3">
      <c r="A18" s="441" t="s">
        <v>241</v>
      </c>
      <c r="B18" s="442">
        <v>699622</v>
      </c>
      <c r="C18" s="443">
        <v>1.35</v>
      </c>
      <c r="D18" s="444">
        <v>3.13</v>
      </c>
      <c r="E18" s="443">
        <v>49.87</v>
      </c>
      <c r="F18" s="444">
        <v>5.14</v>
      </c>
      <c r="G18" s="445">
        <v>59.48</v>
      </c>
      <c r="H18" s="445">
        <v>28.14</v>
      </c>
      <c r="I18" s="451">
        <v>699693</v>
      </c>
      <c r="J18" s="447"/>
      <c r="K18" s="447"/>
      <c r="L18" s="444">
        <v>51.64</v>
      </c>
      <c r="M18" s="452">
        <f>(+Table3!G66)/I18*1000</f>
        <v>17.520541151619351</v>
      </c>
      <c r="N18" s="446"/>
      <c r="O18" s="447"/>
      <c r="P18" s="449"/>
      <c r="Q18" s="450"/>
      <c r="R18" s="447"/>
      <c r="S18" s="448"/>
    </row>
    <row r="19" spans="1:19" hidden="1" x14ac:dyDescent="0.3">
      <c r="A19" s="441" t="s">
        <v>242</v>
      </c>
      <c r="B19" s="442">
        <v>702550</v>
      </c>
      <c r="C19" s="443">
        <v>1.38</v>
      </c>
      <c r="D19" s="444">
        <v>3.24</v>
      </c>
      <c r="E19" s="443">
        <v>50.85</v>
      </c>
      <c r="F19" s="444">
        <v>5.32</v>
      </c>
      <c r="G19" s="445">
        <v>60.79</v>
      </c>
      <c r="H19" s="445">
        <v>29.13</v>
      </c>
      <c r="I19" s="451">
        <v>702681</v>
      </c>
      <c r="J19" s="447"/>
      <c r="K19" s="447"/>
      <c r="L19" s="444">
        <v>52.45</v>
      </c>
      <c r="M19" s="452">
        <f>(+Table3!H66)/I19*1000</f>
        <v>17.905706857023315</v>
      </c>
      <c r="N19" s="446"/>
      <c r="O19" s="447"/>
      <c r="P19" s="449"/>
      <c r="Q19" s="450"/>
      <c r="R19" s="447"/>
      <c r="S19" s="448"/>
    </row>
    <row r="20" spans="1:19" hidden="1" x14ac:dyDescent="0.3">
      <c r="A20" s="441" t="s">
        <v>243</v>
      </c>
      <c r="B20" s="442">
        <v>708949</v>
      </c>
      <c r="C20" s="443">
        <v>1.4</v>
      </c>
      <c r="D20" s="444">
        <v>3.18</v>
      </c>
      <c r="E20" s="443">
        <v>51.06</v>
      </c>
      <c r="F20" s="444">
        <v>5.39</v>
      </c>
      <c r="G20" s="445">
        <v>61.04</v>
      </c>
      <c r="H20" s="445">
        <v>29.56</v>
      </c>
      <c r="I20" s="451">
        <v>709089</v>
      </c>
      <c r="J20" s="447"/>
      <c r="K20" s="447"/>
      <c r="L20" s="444">
        <v>52.46</v>
      </c>
      <c r="M20" s="452">
        <f>(+Table3!I66)/I20*1000</f>
        <v>17.985048421284212</v>
      </c>
      <c r="N20" s="446"/>
      <c r="O20" s="447"/>
      <c r="P20" s="449"/>
      <c r="Q20" s="450"/>
      <c r="R20" s="447"/>
      <c r="S20" s="448"/>
    </row>
    <row r="21" spans="1:19" x14ac:dyDescent="0.3">
      <c r="A21" s="441" t="s">
        <v>244</v>
      </c>
      <c r="B21" s="442">
        <v>720744</v>
      </c>
      <c r="C21" s="443">
        <v>1.4</v>
      </c>
      <c r="D21" s="444">
        <v>3.03</v>
      </c>
      <c r="E21" s="443">
        <v>51.51</v>
      </c>
      <c r="F21" s="444">
        <v>5.54</v>
      </c>
      <c r="G21" s="445">
        <v>61.49</v>
      </c>
      <c r="H21" s="445">
        <v>29.96</v>
      </c>
      <c r="I21" s="451">
        <v>698961</v>
      </c>
      <c r="J21" s="444">
        <f>(+Table3!J48)/I21*1000</f>
        <v>4.0760500228195848</v>
      </c>
      <c r="K21" s="444">
        <f>(+Table3!J57)/I21*1000</f>
        <v>49.14008077703906</v>
      </c>
      <c r="L21" s="444">
        <f t="shared" ref="L21:L36" si="0">+J21+K21</f>
        <v>53.216130799858647</v>
      </c>
      <c r="M21" s="452">
        <f>(+Table3!J66)/I21*1000</f>
        <v>18.753549911940723</v>
      </c>
      <c r="N21" s="446"/>
      <c r="O21" s="447"/>
      <c r="P21" s="449"/>
      <c r="Q21" s="450"/>
      <c r="R21" s="447"/>
      <c r="S21" s="448"/>
    </row>
    <row r="22" spans="1:19" x14ac:dyDescent="0.3">
      <c r="A22" s="441" t="s">
        <v>245</v>
      </c>
      <c r="B22" s="442">
        <v>733872</v>
      </c>
      <c r="C22" s="443">
        <v>1.36</v>
      </c>
      <c r="D22" s="444">
        <v>3.03</v>
      </c>
      <c r="E22" s="443">
        <v>51.71</v>
      </c>
      <c r="F22" s="444">
        <v>5.53</v>
      </c>
      <c r="G22" s="445">
        <v>61.63</v>
      </c>
      <c r="H22" s="445">
        <v>30.56</v>
      </c>
      <c r="I22" s="451">
        <v>711281</v>
      </c>
      <c r="J22" s="444">
        <f>(+Table3!K48)/I22*1000</f>
        <v>4.0434090043175628</v>
      </c>
      <c r="K22" s="444">
        <f>(+Table3!K57)/I22*1000</f>
        <v>49.315249528667287</v>
      </c>
      <c r="L22" s="444">
        <f t="shared" si="0"/>
        <v>53.358658532984848</v>
      </c>
      <c r="M22" s="452">
        <f>(+Table3!K66)/I22*1000</f>
        <v>18.903921235067436</v>
      </c>
      <c r="N22" s="446"/>
      <c r="O22" s="447"/>
      <c r="P22" s="449"/>
      <c r="Q22" s="450"/>
      <c r="R22" s="447"/>
      <c r="S22" s="448"/>
    </row>
    <row r="23" spans="1:19" x14ac:dyDescent="0.3">
      <c r="A23" s="441" t="s">
        <v>246</v>
      </c>
      <c r="B23" s="442">
        <v>748417</v>
      </c>
      <c r="C23" s="443">
        <v>1.37</v>
      </c>
      <c r="D23" s="444">
        <v>3.03</v>
      </c>
      <c r="E23" s="443">
        <v>51.87</v>
      </c>
      <c r="F23" s="444">
        <v>5.6</v>
      </c>
      <c r="G23" s="445">
        <v>61.91</v>
      </c>
      <c r="H23" s="445">
        <v>31.38</v>
      </c>
      <c r="I23" s="451">
        <v>724228</v>
      </c>
      <c r="J23" s="444">
        <f>(+Table3!L48)/I23*1000</f>
        <v>4.0222139989064223</v>
      </c>
      <c r="K23" s="444">
        <f>(+Table3!L57)/I23*1000</f>
        <v>49.549313199710589</v>
      </c>
      <c r="L23" s="444">
        <f t="shared" si="0"/>
        <v>53.571527198617012</v>
      </c>
      <c r="M23" s="452">
        <f>(+Table3!L66)/I23*1000</f>
        <v>19.114146373793886</v>
      </c>
      <c r="N23" s="446"/>
      <c r="O23" s="447"/>
      <c r="P23" s="449"/>
      <c r="Q23" s="450"/>
      <c r="R23" s="447"/>
      <c r="S23" s="448"/>
    </row>
    <row r="24" spans="1:19" x14ac:dyDescent="0.3">
      <c r="A24" s="441" t="s">
        <v>247</v>
      </c>
      <c r="B24" s="442">
        <v>768356</v>
      </c>
      <c r="C24" s="443">
        <v>1.36</v>
      </c>
      <c r="D24" s="444">
        <v>2.93</v>
      </c>
      <c r="E24" s="443">
        <v>52.5</v>
      </c>
      <c r="F24" s="444">
        <v>5.75</v>
      </c>
      <c r="G24" s="445">
        <v>62.62</v>
      </c>
      <c r="H24" s="445">
        <v>31.6</v>
      </c>
      <c r="I24" s="451">
        <v>742995</v>
      </c>
      <c r="J24" s="444">
        <f>(+Table3!M48)/I24*1000</f>
        <v>3.9529202753719739</v>
      </c>
      <c r="K24" s="444">
        <f>(+Table3!M57)/I24*1000</f>
        <v>50.379881425850776</v>
      </c>
      <c r="L24" s="444">
        <f t="shared" si="0"/>
        <v>54.332801701222749</v>
      </c>
      <c r="M24" s="452">
        <f>(+Table3!M66)/I24*1000</f>
        <v>19.113183803390331</v>
      </c>
      <c r="N24" s="451">
        <v>236508</v>
      </c>
      <c r="O24" s="444">
        <v>50.95</v>
      </c>
      <c r="P24" s="449"/>
      <c r="Q24" s="450"/>
      <c r="R24" s="447"/>
      <c r="S24" s="448"/>
    </row>
    <row r="25" spans="1:19" x14ac:dyDescent="0.3">
      <c r="A25" s="441" t="s">
        <v>248</v>
      </c>
      <c r="B25" s="442">
        <v>795736</v>
      </c>
      <c r="C25" s="443">
        <v>1.33</v>
      </c>
      <c r="D25" s="444">
        <v>2.93</v>
      </c>
      <c r="E25" s="443">
        <v>52.68</v>
      </c>
      <c r="F25" s="444">
        <v>5.81</v>
      </c>
      <c r="G25" s="445">
        <v>62.83</v>
      </c>
      <c r="H25" s="445">
        <v>32.409999999999997</v>
      </c>
      <c r="I25" s="451">
        <v>768602</v>
      </c>
      <c r="J25" s="444">
        <f>(+Table3!N48)/I25*1000</f>
        <v>3.9331149281422633</v>
      </c>
      <c r="K25" s="444">
        <f>(+Table3!N57)/I25*1000</f>
        <v>50.593154844770119</v>
      </c>
      <c r="L25" s="444">
        <f t="shared" si="0"/>
        <v>54.526269772912386</v>
      </c>
      <c r="M25" s="452">
        <f>(+Table3!N66)/I25*1000</f>
        <v>19.312986435112062</v>
      </c>
      <c r="N25" s="451">
        <v>242034</v>
      </c>
      <c r="O25" s="444">
        <v>52.44</v>
      </c>
      <c r="P25" s="445">
        <v>2.91</v>
      </c>
      <c r="Q25" s="450"/>
      <c r="R25" s="447"/>
      <c r="S25" s="448"/>
    </row>
    <row r="26" spans="1:19" x14ac:dyDescent="0.3">
      <c r="A26" s="441" t="s">
        <v>249</v>
      </c>
      <c r="B26" s="442">
        <v>823040</v>
      </c>
      <c r="C26" s="443">
        <v>1.29</v>
      </c>
      <c r="D26" s="444">
        <v>2.81</v>
      </c>
      <c r="E26" s="443">
        <v>52.15</v>
      </c>
      <c r="F26" s="444">
        <v>5.88</v>
      </c>
      <c r="G26" s="445">
        <v>62.22</v>
      </c>
      <c r="H26" s="445">
        <v>32.42</v>
      </c>
      <c r="I26" s="451">
        <v>794542</v>
      </c>
      <c r="J26" s="444">
        <f>(+Table3!O48)/I26*1000</f>
        <v>3.8462409790797718</v>
      </c>
      <c r="K26" s="444">
        <f>(+Table3!O57)/I26*1000</f>
        <v>50.75628475272547</v>
      </c>
      <c r="L26" s="444">
        <f t="shared" si="0"/>
        <v>54.602525731805244</v>
      </c>
      <c r="M26" s="452">
        <f>(+Table3!O66)/I26*1000</f>
        <v>19.442647462311619</v>
      </c>
      <c r="N26" s="451">
        <v>246036</v>
      </c>
      <c r="O26" s="444">
        <v>53.95</v>
      </c>
      <c r="P26" s="445">
        <v>3.11</v>
      </c>
      <c r="Q26" s="450"/>
      <c r="R26" s="447"/>
      <c r="S26" s="448"/>
    </row>
    <row r="27" spans="1:19" x14ac:dyDescent="0.3">
      <c r="A27" s="441" t="s">
        <v>250</v>
      </c>
      <c r="B27" s="442">
        <v>849759</v>
      </c>
      <c r="C27" s="443">
        <v>1.23</v>
      </c>
      <c r="D27" s="444">
        <v>2.82</v>
      </c>
      <c r="E27" s="443">
        <v>52.17</v>
      </c>
      <c r="F27" s="444">
        <v>5.93</v>
      </c>
      <c r="G27" s="445">
        <v>62.23</v>
      </c>
      <c r="H27" s="445">
        <v>33.229999999999997</v>
      </c>
      <c r="I27" s="451">
        <v>819338</v>
      </c>
      <c r="J27" s="444">
        <f>(+Table3!P48)/I27*1000</f>
        <v>3.8018497860467839</v>
      </c>
      <c r="K27" s="444">
        <f>(+Table3!P57)/I27*1000</f>
        <v>50.750728026772833</v>
      </c>
      <c r="L27" s="444">
        <f t="shared" si="0"/>
        <v>54.552577812819621</v>
      </c>
      <c r="M27" s="452">
        <f>(+Table3!P66)/I27*1000</f>
        <v>19.54260634805172</v>
      </c>
      <c r="N27" s="451">
        <v>248455</v>
      </c>
      <c r="O27" s="444">
        <v>54.32</v>
      </c>
      <c r="P27" s="445">
        <v>3.19</v>
      </c>
      <c r="Q27" s="450"/>
      <c r="R27" s="447"/>
      <c r="S27" s="448"/>
    </row>
    <row r="28" spans="1:19" x14ac:dyDescent="0.3">
      <c r="A28" s="441" t="s">
        <v>251</v>
      </c>
      <c r="B28" s="442">
        <v>865796</v>
      </c>
      <c r="C28" s="443">
        <v>1.18</v>
      </c>
      <c r="D28" s="444">
        <v>2.8</v>
      </c>
      <c r="E28" s="443">
        <v>52.5</v>
      </c>
      <c r="F28" s="444">
        <v>6.11</v>
      </c>
      <c r="G28" s="445">
        <v>62.68</v>
      </c>
      <c r="H28" s="445">
        <v>33.94</v>
      </c>
      <c r="I28" s="451">
        <v>833854</v>
      </c>
      <c r="J28" s="444">
        <f>(+Table3!Q48)/I28*1000</f>
        <v>3.7476584629923226</v>
      </c>
      <c r="K28" s="444">
        <f>(+Table3!Q57)/I28*1000</f>
        <v>51.098873423884754</v>
      </c>
      <c r="L28" s="444">
        <f t="shared" si="0"/>
        <v>54.846531886877074</v>
      </c>
      <c r="M28" s="452">
        <f>(+Table3!Q66)/I28*1000</f>
        <v>19.652121354577659</v>
      </c>
      <c r="N28" s="451">
        <v>249103</v>
      </c>
      <c r="O28" s="444">
        <v>54.27</v>
      </c>
      <c r="P28" s="445">
        <v>3.13</v>
      </c>
      <c r="Q28" s="450"/>
      <c r="R28" s="447"/>
      <c r="S28" s="448"/>
    </row>
    <row r="29" spans="1:19" x14ac:dyDescent="0.3">
      <c r="A29" s="441" t="s">
        <v>252</v>
      </c>
      <c r="B29" s="442">
        <v>882097</v>
      </c>
      <c r="C29" s="443">
        <v>1.1299999999999999</v>
      </c>
      <c r="D29" s="444">
        <v>2.83</v>
      </c>
      <c r="E29" s="443">
        <v>53.06</v>
      </c>
      <c r="F29" s="444">
        <v>6.31</v>
      </c>
      <c r="G29" s="445">
        <v>62.87</v>
      </c>
      <c r="H29" s="445">
        <v>34.56</v>
      </c>
      <c r="I29" s="451">
        <v>847966</v>
      </c>
      <c r="J29" s="444">
        <f>(+Table3!R48)/I29*1000</f>
        <v>3.7572261151980149</v>
      </c>
      <c r="K29" s="444">
        <f>(+Table3!R57)/I29*1000</f>
        <v>51.277999353747674</v>
      </c>
      <c r="L29" s="444">
        <f t="shared" si="0"/>
        <v>55.03522546894569</v>
      </c>
      <c r="M29" s="452">
        <f>(+Table3!R66)/I29*1000</f>
        <v>19.755509065221954</v>
      </c>
      <c r="N29" s="451">
        <v>250070</v>
      </c>
      <c r="O29" s="444">
        <v>54.6</v>
      </c>
      <c r="P29" s="445">
        <v>3.24</v>
      </c>
      <c r="Q29" s="450"/>
      <c r="R29" s="447"/>
      <c r="S29" s="448"/>
    </row>
    <row r="30" spans="1:19" x14ac:dyDescent="0.3">
      <c r="A30" s="441" t="s">
        <v>253</v>
      </c>
      <c r="B30" s="442">
        <v>899082.95</v>
      </c>
      <c r="C30" s="443">
        <f>(+Table2!B43/B30)*1000</f>
        <v>1.1212091164669511</v>
      </c>
      <c r="D30" s="444">
        <f>(+Table2!D43/B30)*1000</f>
        <v>2.7719911716710901</v>
      </c>
      <c r="E30" s="443">
        <f>(+Table2!F43/B30)*1000</f>
        <v>52.164119005927098</v>
      </c>
      <c r="F30" s="444">
        <f>(+Table2!H43/B30)*1000</f>
        <v>6.2280682777935015</v>
      </c>
      <c r="G30" s="445">
        <f>(+Table2!J43/B30)*1000</f>
        <v>62.476326572537062</v>
      </c>
      <c r="H30" s="445">
        <f>(+Table2!L43/B30)*1000</f>
        <v>34.160173986171131</v>
      </c>
      <c r="I30" s="451">
        <v>899082.95</v>
      </c>
      <c r="J30" s="444">
        <f>(+Table3!S48)/B30*1000</f>
        <v>3.56836930341077</v>
      </c>
      <c r="K30" s="444">
        <f>(+Table3!S57)/B30*1000</f>
        <v>50.518141846644966</v>
      </c>
      <c r="L30" s="444">
        <f t="shared" si="0"/>
        <v>54.086511150055735</v>
      </c>
      <c r="M30" s="452">
        <f>(+Table3!S66)/B30*1000</f>
        <v>18.967104203232864</v>
      </c>
      <c r="N30" s="451">
        <v>258670.31</v>
      </c>
      <c r="O30" s="444">
        <v>55.23</v>
      </c>
      <c r="P30" s="445">
        <v>3.43</v>
      </c>
      <c r="Q30" s="450"/>
      <c r="R30" s="447"/>
      <c r="S30" s="448"/>
    </row>
    <row r="31" spans="1:19" x14ac:dyDescent="0.3">
      <c r="A31" s="441" t="s">
        <v>254</v>
      </c>
      <c r="B31" s="442">
        <v>917503.67</v>
      </c>
      <c r="C31" s="443">
        <v>1.1100000000000001</v>
      </c>
      <c r="D31" s="444">
        <v>2.79</v>
      </c>
      <c r="E31" s="443">
        <v>52.53</v>
      </c>
      <c r="F31" s="444">
        <v>6.21</v>
      </c>
      <c r="G31" s="445">
        <v>62.84</v>
      </c>
      <c r="H31" s="445">
        <v>34.6</v>
      </c>
      <c r="I31" s="451">
        <v>917503.67</v>
      </c>
      <c r="J31" s="444">
        <f>(+Table3!T48)/B31*1000</f>
        <v>3.572290887948165</v>
      </c>
      <c r="K31" s="444">
        <f>(+Table3!T57)/B31*1000</f>
        <v>50.798706886916314</v>
      </c>
      <c r="L31" s="444">
        <f t="shared" si="0"/>
        <v>54.370997774864477</v>
      </c>
      <c r="M31" s="452">
        <f>(+Table3!T66)/B31*1000</f>
        <v>19.136751790867496</v>
      </c>
      <c r="N31" s="451">
        <v>264358</v>
      </c>
      <c r="O31" s="444">
        <v>55.39</v>
      </c>
      <c r="P31" s="445">
        <v>3.48</v>
      </c>
      <c r="Q31" s="450"/>
      <c r="R31" s="447"/>
      <c r="S31" s="448"/>
    </row>
    <row r="32" spans="1:19" x14ac:dyDescent="0.3">
      <c r="A32" s="453" t="s">
        <v>255</v>
      </c>
      <c r="B32" s="454">
        <f>Table4ws!$AF$21</f>
        <v>929913.67</v>
      </c>
      <c r="C32" s="455">
        <f>(+Table2!B45/B32)*1000</f>
        <v>1.1301801811344487</v>
      </c>
      <c r="D32" s="456">
        <f>(+Table2!D45/B32)*1000</f>
        <v>2.7922269386576501</v>
      </c>
      <c r="E32" s="455">
        <f>(+Table2!F45/B32)*1000</f>
        <v>52.709161700999616</v>
      </c>
      <c r="F32" s="456">
        <f>(+Table2!H45/B32)*1000</f>
        <v>6.2614629592443771</v>
      </c>
      <c r="G32" s="457">
        <f>(+Table2!J45/B32)*1000</f>
        <v>63.079737283569557</v>
      </c>
      <c r="H32" s="457">
        <f>(+Table2!L45/B32)*1000</f>
        <v>35.141294352625223</v>
      </c>
      <c r="I32" s="458">
        <f>+Table4ws!AF21</f>
        <v>929913.67</v>
      </c>
      <c r="J32" s="456">
        <f>(+Table3!U48)/B32*1000</f>
        <v>3.5882470681391316</v>
      </c>
      <c r="K32" s="456">
        <f>(+Table3!U57)/B32*1000</f>
        <v>50.704039010416942</v>
      </c>
      <c r="L32" s="444">
        <f t="shared" si="0"/>
        <v>54.292286078556074</v>
      </c>
      <c r="M32" s="459">
        <f>(+Table3!U66)/B32*1000</f>
        <v>19.492813779154357</v>
      </c>
      <c r="N32" s="458">
        <f>Table4ws!$AH$28</f>
        <v>267840.86</v>
      </c>
      <c r="O32" s="456">
        <v>55.22</v>
      </c>
      <c r="P32" s="457">
        <v>2.95</v>
      </c>
      <c r="Q32" s="450"/>
      <c r="R32" s="447"/>
      <c r="S32" s="448"/>
    </row>
    <row r="33" spans="1:19" x14ac:dyDescent="0.3">
      <c r="A33" s="453" t="s">
        <v>256</v>
      </c>
      <c r="B33" s="454">
        <f>+Table4ws!AL21</f>
        <v>938973.90000000014</v>
      </c>
      <c r="C33" s="455">
        <f>(+Table2!B46/B33)*1000</f>
        <v>1.1281783231674489</v>
      </c>
      <c r="D33" s="456">
        <f>(+Table2!D46/B33)*1000</f>
        <v>2.7918134891715303</v>
      </c>
      <c r="E33" s="455">
        <f>(+Table2!F46/B33)*1000</f>
        <v>52.82110610316218</v>
      </c>
      <c r="F33" s="456">
        <f>(+Table2!H46/B33)*1000</f>
        <v>6.399858398620025</v>
      </c>
      <c r="G33" s="457">
        <f>(+Table2!J46/B33)*1000</f>
        <v>63.322175408709434</v>
      </c>
      <c r="H33" s="457">
        <f>(+Table2!L46/B33)*1000</f>
        <v>35.271172074111959</v>
      </c>
      <c r="I33" s="458">
        <f>Table4ws!$AL$21</f>
        <v>938973.90000000014</v>
      </c>
      <c r="J33" s="456">
        <f>(+Table3!V48)/B33*1000</f>
        <v>3.5873095088159523</v>
      </c>
      <c r="K33" s="456">
        <f>(+Table3!V57)/B33*1000</f>
        <v>50.588594635058541</v>
      </c>
      <c r="L33" s="444">
        <f t="shared" si="0"/>
        <v>54.17590414387449</v>
      </c>
      <c r="M33" s="459">
        <f>(+Table3!V66)/B33*1000</f>
        <v>19.531341605980735</v>
      </c>
      <c r="N33" s="458">
        <f>+Table4ws!AN28</f>
        <v>268575.08</v>
      </c>
      <c r="O33" s="456">
        <v>55.36</v>
      </c>
      <c r="P33" s="457">
        <v>2.91</v>
      </c>
      <c r="Q33" s="450"/>
      <c r="R33" s="447"/>
      <c r="S33" s="448"/>
    </row>
    <row r="34" spans="1:19" x14ac:dyDescent="0.3">
      <c r="A34" s="460" t="s">
        <v>257</v>
      </c>
      <c r="B34" s="461">
        <f>+Table4ws!AT32</f>
        <v>940394.73</v>
      </c>
      <c r="C34" s="462">
        <f>(+Table2!B47/B34)*1000</f>
        <v>1.143967491183197</v>
      </c>
      <c r="D34" s="463">
        <f>(+Table2!D47/B34)*1000</f>
        <v>2.8266459978992011</v>
      </c>
      <c r="E34" s="462">
        <f>(+Table2!F47/B34)*1000</f>
        <v>53.422874881487267</v>
      </c>
      <c r="F34" s="463">
        <f>(+Table2!H47/B34)*1000</f>
        <v>6.7489882679372295</v>
      </c>
      <c r="G34" s="464">
        <f>(+Table2!J47/B34)*1000</f>
        <v>64.321902356896459</v>
      </c>
      <c r="H34" s="464">
        <f>(+Table2!L47/B34)*1000</f>
        <v>36.36335350369307</v>
      </c>
      <c r="I34" s="465">
        <f>Table4ws!$AR$21</f>
        <v>940394.71</v>
      </c>
      <c r="J34" s="466">
        <f>(+Table3!W48)/B34*1000</f>
        <v>3.6256891826690687</v>
      </c>
      <c r="K34" s="463">
        <f>(+Table3!W57)/B34*1000</f>
        <v>50.939600650463021</v>
      </c>
      <c r="L34" s="444">
        <f t="shared" si="0"/>
        <v>54.565289833132091</v>
      </c>
      <c r="M34" s="467">
        <f>(+Table3!W66)/B34*1000</f>
        <v>20.069046962864203</v>
      </c>
      <c r="N34" s="465" t="s">
        <v>205</v>
      </c>
      <c r="O34" s="463" t="s">
        <v>205</v>
      </c>
      <c r="P34" s="464" t="s">
        <v>205</v>
      </c>
      <c r="Q34" s="468">
        <f>+Table4ws!AT28</f>
        <v>341411.7</v>
      </c>
      <c r="R34" s="447">
        <v>53.792515019256804</v>
      </c>
      <c r="S34" s="448">
        <v>2.7587015910702553</v>
      </c>
    </row>
    <row r="35" spans="1:19" x14ac:dyDescent="0.3">
      <c r="A35" s="453" t="s">
        <v>268</v>
      </c>
      <c r="B35" s="454">
        <f>+Table4ws!AZ32</f>
        <v>942322.79</v>
      </c>
      <c r="C35" s="455">
        <f>(+Table2!B48/B35)*1000</f>
        <v>1.1551243496933785</v>
      </c>
      <c r="D35" s="456">
        <f>(+Table2!D48/B35)*1000</f>
        <v>2.8368198544789514</v>
      </c>
      <c r="E35" s="455">
        <f>(+Table2!F48/B35)*1000</f>
        <v>53.96781287651973</v>
      </c>
      <c r="F35" s="456">
        <f>(+Table2!H48/B35)*1000</f>
        <v>6.730071762352261</v>
      </c>
      <c r="G35" s="457">
        <f>(+Table2!J48/B35)*1000</f>
        <v>64.880952311468548</v>
      </c>
      <c r="H35" s="457">
        <f>(+Table2!L48/B35)*1000</f>
        <v>36.89319665079946</v>
      </c>
      <c r="I35" s="469">
        <f>Table4ws!$AX$21</f>
        <v>942322.9</v>
      </c>
      <c r="J35" s="456">
        <f>(+Table3!X48)/B35*1000</f>
        <v>3.6236733699287904</v>
      </c>
      <c r="K35" s="456">
        <f>(+Table3!X57)/B35*1000</f>
        <v>50.558089548062398</v>
      </c>
      <c r="L35" s="463">
        <f>+J35+K35</f>
        <v>54.181762917991186</v>
      </c>
      <c r="M35" s="470">
        <f>(+Table3!X66)/B35*1000</f>
        <v>19.996566144813286</v>
      </c>
      <c r="N35" s="469" t="s">
        <v>205</v>
      </c>
      <c r="O35" s="456" t="s">
        <v>205</v>
      </c>
      <c r="P35" s="471" t="s">
        <v>205</v>
      </c>
      <c r="Q35" s="472">
        <f>+Table4ws!AZ28</f>
        <v>335784.71</v>
      </c>
      <c r="R35" s="473">
        <v>53.78</v>
      </c>
      <c r="S35" s="474">
        <v>2.66</v>
      </c>
    </row>
    <row r="36" spans="1:19" x14ac:dyDescent="0.3">
      <c r="A36" s="453" t="s">
        <v>278</v>
      </c>
      <c r="B36" s="454">
        <f>Table4ws!$BF$32</f>
        <v>947622</v>
      </c>
      <c r="C36" s="455">
        <f>(+Table2!B49/B36)*1000</f>
        <v>1.2057233791532909</v>
      </c>
      <c r="D36" s="456">
        <f>(+Table2!D49/B36)*1000</f>
        <v>2.86330414447955</v>
      </c>
      <c r="E36" s="455">
        <f>(+Table2!F49/B36)*1000</f>
        <v>55.472266367813326</v>
      </c>
      <c r="F36" s="456">
        <f>(+Table2!H49/B36)*1000</f>
        <v>6.9573416404431301</v>
      </c>
      <c r="G36" s="457">
        <f>(+Table2!J49/B36)*1000</f>
        <v>66.697702248364848</v>
      </c>
      <c r="H36" s="457">
        <f>(+Table2!L49/B36)*1000</f>
        <v>37.608381823132014</v>
      </c>
      <c r="I36" s="458">
        <f>Table4ws!$BD$21</f>
        <v>947621.96</v>
      </c>
      <c r="J36" s="456">
        <f>(+Table3!Y48)/B36*1000</f>
        <v>3.6591066902203617</v>
      </c>
      <c r="K36" s="456">
        <f>(+Table3!Y57)/B36*1000</f>
        <v>50.789893016413721</v>
      </c>
      <c r="L36" s="456">
        <f t="shared" si="0"/>
        <v>54.448999706634083</v>
      </c>
      <c r="M36" s="459">
        <f>(+Table3!Y66)/B36*1000</f>
        <v>20.289566937027633</v>
      </c>
      <c r="N36" s="458" t="s">
        <v>205</v>
      </c>
      <c r="O36" s="456" t="s">
        <v>205</v>
      </c>
      <c r="P36" s="457" t="s">
        <v>205</v>
      </c>
      <c r="Q36" s="475">
        <f>+Table4ws!BF28</f>
        <v>332837.98</v>
      </c>
      <c r="R36" s="476">
        <v>55.82</v>
      </c>
      <c r="S36" s="477">
        <v>2.69</v>
      </c>
    </row>
    <row r="37" spans="1:19" x14ac:dyDescent="0.3">
      <c r="A37" s="453" t="s">
        <v>284</v>
      </c>
      <c r="B37" s="454">
        <f>Table4ws!$BL$32</f>
        <v>949293.63</v>
      </c>
      <c r="C37" s="455">
        <f>(+Table2!B50/B37)*1000</f>
        <v>1.2311153926103982</v>
      </c>
      <c r="D37" s="456">
        <f>(+Table2!D50/B37)*1000</f>
        <v>2.8880526671183921</v>
      </c>
      <c r="E37" s="455">
        <f>(+Table2!F50/B37)*1000</f>
        <v>55.936444027334304</v>
      </c>
      <c r="F37" s="456">
        <f>(+Table2!H50/B37)*1000</f>
        <v>7.0683714584706525</v>
      </c>
      <c r="G37" s="457">
        <f>(+Table2!J50/B37)*1000</f>
        <v>67.326112785566679</v>
      </c>
      <c r="H37" s="457">
        <f>(+Table2!L50/B37)*1000</f>
        <v>38.088678631499924</v>
      </c>
      <c r="I37" s="458">
        <f>Table4ws!$BL$32</f>
        <v>949293.63</v>
      </c>
      <c r="J37" s="456">
        <f>(+Table3!Z48)/B37*1000</f>
        <v>3.6805682557882538</v>
      </c>
      <c r="K37" s="456">
        <f>(+Table3!Z57)/B37*1000</f>
        <v>50.546404698828532</v>
      </c>
      <c r="L37" s="456">
        <f t="shared" ref="L37:L42" si="1">+J37+K37</f>
        <v>54.226972954616784</v>
      </c>
      <c r="M37" s="459">
        <f>(+Table3!Z66)/B37*1000</f>
        <v>20.44765643270987</v>
      </c>
      <c r="N37" s="458" t="s">
        <v>205</v>
      </c>
      <c r="O37" s="456" t="s">
        <v>205</v>
      </c>
      <c r="P37" s="457" t="s">
        <v>205</v>
      </c>
      <c r="Q37" s="475">
        <f>+Table4ws!BL28</f>
        <v>329698.28999999998</v>
      </c>
      <c r="R37" s="476">
        <v>55.153294850270548</v>
      </c>
      <c r="S37" s="477">
        <v>2.7246425815553965</v>
      </c>
    </row>
    <row r="38" spans="1:19" x14ac:dyDescent="0.3">
      <c r="A38" s="453" t="s">
        <v>317</v>
      </c>
      <c r="B38" s="454">
        <f>Table4ws!$BR$32</f>
        <v>952113.11</v>
      </c>
      <c r="C38" s="455">
        <f>(+Table2!B51/B38)*1000</f>
        <v>1.2042266700854483</v>
      </c>
      <c r="D38" s="456">
        <f>(+Table2!D51/B38)*1000</f>
        <v>2.8894046002580511</v>
      </c>
      <c r="E38" s="455">
        <f>(+Table2!F51/B38)*1000</f>
        <v>55.552674828729124</v>
      </c>
      <c r="F38" s="456">
        <f>(+Table2!H51/B38)*1000</f>
        <v>7.0865949950001212</v>
      </c>
      <c r="G38" s="457">
        <f>(+Table2!J51/B38)*1000</f>
        <v>66.926701597460422</v>
      </c>
      <c r="H38" s="457">
        <f>(+Table2!L51/B38)*1000</f>
        <v>37.854420469013398</v>
      </c>
      <c r="I38" s="458">
        <f>Table4ws!$BP$21</f>
        <v>952113.10999999987</v>
      </c>
      <c r="J38" s="456">
        <f>(+Table3!AA48)/B38*1000</f>
        <v>3.6810437364947113</v>
      </c>
      <c r="K38" s="456">
        <f>(+Table3!AA57)/B38*1000</f>
        <v>50.115820797804162</v>
      </c>
      <c r="L38" s="456">
        <f t="shared" si="1"/>
        <v>53.796864534298876</v>
      </c>
      <c r="M38" s="459">
        <f>(+Table3!AA66)/B38*1000</f>
        <v>20.348758772999144</v>
      </c>
      <c r="N38" s="458" t="s">
        <v>205</v>
      </c>
      <c r="O38" s="456" t="s">
        <v>205</v>
      </c>
      <c r="P38" s="457" t="s">
        <v>205</v>
      </c>
      <c r="Q38" s="475">
        <f>+Table4ws!BR28</f>
        <v>328751.90000000002</v>
      </c>
      <c r="R38" s="476">
        <v>54.997336897520547</v>
      </c>
      <c r="S38" s="477">
        <v>2.8240414732203827</v>
      </c>
    </row>
    <row r="39" spans="1:19" x14ac:dyDescent="0.3">
      <c r="A39" s="453" t="s">
        <v>322</v>
      </c>
      <c r="B39" s="454">
        <f>Table4ws!$BV$21</f>
        <v>955613.73</v>
      </c>
      <c r="C39" s="455">
        <f>(+Table2!B52/B39)*1000</f>
        <v>1.1783317512610456</v>
      </c>
      <c r="D39" s="456">
        <f>(+Table2!D52/B39)*1000</f>
        <v>2.9293949135703605</v>
      </c>
      <c r="E39" s="455">
        <f>(+Table2!F52/B39)*1000</f>
        <v>55.727370095446403</v>
      </c>
      <c r="F39" s="456">
        <f>(+Table2!H52/B39)*1000</f>
        <v>7.2329224486969226</v>
      </c>
      <c r="G39" s="457">
        <f>(+Table2!J52/B39)*1000</f>
        <v>67.258818058212697</v>
      </c>
      <c r="H39" s="457">
        <f>(+Table2!L52/B39)*1000</f>
        <v>38.30212862261827</v>
      </c>
      <c r="I39" s="458">
        <f>Table4ws!$BV$21</f>
        <v>955613.73</v>
      </c>
      <c r="J39" s="456">
        <f>(+Table3!AB48)/B39*1000</f>
        <v>3.6956773318859701</v>
      </c>
      <c r="K39" s="456">
        <f>(+Table3!AB57)/B39*1000</f>
        <v>49.755396461287766</v>
      </c>
      <c r="L39" s="456">
        <f t="shared" si="1"/>
        <v>53.451073793173734</v>
      </c>
      <c r="M39" s="459">
        <f>(+Table3!AB66)/B39*1000</f>
        <v>20.386458867643103</v>
      </c>
      <c r="N39" s="458" t="s">
        <v>205</v>
      </c>
      <c r="O39" s="456" t="s">
        <v>205</v>
      </c>
      <c r="P39" s="457" t="s">
        <v>205</v>
      </c>
      <c r="Q39" s="475">
        <f>+Table4ws!BX28</f>
        <v>331202.78000000003</v>
      </c>
      <c r="R39" s="476">
        <v>54.440053311146762</v>
      </c>
      <c r="S39" s="477">
        <v>2.79205687826654</v>
      </c>
    </row>
    <row r="40" spans="1:19" x14ac:dyDescent="0.3">
      <c r="A40" s="453" t="s">
        <v>325</v>
      </c>
      <c r="B40" s="454">
        <f>Table4ws!$CD$32</f>
        <v>960592.41</v>
      </c>
      <c r="C40" s="455">
        <f>(+Table2!B53/B40)*1000</f>
        <v>1.2092745975371593</v>
      </c>
      <c r="D40" s="456">
        <f>(+Table2!D53/B40)*1000</f>
        <v>2.9533962276466461</v>
      </c>
      <c r="E40" s="455">
        <f>(+Table2!F53/B40)*1000</f>
        <v>55.833639160234462</v>
      </c>
      <c r="F40" s="456">
        <f>(+Table2!H53/B40)*1000</f>
        <v>7.3036388034754509</v>
      </c>
      <c r="G40" s="457">
        <f>(+Table2!J53/B40)*1000</f>
        <v>67.475548760582029</v>
      </c>
      <c r="H40" s="457">
        <f>(+Table2!L53/B40)*1000</f>
        <v>38.25602786097383</v>
      </c>
      <c r="I40" s="458">
        <f>Table4ws!$CB$21</f>
        <v>960592.45000000007</v>
      </c>
      <c r="J40" s="456">
        <f>(+Table3!AC48)/B40*1000</f>
        <v>3.7418055385217963</v>
      </c>
      <c r="K40" s="456">
        <f>(+Table3!AC57)/B40*1000</f>
        <v>49.488908620462652</v>
      </c>
      <c r="L40" s="456">
        <f t="shared" si="1"/>
        <v>53.230714158984448</v>
      </c>
      <c r="M40" s="459">
        <f>(+Table3!AC66)/B40*1000</f>
        <v>20.378893062459237</v>
      </c>
      <c r="N40" s="458" t="s">
        <v>205</v>
      </c>
      <c r="O40" s="456" t="s">
        <v>205</v>
      </c>
      <c r="P40" s="457" t="s">
        <v>205</v>
      </c>
      <c r="Q40" s="475">
        <f>+Table4ws!CD28</f>
        <v>334514.99</v>
      </c>
      <c r="R40" s="476">
        <v>54.339239027823545</v>
      </c>
      <c r="S40" s="477">
        <v>2.8073420566295129</v>
      </c>
    </row>
    <row r="41" spans="1:19" x14ac:dyDescent="0.3">
      <c r="A41" s="453" t="s">
        <v>329</v>
      </c>
      <c r="B41" s="454">
        <f>Table4ws!$CJ$32</f>
        <v>961749.14000000013</v>
      </c>
      <c r="C41" s="455">
        <f>(+Table2!B54/B41)*1000</f>
        <v>1.2177707796026724</v>
      </c>
      <c r="D41" s="456">
        <f>(+Table2!D54/B41)*1000</f>
        <v>2.9155211929796989</v>
      </c>
      <c r="E41" s="455">
        <f>(+Table2!F54/B41)*1000</f>
        <v>56.102561214663517</v>
      </c>
      <c r="F41" s="456">
        <f>(+Table2!H54/B41)*1000</f>
        <v>7.4355772233911219</v>
      </c>
      <c r="G41" s="457">
        <f>(+Table2!J54/B41)*1000</f>
        <v>67.857674403535185</v>
      </c>
      <c r="H41" s="457">
        <f>(+Table2!L54/B41)*1000</f>
        <v>38.349355841378753</v>
      </c>
      <c r="I41" s="458">
        <f>Table4ws!$CH$21</f>
        <v>961749.04</v>
      </c>
      <c r="J41" s="456">
        <f>(+Table3!AD48)/B41*1000</f>
        <v>3.6994470304387268</v>
      </c>
      <c r="K41" s="456">
        <f>(+Table3!AD57)/B41*1000</f>
        <v>49.424260467755666</v>
      </c>
      <c r="L41" s="456">
        <f t="shared" si="1"/>
        <v>53.123707498194392</v>
      </c>
      <c r="M41" s="459">
        <f>(+Table3!AD66)/B41*1000</f>
        <v>20.38707307812097</v>
      </c>
      <c r="N41" s="458" t="s">
        <v>205</v>
      </c>
      <c r="O41" s="456" t="s">
        <v>205</v>
      </c>
      <c r="P41" s="457" t="s">
        <v>205</v>
      </c>
      <c r="Q41" s="475">
        <f>+Table4ws!CJ28</f>
        <v>337797.39</v>
      </c>
      <c r="R41" s="476">
        <v>54.455346739061568</v>
      </c>
      <c r="S41" s="477">
        <v>2.8114071574087656</v>
      </c>
    </row>
    <row r="42" spans="1:19" x14ac:dyDescent="0.3">
      <c r="A42" s="453" t="s">
        <v>339</v>
      </c>
      <c r="B42" s="454">
        <f>Table4ws!$CP$32</f>
        <v>967236.99</v>
      </c>
      <c r="C42" s="455">
        <f>(+Table2!B55/B42)*1000</f>
        <v>1.2323866977006328</v>
      </c>
      <c r="D42" s="456">
        <f>(+Table2!D55/B42)*1000</f>
        <v>2.9412543455353171</v>
      </c>
      <c r="E42" s="455">
        <f>(+Table2!F55/B42)*1000</f>
        <v>56.016313023760596</v>
      </c>
      <c r="F42" s="456">
        <f>(+Table2!H55/B42)*1000</f>
        <v>7.5595744120580006</v>
      </c>
      <c r="G42" s="457">
        <f>(+Table2!J55/B42)*1000</f>
        <v>67.927757808352624</v>
      </c>
      <c r="H42" s="457">
        <f>(+Table2!L55/B42)*1000</f>
        <v>38.570443837140672</v>
      </c>
      <c r="I42" s="458"/>
      <c r="J42" s="456">
        <f>(+Table3!AE48)/B42*1000</f>
        <v>3.7355064346742983</v>
      </c>
      <c r="K42" s="456">
        <f>(+Table3!AE57)/B42*1000</f>
        <v>47.507860508932772</v>
      </c>
      <c r="L42" s="456">
        <f t="shared" si="1"/>
        <v>51.243366943607072</v>
      </c>
      <c r="M42" s="459">
        <f>(+Table3!AE66)/B42*1000</f>
        <v>20.414035240732471</v>
      </c>
      <c r="N42" s="458" t="s">
        <v>205</v>
      </c>
      <c r="O42" s="456" t="s">
        <v>205</v>
      </c>
      <c r="P42" s="457" t="s">
        <v>205</v>
      </c>
      <c r="Q42" s="475">
        <f>+Table4ws!CP28</f>
        <v>344043.8</v>
      </c>
      <c r="R42" s="476">
        <v>54.745098565402195</v>
      </c>
      <c r="S42" s="477">
        <v>2.8642573997845604</v>
      </c>
    </row>
    <row r="43" spans="1:19" x14ac:dyDescent="0.3">
      <c r="A43" s="453" t="s">
        <v>347</v>
      </c>
      <c r="B43" s="454">
        <f>Table4ws!$CV$32</f>
        <v>975871.5</v>
      </c>
      <c r="C43" s="455">
        <f>(+Table2!B56/B43)*1000</f>
        <v>1.1871747458553712</v>
      </c>
      <c r="D43" s="456">
        <f>(+Table2!D56/B43)*1000</f>
        <v>2.9479905909743236</v>
      </c>
      <c r="E43" s="455">
        <f>(+Table2!F56/B43)*1000</f>
        <v>56.009105707052605</v>
      </c>
      <c r="F43" s="456">
        <f>(+Table2!H56/B43)*1000</f>
        <v>7.5673077859123898</v>
      </c>
      <c r="G43" s="457">
        <f>(+Table2!J56/B43)*1000</f>
        <v>67.8585039116318</v>
      </c>
      <c r="H43" s="457">
        <f>(+Table2!L56/B43)*1000</f>
        <v>38.443770516917439</v>
      </c>
      <c r="I43" s="458"/>
      <c r="J43" s="456">
        <f>(+Table3!AF48)/B43*1000</f>
        <v>3.7064408582482424</v>
      </c>
      <c r="K43" s="456">
        <f>(+Table3!AF57)/B43*1000</f>
        <v>47.494716261311048</v>
      </c>
      <c r="L43" s="456">
        <f t="shared" ref="L43:L54" si="2">+J43+K43</f>
        <v>51.201157119559291</v>
      </c>
      <c r="M43" s="459">
        <f>(+Table3!AF66)/B43*1000</f>
        <v>20.352628394209692</v>
      </c>
      <c r="N43" s="458" t="s">
        <v>205</v>
      </c>
      <c r="O43" s="456" t="s">
        <v>205</v>
      </c>
      <c r="P43" s="457" t="s">
        <v>205</v>
      </c>
      <c r="Q43" s="475">
        <f>+Table4ws!CV28</f>
        <v>350434.45</v>
      </c>
      <c r="R43" s="476">
        <v>54.854083329589827</v>
      </c>
      <c r="S43" s="477">
        <v>2.7779260857487036</v>
      </c>
    </row>
    <row r="44" spans="1:19" x14ac:dyDescent="0.3">
      <c r="A44" s="453" t="s">
        <v>350</v>
      </c>
      <c r="B44" s="454">
        <f>Table4ws!$DB$32</f>
        <v>982747.78</v>
      </c>
      <c r="C44" s="455">
        <f>(+Table2!B57/B44)*1000</f>
        <v>1.1265148825876767</v>
      </c>
      <c r="D44" s="456">
        <f>(+Table2!D57/B44)*1000</f>
        <v>2.8409120395062106</v>
      </c>
      <c r="E44" s="455">
        <f>(+Table2!F57/B44)*1000</f>
        <v>54.561669933255914</v>
      </c>
      <c r="F44" s="456">
        <f>(+Table2!H57/B44)*1000</f>
        <v>7.378088404330966</v>
      </c>
      <c r="G44" s="457">
        <f>(+Table2!J57/B44)*1000</f>
        <v>66.052919498836204</v>
      </c>
      <c r="H44" s="457">
        <f>(+Table2!L57/B44)*1000</f>
        <v>37.553002663613235</v>
      </c>
      <c r="I44" s="458"/>
      <c r="J44" s="456">
        <f>(+Table3!AG48)/B44*1000</f>
        <v>3.4622311739030325</v>
      </c>
      <c r="K44" s="456">
        <f>(+Table3!AG57)/B44*1000</f>
        <v>47.608197090000047</v>
      </c>
      <c r="L44" s="456">
        <f t="shared" si="2"/>
        <v>51.070428263903082</v>
      </c>
      <c r="M44" s="459">
        <f>(+Table3!AG66)/B44*1000</f>
        <v>19.647034969643993</v>
      </c>
      <c r="N44" s="458" t="s">
        <v>205</v>
      </c>
      <c r="O44" s="456" t="s">
        <v>205</v>
      </c>
      <c r="P44" s="457" t="s">
        <v>205</v>
      </c>
      <c r="Q44" s="475">
        <f>+Table4ws!DB28</f>
        <v>353829.32</v>
      </c>
      <c r="R44" s="476">
        <v>54.81706864336364</v>
      </c>
      <c r="S44" s="477" t="s">
        <v>205</v>
      </c>
    </row>
    <row r="45" spans="1:19" x14ac:dyDescent="0.3">
      <c r="A45" s="453" t="s">
        <v>362</v>
      </c>
      <c r="B45" s="454">
        <f>Table4ws!$DH$33</f>
        <v>986583.79</v>
      </c>
      <c r="C45" s="455">
        <f>(+Table2!B58/B45)*1000</f>
        <v>1.1248816484203534</v>
      </c>
      <c r="D45" s="456">
        <f>(+Table2!D58/B45)*1000</f>
        <v>2.8305249166925806</v>
      </c>
      <c r="E45" s="455">
        <f>(+Table2!F58/B45)*1000</f>
        <v>54.613719124657429</v>
      </c>
      <c r="F45" s="456">
        <f>(+Table2!H58/B45)*1000</f>
        <v>7.3986011872341839</v>
      </c>
      <c r="G45" s="457">
        <f>(+Table2!J58/B45)*1000</f>
        <v>66.129122190422365</v>
      </c>
      <c r="H45" s="457">
        <f>(+Table2!L58/B45)*1000</f>
        <v>37.614656125659629</v>
      </c>
      <c r="I45" s="458"/>
      <c r="J45" s="456">
        <f>(+Table3!AH48)/B45*1000</f>
        <v>3.44923567008941</v>
      </c>
      <c r="K45" s="456">
        <f>(+Table3!AH57)/B45*1000</f>
        <v>48.720230848309384</v>
      </c>
      <c r="L45" s="456">
        <f t="shared" si="2"/>
        <v>52.169466518398792</v>
      </c>
      <c r="M45" s="459">
        <f>(+Table3!AH66)/B45*1000</f>
        <v>19.508378502752411</v>
      </c>
      <c r="N45" s="458" t="s">
        <v>205</v>
      </c>
      <c r="O45" s="456" t="s">
        <v>205</v>
      </c>
      <c r="P45" s="457" t="s">
        <v>205</v>
      </c>
      <c r="Q45" s="475">
        <v>357542.59</v>
      </c>
      <c r="R45" s="476">
        <v>55.558016073833329</v>
      </c>
      <c r="S45" s="477" t="s">
        <v>205</v>
      </c>
    </row>
    <row r="46" spans="1:19" x14ac:dyDescent="0.3">
      <c r="A46" s="453" t="s">
        <v>432</v>
      </c>
      <c r="B46" s="454">
        <f>Table4ws!$DN$33</f>
        <v>984285.3600000001</v>
      </c>
      <c r="C46" s="455">
        <f>(+Table2!B59/B46)*1000</f>
        <v>1.0937681730834641</v>
      </c>
      <c r="D46" s="456">
        <f>(+Table2!D59/B46)*1000</f>
        <v>2.8525569048390595</v>
      </c>
      <c r="E46" s="455">
        <f>(+Table2!F59/B46)*1000</f>
        <v>53.862896020316697</v>
      </c>
      <c r="F46" s="456">
        <f>(+Table2!H59/B46)*1000</f>
        <v>7.3008197541412185</v>
      </c>
      <c r="G46" s="457">
        <f>(+Table2!J59/B46)*1000</f>
        <v>65.275307965568032</v>
      </c>
      <c r="H46" s="457">
        <f>(+Table2!L59/B46)*1000</f>
        <v>36.777749086911136</v>
      </c>
      <c r="I46" s="458"/>
      <c r="J46" s="456">
        <f>(+Table3!AI48)/B46*1000</f>
        <v>3.5396035962578978</v>
      </c>
      <c r="K46" s="456">
        <f>(+Table3!AI57)/B46*1000</f>
        <v>48.809534259455013</v>
      </c>
      <c r="L46" s="456">
        <f t="shared" si="2"/>
        <v>52.349137855712911</v>
      </c>
      <c r="M46" s="459">
        <f>(+Table3!AI66)/B46*1000</f>
        <v>19.515712394625066</v>
      </c>
      <c r="N46" s="458" t="s">
        <v>205</v>
      </c>
      <c r="O46" s="456" t="s">
        <v>205</v>
      </c>
      <c r="P46" s="457" t="s">
        <v>205</v>
      </c>
      <c r="Q46" s="475" t="s">
        <v>205</v>
      </c>
      <c r="R46" s="476" t="s">
        <v>205</v>
      </c>
      <c r="S46" s="477" t="s">
        <v>205</v>
      </c>
    </row>
    <row r="47" spans="1:19" x14ac:dyDescent="0.3">
      <c r="A47" s="453" t="s">
        <v>448</v>
      </c>
      <c r="B47" s="454">
        <f>Table4ws!$DS$33</f>
        <v>987757.43999999983</v>
      </c>
      <c r="C47" s="455">
        <f>(+Table2!B60/B47)*1000</f>
        <v>1.1200523075786708</v>
      </c>
      <c r="D47" s="456">
        <f>(+Table2!D60/B47)*1000</f>
        <v>2.8997402439206135</v>
      </c>
      <c r="E47" s="455">
        <f>(+Table2!F60/B47)*1000</f>
        <v>54.227088383156094</v>
      </c>
      <c r="F47" s="456">
        <f>(+Table2!H60/B47)*1000</f>
        <v>7.3925537832446011</v>
      </c>
      <c r="G47" s="457">
        <f>(+Table2!J60/B47)*1000</f>
        <v>65.80116470699528</v>
      </c>
      <c r="H47" s="457">
        <f>(+Table2!L60/B47)*1000</f>
        <v>36.901853151316189</v>
      </c>
      <c r="I47" s="458"/>
      <c r="J47" s="456">
        <f>(+Table3!AJ48)/B47*1000</f>
        <v>3.6161003251972468</v>
      </c>
      <c r="K47" s="456">
        <f>(+Table3!AJ57)/B47*1000</f>
        <v>49.165805321597979</v>
      </c>
      <c r="L47" s="456">
        <f t="shared" si="2"/>
        <v>52.781905646795224</v>
      </c>
      <c r="M47" s="459">
        <f>(+Table3!AJ66)/B47*1000</f>
        <v>19.595782543536195</v>
      </c>
      <c r="N47" s="458" t="s">
        <v>205</v>
      </c>
      <c r="O47" s="456" t="s">
        <v>205</v>
      </c>
      <c r="P47" s="457" t="s">
        <v>205</v>
      </c>
      <c r="Q47" s="475" t="s">
        <v>205</v>
      </c>
      <c r="R47" s="476" t="s">
        <v>205</v>
      </c>
      <c r="S47" s="477" t="s">
        <v>205</v>
      </c>
    </row>
    <row r="48" spans="1:19" x14ac:dyDescent="0.3">
      <c r="A48" s="453" t="s">
        <v>465</v>
      </c>
      <c r="B48" s="454">
        <f>Table4ws!$DX$33</f>
        <v>1002609.2500000001</v>
      </c>
      <c r="C48" s="455">
        <f>(+Table2!B61/B48)*1000</f>
        <v>1.1387287719517847</v>
      </c>
      <c r="D48" s="456">
        <f>(+Table2!D61/B48)*1000</f>
        <v>2.9510001029812956</v>
      </c>
      <c r="E48" s="455">
        <f>(+Table2!F61/B48)*1000</f>
        <v>54.585173635691064</v>
      </c>
      <c r="F48" s="456">
        <f>(+Table2!H61/B48)*1000</f>
        <v>7.5975760247573998</v>
      </c>
      <c r="G48" s="457">
        <f>(+Table2!J61/B48)*1000</f>
        <v>66.426376975875684</v>
      </c>
      <c r="H48" s="457">
        <f>(+Table2!L61/B48)*1000</f>
        <v>37.176796443878807</v>
      </c>
      <c r="I48" s="458"/>
      <c r="J48" s="456">
        <f>(+Table3!AK48)/B48*1000</f>
        <v>3.693961530875562</v>
      </c>
      <c r="K48" s="456">
        <f>(+Table3!AK57)/B48*1000</f>
        <v>49.602674222285493</v>
      </c>
      <c r="L48" s="456">
        <f>+J48+K48</f>
        <v>53.296635753161056</v>
      </c>
      <c r="M48" s="459">
        <f>(+Table3!AK66)/B48*1000</f>
        <v>19.772009883212224</v>
      </c>
      <c r="N48" s="458" t="s">
        <v>205</v>
      </c>
      <c r="O48" s="456" t="s">
        <v>205</v>
      </c>
      <c r="P48" s="457" t="s">
        <v>205</v>
      </c>
      <c r="Q48" s="475" t="s">
        <v>205</v>
      </c>
      <c r="R48" s="476" t="s">
        <v>205</v>
      </c>
      <c r="S48" s="477" t="s">
        <v>205</v>
      </c>
    </row>
    <row r="49" spans="1:19" x14ac:dyDescent="0.3">
      <c r="A49" s="453" t="s">
        <v>478</v>
      </c>
      <c r="B49" s="454">
        <f>Table4ws!$EC$33</f>
        <v>1013524.93</v>
      </c>
      <c r="C49" s="455">
        <f>(+Table2!B62/B49)*1000</f>
        <v>1.2179473473829598</v>
      </c>
      <c r="D49" s="456">
        <f>(+Table2!D62/B49)*1000</f>
        <v>3.0510842984395063</v>
      </c>
      <c r="E49" s="455">
        <f>(+Table2!F62/B49)*1000</f>
        <v>55.433584647986905</v>
      </c>
      <c r="F49" s="456">
        <f>(+Table2!H62/B49)*1000</f>
        <v>8.0016285341890878</v>
      </c>
      <c r="G49" s="457">
        <f>(+Table2!J62/B49)*1000</f>
        <v>67.889094745799682</v>
      </c>
      <c r="H49" s="457">
        <f>(+Table2!L62/B49)*1000</f>
        <v>38.083079022042405</v>
      </c>
      <c r="I49" s="458"/>
      <c r="J49" s="456">
        <f>(+Table3!AL48)/B49*1000</f>
        <v>3.8476507923687673</v>
      </c>
      <c r="K49" s="456">
        <f>(+Table3!AL57)/B49*1000</f>
        <v>50.684939737989474</v>
      </c>
      <c r="L49" s="456">
        <f>+J49+K49</f>
        <v>54.532590530358242</v>
      </c>
      <c r="M49" s="459">
        <f>(+Table3!AL66)/B49*1000</f>
        <v>20.293906337360635</v>
      </c>
      <c r="N49" s="458" t="s">
        <v>205</v>
      </c>
      <c r="O49" s="456" t="s">
        <v>205</v>
      </c>
      <c r="P49" s="457" t="s">
        <v>205</v>
      </c>
      <c r="Q49" s="475" t="s">
        <v>205</v>
      </c>
      <c r="R49" s="476" t="s">
        <v>205</v>
      </c>
      <c r="S49" s="477" t="s">
        <v>205</v>
      </c>
    </row>
    <row r="50" spans="1:19" x14ac:dyDescent="0.3">
      <c r="A50" s="453" t="s">
        <v>501</v>
      </c>
      <c r="B50" s="454">
        <f>Table4ws!$EH$33</f>
        <v>1036132.5800000002</v>
      </c>
      <c r="C50" s="455">
        <f>(+Table2!B63/B50)*1000</f>
        <v>1.2645099915688394</v>
      </c>
      <c r="D50" s="456">
        <f>(+Table2!D63/B50)*1000</f>
        <v>3.1307769513434267</v>
      </c>
      <c r="E50" s="455">
        <f>(+Table2!F63/B50)*1000</f>
        <v>55.892461175190526</v>
      </c>
      <c r="F50" s="456">
        <f>(+Table2!H63/B50)*1000</f>
        <v>8.1461582841068445</v>
      </c>
      <c r="G50" s="457">
        <f>(+Table2!J63/B50)*1000</f>
        <v>68.642180907003223</v>
      </c>
      <c r="H50" s="457">
        <f>(+Table2!L63/B50)*1000</f>
        <v>38.455599958067133</v>
      </c>
      <c r="I50" s="458"/>
      <c r="J50" s="456">
        <f>(+Table3!AM48)/B50*1000</f>
        <v>3.9689225871075289</v>
      </c>
      <c r="K50" s="456">
        <f>(+Table3!AM57)/B50*1000</f>
        <v>51.26119091825101</v>
      </c>
      <c r="L50" s="456">
        <f>+J50+K50</f>
        <v>55.230113505358538</v>
      </c>
      <c r="M50" s="459">
        <f>(+Table3!AM66)/B50*1000</f>
        <v>20.449361798853964</v>
      </c>
      <c r="N50" s="458" t="s">
        <v>205</v>
      </c>
      <c r="O50" s="456" t="s">
        <v>205</v>
      </c>
      <c r="P50" s="457" t="s">
        <v>205</v>
      </c>
      <c r="Q50" s="475" t="s">
        <v>205</v>
      </c>
      <c r="R50" s="476" t="s">
        <v>205</v>
      </c>
      <c r="S50" s="477" t="s">
        <v>205</v>
      </c>
    </row>
    <row r="51" spans="1:19" x14ac:dyDescent="0.3">
      <c r="A51" s="453" t="s">
        <v>505</v>
      </c>
      <c r="B51" s="454">
        <f>Table4ws!$EM$33</f>
        <v>1058218.01</v>
      </c>
      <c r="C51" s="455">
        <f>(+Table2!B64/B51)*1000</f>
        <v>1.2997983279456755</v>
      </c>
      <c r="D51" s="456">
        <f>(+Table2!D64/B51)*1000</f>
        <v>3.2349383280671997</v>
      </c>
      <c r="E51" s="455">
        <f>(+Table2!F64/B51)*1000</f>
        <v>56.289346275631807</v>
      </c>
      <c r="F51" s="456">
        <f>(+Table2!H64/B51)*1000</f>
        <v>8.4204010098070423</v>
      </c>
      <c r="G51" s="457">
        <f>(+Table2!J64/B51)*1000</f>
        <v>69.513379383894645</v>
      </c>
      <c r="H51" s="457">
        <f>(+Table2!L64/B51)*1000</f>
        <v>39.226000321049156</v>
      </c>
      <c r="I51" s="458"/>
      <c r="J51" s="456">
        <f>(+Table3!AN48)/B51*1000</f>
        <v>4.0901874274470149</v>
      </c>
      <c r="K51" s="456">
        <f>(+Table3!AN57)/B51*1000</f>
        <v>51.86461530738832</v>
      </c>
      <c r="L51" s="456">
        <f>+J51+K51</f>
        <v>55.954802734835333</v>
      </c>
      <c r="M51" s="459">
        <f>(+Table3!AN66)/B51*1000</f>
        <v>20.799967295963903</v>
      </c>
      <c r="N51" s="458" t="s">
        <v>205</v>
      </c>
      <c r="O51" s="456" t="s">
        <v>205</v>
      </c>
      <c r="P51" s="457" t="s">
        <v>205</v>
      </c>
      <c r="Q51" s="475" t="s">
        <v>205</v>
      </c>
      <c r="R51" s="476" t="s">
        <v>205</v>
      </c>
      <c r="S51" s="477" t="s">
        <v>205</v>
      </c>
    </row>
    <row r="52" spans="1:19" x14ac:dyDescent="0.3">
      <c r="A52" s="453" t="s">
        <v>510</v>
      </c>
      <c r="B52" s="454">
        <f>Table4ws!$ER$33</f>
        <v>1067358.1280000005</v>
      </c>
      <c r="C52" s="455">
        <f>(+Table2!B65/B52)*1000</f>
        <v>1.324110402052421</v>
      </c>
      <c r="D52" s="456">
        <f>(+Table2!D65/B52)*1000</f>
        <v>3.2810917986469845</v>
      </c>
      <c r="E52" s="455">
        <f>(+Table2!F65/B52)*1000</f>
        <v>57.160570945687283</v>
      </c>
      <c r="F52" s="456">
        <f>(+Table2!H65/B52)*1000</f>
        <v>8.4887159823080456</v>
      </c>
      <c r="G52" s="457">
        <f>(+Table2!J65/B52)*1000</f>
        <v>70.481591910451982</v>
      </c>
      <c r="H52" s="457">
        <f>(+Table2!L65/B52)*1000</f>
        <v>39.82730714727829</v>
      </c>
      <c r="I52" s="458"/>
      <c r="J52" s="456">
        <f>(+Table3!AO48)/B52*1000</f>
        <v>4.1535637230843268</v>
      </c>
      <c r="K52" s="456">
        <f>(+Table3!AO57)/B52*1000</f>
        <v>52.335517512450132</v>
      </c>
      <c r="L52" s="456">
        <f t="shared" si="2"/>
        <v>56.489081235534456</v>
      </c>
      <c r="M52" s="459">
        <f>(+Table3!AO66)/B52*1000</f>
        <v>20.921281633787295</v>
      </c>
      <c r="N52" s="458" t="s">
        <v>205</v>
      </c>
      <c r="O52" s="456" t="s">
        <v>205</v>
      </c>
      <c r="P52" s="457" t="s">
        <v>205</v>
      </c>
      <c r="Q52" s="475" t="s">
        <v>205</v>
      </c>
      <c r="R52" s="476" t="s">
        <v>205</v>
      </c>
      <c r="S52" s="477" t="s">
        <v>205</v>
      </c>
    </row>
    <row r="53" spans="1:19" x14ac:dyDescent="0.3">
      <c r="A53" s="453" t="s">
        <v>521</v>
      </c>
      <c r="B53" s="454">
        <f>Table4ws!$EW$33</f>
        <v>1069087.27</v>
      </c>
      <c r="C53" s="455">
        <f>(+Table2!B66/B53)*1000</f>
        <v>1.3293769740612476</v>
      </c>
      <c r="D53" s="456">
        <f>(+Table2!D66/B53)*1000</f>
        <v>3.3763847922349686</v>
      </c>
      <c r="E53" s="455">
        <f>(+Table2!F66/B53)*1000</f>
        <v>58.503324990484636</v>
      </c>
      <c r="F53" s="456">
        <f>(+Table2!H66/B53)*1000</f>
        <v>8.91216298927589</v>
      </c>
      <c r="G53" s="457">
        <f>(+Table2!J66/B53)*1000</f>
        <v>72.352353423869687</v>
      </c>
      <c r="H53" s="457">
        <f>(+Table2!L66/B53)*1000</f>
        <v>41.470412420119828</v>
      </c>
      <c r="I53" s="458"/>
      <c r="J53" s="456">
        <f>(+Table3!AP48)/B53*1000</f>
        <v>4.2378205476153505</v>
      </c>
      <c r="K53" s="456">
        <f>(+Table3!AP57)/B53*1000</f>
        <v>53.367429957331737</v>
      </c>
      <c r="L53" s="456">
        <f t="shared" si="2"/>
        <v>57.605250504947087</v>
      </c>
      <c r="M53" s="459">
        <f>(+Table3!AP66)/B53*1000</f>
        <v>21.488470253695937</v>
      </c>
      <c r="N53" s="458" t="s">
        <v>205</v>
      </c>
      <c r="O53" s="456" t="s">
        <v>205</v>
      </c>
      <c r="P53" s="457" t="s">
        <v>205</v>
      </c>
      <c r="Q53" s="475" t="s">
        <v>205</v>
      </c>
      <c r="R53" s="476" t="s">
        <v>205</v>
      </c>
      <c r="S53" s="477" t="s">
        <v>205</v>
      </c>
    </row>
    <row r="54" spans="1:19" x14ac:dyDescent="0.3">
      <c r="A54" s="453" t="s">
        <v>533</v>
      </c>
      <c r="B54" s="454">
        <v>1076932.5420000004</v>
      </c>
      <c r="C54" s="455">
        <f>(+Table2!B67/B54)*1000</f>
        <v>1.283766574118437</v>
      </c>
      <c r="D54" s="456">
        <f>(+Table2!D67/B54)*1000</f>
        <v>3.3331149909666284</v>
      </c>
      <c r="E54" s="455">
        <f>(+Table2!F67/B54)*1000</f>
        <v>58.531298425560976</v>
      </c>
      <c r="F54" s="456">
        <f>(+Table2!H67/B54)*1000</f>
        <v>8.8699427563588262</v>
      </c>
      <c r="G54" s="457">
        <f>(+Table2!J67/B54)*1000</f>
        <v>72.221190247958887</v>
      </c>
      <c r="H54" s="457">
        <f>(+Table2!L67/B54)*1000</f>
        <v>41.54678984526403</v>
      </c>
      <c r="I54" s="458"/>
      <c r="J54" s="456">
        <f>(+Table3!AQ48)/B54*1000</f>
        <v>4.15651846835918</v>
      </c>
      <c r="K54" s="456">
        <f>(+Table3!AQ57)/B54*1000</f>
        <v>53.112491051458989</v>
      </c>
      <c r="L54" s="456">
        <f t="shared" si="2"/>
        <v>57.269009519818169</v>
      </c>
      <c r="M54" s="459">
        <f>(+Table3!AQ66)/B54*1000</f>
        <v>21.141268475105651</v>
      </c>
      <c r="N54" s="458" t="s">
        <v>205</v>
      </c>
      <c r="O54" s="456" t="s">
        <v>205</v>
      </c>
      <c r="P54" s="457" t="s">
        <v>205</v>
      </c>
      <c r="Q54" s="475" t="s">
        <v>205</v>
      </c>
      <c r="R54" s="476" t="s">
        <v>205</v>
      </c>
      <c r="S54" s="477" t="s">
        <v>205</v>
      </c>
    </row>
    <row r="55" spans="1:19" ht="17.25" thickBot="1" x14ac:dyDescent="0.35">
      <c r="A55" s="478" t="s">
        <v>543</v>
      </c>
      <c r="B55" s="479">
        <v>1036808.5639</v>
      </c>
      <c r="C55" s="480">
        <f>(+Table2!B68/B55)*1000</f>
        <v>1.3641862627751391</v>
      </c>
      <c r="D55" s="481">
        <f>(+Table2!D68/B55)*1000</f>
        <v>3.4858026118200356</v>
      </c>
      <c r="E55" s="480">
        <f>(+Table2!F68/B55)*1000</f>
        <v>60.465713905934308</v>
      </c>
      <c r="F55" s="481">
        <f>(+Table2!H68/B55)*1000</f>
        <v>9.3600500014156971</v>
      </c>
      <c r="G55" s="482">
        <f>(+Table2!J68/B55)*1000</f>
        <v>74.945792989702369</v>
      </c>
      <c r="H55" s="482">
        <f>(+Table2!L68/B55)*1000</f>
        <v>39.532235194725132</v>
      </c>
      <c r="I55" s="483"/>
      <c r="J55" s="481">
        <f>(+Table3!AR48)/B55*1000</f>
        <v>4.3269414974013412</v>
      </c>
      <c r="K55" s="481">
        <f>(+Table3!AR57)/B55*1000</f>
        <v>54.438728580413112</v>
      </c>
      <c r="L55" s="481">
        <f t="shared" ref="L55" si="3">+J55+K55</f>
        <v>58.765670077814455</v>
      </c>
      <c r="M55" s="484">
        <f>(+Table3!AR66)/B55*1000</f>
        <v>20.597592210918272</v>
      </c>
      <c r="N55" s="483" t="s">
        <v>205</v>
      </c>
      <c r="O55" s="481" t="s">
        <v>205</v>
      </c>
      <c r="P55" s="482" t="s">
        <v>205</v>
      </c>
      <c r="Q55" s="485" t="s">
        <v>205</v>
      </c>
      <c r="R55" s="486" t="s">
        <v>205</v>
      </c>
      <c r="S55" s="487" t="s">
        <v>205</v>
      </c>
    </row>
    <row r="56" spans="1:19" ht="17.25" thickTop="1" x14ac:dyDescent="0.3">
      <c r="A56" s="435"/>
      <c r="B56" s="488"/>
      <c r="C56" s="489"/>
      <c r="D56" s="489"/>
      <c r="F56" s="489"/>
      <c r="G56" s="489"/>
      <c r="H56" s="489"/>
      <c r="I56" s="488"/>
      <c r="J56" s="462"/>
      <c r="K56" s="462"/>
      <c r="L56" s="462"/>
      <c r="M56" s="462"/>
      <c r="N56" s="488"/>
      <c r="O56" s="435"/>
      <c r="P56" s="435"/>
      <c r="Q56" s="488"/>
      <c r="R56" s="435"/>
      <c r="S56" s="435"/>
    </row>
    <row r="57" spans="1:19" x14ac:dyDescent="0.3">
      <c r="A57" s="244" t="s">
        <v>586</v>
      </c>
    </row>
    <row r="58" spans="1:19" x14ac:dyDescent="0.3">
      <c r="A58" s="244" t="s">
        <v>587</v>
      </c>
    </row>
    <row r="59" spans="1:19" x14ac:dyDescent="0.3">
      <c r="A59" s="435"/>
      <c r="B59" s="488"/>
      <c r="C59" s="489"/>
      <c r="D59" s="781"/>
      <c r="E59" s="782"/>
      <c r="F59" s="782"/>
      <c r="G59" s="489"/>
      <c r="H59" s="489"/>
      <c r="I59" s="488"/>
      <c r="J59" s="435"/>
      <c r="K59" s="435"/>
      <c r="L59" s="435"/>
      <c r="M59" s="435"/>
      <c r="N59" s="488"/>
      <c r="O59" s="435"/>
      <c r="P59" s="435"/>
      <c r="Q59" s="488"/>
      <c r="R59" s="435"/>
      <c r="S59" s="435"/>
    </row>
    <row r="60" spans="1:19" x14ac:dyDescent="0.3">
      <c r="A60" s="244" t="s">
        <v>588</v>
      </c>
    </row>
    <row r="61" spans="1:19" x14ac:dyDescent="0.3">
      <c r="A61" s="244" t="s">
        <v>609</v>
      </c>
    </row>
    <row r="62" spans="1:19" x14ac:dyDescent="0.3">
      <c r="A62" s="244" t="s">
        <v>610</v>
      </c>
    </row>
    <row r="63" spans="1:19" x14ac:dyDescent="0.3">
      <c r="A63" s="244" t="s">
        <v>593</v>
      </c>
    </row>
    <row r="64" spans="1:19" x14ac:dyDescent="0.3">
      <c r="A64" s="244" t="s">
        <v>589</v>
      </c>
    </row>
    <row r="65" spans="1:12" x14ac:dyDescent="0.3">
      <c r="A65" s="244" t="s">
        <v>590</v>
      </c>
    </row>
    <row r="66" spans="1:12" x14ac:dyDescent="0.3">
      <c r="A66" s="244" t="s">
        <v>591</v>
      </c>
    </row>
    <row r="67" spans="1:12" x14ac:dyDescent="0.3">
      <c r="A67" s="244" t="s">
        <v>592</v>
      </c>
    </row>
    <row r="68" spans="1:12" s="490" customFormat="1" hidden="1" x14ac:dyDescent="0.3">
      <c r="A68" s="490" t="s">
        <v>472</v>
      </c>
    </row>
    <row r="69" spans="1:12" s="490" customFormat="1" hidden="1" x14ac:dyDescent="0.3">
      <c r="A69" s="490" t="s">
        <v>473</v>
      </c>
    </row>
    <row r="70" spans="1:12" s="490" customFormat="1" hidden="1" x14ac:dyDescent="0.3">
      <c r="A70" s="490" t="s">
        <v>474</v>
      </c>
    </row>
    <row r="71" spans="1:12" s="490" customFormat="1" hidden="1" x14ac:dyDescent="0.3">
      <c r="L71" s="491"/>
    </row>
    <row r="72" spans="1:12" s="490" customFormat="1" hidden="1" x14ac:dyDescent="0.3">
      <c r="A72" s="490" t="s">
        <v>470</v>
      </c>
      <c r="B72" s="492"/>
    </row>
    <row r="73" spans="1:12" s="490" customFormat="1" hidden="1" x14ac:dyDescent="0.3">
      <c r="A73" s="490" t="s">
        <v>471</v>
      </c>
      <c r="B73" s="492"/>
    </row>
    <row r="75" spans="1:12" x14ac:dyDescent="0.3">
      <c r="B75" s="493"/>
    </row>
    <row r="76" spans="1:12" x14ac:dyDescent="0.3">
      <c r="B76" s="494"/>
    </row>
    <row r="77" spans="1:12" x14ac:dyDescent="0.3">
      <c r="B77" s="493"/>
    </row>
  </sheetData>
  <mergeCells count="4">
    <mergeCell ref="C5:G5"/>
    <mergeCell ref="J5:L5"/>
    <mergeCell ref="A1:M1"/>
    <mergeCell ref="A2:M2"/>
  </mergeCells>
  <phoneticPr fontId="0" type="noConversion"/>
  <printOptions horizontalCentered="1"/>
  <pageMargins left="0.75" right="0.75" top="1" bottom="1" header="0.5" footer="0.5"/>
  <pageSetup scale="74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I34"/>
  <sheetViews>
    <sheetView view="pageBreakPreview" zoomScale="125" zoomScaleNormal="100" zoomScaleSheetLayoutView="125" workbookViewId="0">
      <pane xSplit="1" ySplit="5" topLeftCell="ET6" activePane="bottomRight" state="frozen"/>
      <selection pane="topRight" activeCell="B1" sqref="B1"/>
      <selection pane="bottomLeft" activeCell="A6" sqref="A6"/>
      <selection pane="bottomRight" activeCell="FH30" sqref="FH30"/>
    </sheetView>
  </sheetViews>
  <sheetFormatPr defaultRowHeight="10.5" x14ac:dyDescent="0.15"/>
  <cols>
    <col min="1" max="1" width="21.85546875" style="5" bestFit="1" customWidth="1"/>
    <col min="2" max="2" width="1.7109375" style="5" customWidth="1"/>
    <col min="3" max="3" width="3.42578125" style="5" customWidth="1"/>
    <col min="4" max="4" width="10.28515625" style="5" bestFit="1" customWidth="1"/>
    <col min="5" max="5" width="3.85546875" style="5" customWidth="1"/>
    <col min="6" max="6" width="10.28515625" style="5" bestFit="1" customWidth="1"/>
    <col min="7" max="7" width="3.85546875" style="5" customWidth="1"/>
    <col min="8" max="8" width="8.5703125" style="5" bestFit="1" customWidth="1"/>
    <col min="9" max="9" width="1.7109375" style="5" customWidth="1"/>
    <col min="10" max="10" width="3.42578125" style="5" customWidth="1"/>
    <col min="11" max="11" width="10.28515625" style="5" bestFit="1" customWidth="1"/>
    <col min="12" max="12" width="3.85546875" style="5" customWidth="1"/>
    <col min="13" max="13" width="10.28515625" style="5" bestFit="1" customWidth="1"/>
    <col min="14" max="14" width="3.85546875" style="5" customWidth="1"/>
    <col min="15" max="15" width="8.5703125" style="5" bestFit="1" customWidth="1"/>
    <col min="16" max="16" width="1.7109375" style="5" customWidth="1"/>
    <col min="17" max="17" width="3.42578125" style="5" customWidth="1"/>
    <col min="18" max="18" width="10.28515625" style="5" bestFit="1" customWidth="1"/>
    <col min="19" max="19" width="3.7109375" style="5" customWidth="1"/>
    <col min="20" max="20" width="10.28515625" style="5" bestFit="1" customWidth="1"/>
    <col min="21" max="21" width="3.28515625" style="5" customWidth="1"/>
    <col min="22" max="22" width="8.5703125" style="5" bestFit="1" customWidth="1"/>
    <col min="23" max="23" width="1.7109375" style="5" customWidth="1"/>
    <col min="24" max="24" width="3.7109375" style="5" customWidth="1"/>
    <col min="25" max="25" width="10.28515625" style="5" bestFit="1" customWidth="1"/>
    <col min="26" max="26" width="3.7109375" style="5" customWidth="1"/>
    <col min="27" max="27" width="10.28515625" style="5" bestFit="1" customWidth="1"/>
    <col min="28" max="28" width="3.28515625" style="5" customWidth="1"/>
    <col min="29" max="29" width="8.5703125" style="5" bestFit="1" customWidth="1"/>
    <col min="30" max="30" width="1.7109375" style="5" customWidth="1"/>
    <col min="31" max="31" width="3.7109375" style="5" customWidth="1"/>
    <col min="32" max="32" width="10.28515625" style="5" bestFit="1" customWidth="1"/>
    <col min="33" max="33" width="3.7109375" style="5" customWidth="1"/>
    <col min="34" max="34" width="10.28515625" style="5" bestFit="1" customWidth="1"/>
    <col min="35" max="35" width="7.28515625" style="5" customWidth="1"/>
    <col min="36" max="36" width="9.140625" style="5" customWidth="1"/>
    <col min="37" max="37" width="3.7109375" style="187" customWidth="1"/>
    <col min="38" max="38" width="11" style="5" bestFit="1" customWidth="1"/>
    <col min="39" max="39" width="3.7109375" style="5" customWidth="1"/>
    <col min="40" max="40" width="13.5703125" style="5" bestFit="1" customWidth="1"/>
    <col min="41" max="41" width="5.85546875" style="5" customWidth="1"/>
    <col min="42" max="42" width="10.7109375" style="5" customWidth="1"/>
    <col min="43" max="43" width="3.7109375" style="187" customWidth="1"/>
    <col min="44" max="44" width="11" style="5" bestFit="1" customWidth="1"/>
    <col min="45" max="45" width="3.7109375" style="5" customWidth="1"/>
    <col min="46" max="46" width="13.5703125" style="5" bestFit="1" customWidth="1"/>
    <col min="47" max="47" width="5.85546875" style="5" customWidth="1"/>
    <col min="48" max="48" width="9.28515625" style="5" customWidth="1"/>
    <col min="49" max="49" width="3.7109375" style="187" customWidth="1"/>
    <col min="50" max="50" width="11" style="5" bestFit="1" customWidth="1"/>
    <col min="51" max="51" width="3.7109375" style="5" customWidth="1"/>
    <col min="52" max="52" width="13.5703125" style="5" bestFit="1" customWidth="1"/>
    <col min="53" max="53" width="3.5703125" style="5" customWidth="1"/>
    <col min="54" max="54" width="13.7109375" style="5" customWidth="1"/>
    <col min="55" max="55" width="3.7109375" style="187" customWidth="1"/>
    <col min="56" max="56" width="11" style="5" bestFit="1" customWidth="1"/>
    <col min="57" max="57" width="3.7109375" style="5" customWidth="1"/>
    <col min="58" max="58" width="13.5703125" style="5" bestFit="1" customWidth="1"/>
    <col min="59" max="59" width="3.5703125" style="5" customWidth="1"/>
    <col min="60" max="60" width="13.85546875" style="5" customWidth="1"/>
    <col min="61" max="61" width="3.7109375" style="187" customWidth="1"/>
    <col min="62" max="62" width="11" style="5" bestFit="1" customWidth="1"/>
    <col min="63" max="63" width="3.7109375" style="5" customWidth="1"/>
    <col min="64" max="64" width="13.5703125" style="5" bestFit="1" customWidth="1"/>
    <col min="65" max="65" width="3.5703125" style="5" customWidth="1"/>
    <col min="66" max="66" width="16.5703125" style="5" customWidth="1"/>
    <col min="67" max="67" width="3.7109375" style="187" customWidth="1"/>
    <col min="68" max="68" width="11" style="5" bestFit="1" customWidth="1"/>
    <col min="69" max="69" width="3.7109375" style="5" customWidth="1"/>
    <col min="70" max="70" width="13.5703125" style="5" bestFit="1" customWidth="1"/>
    <col min="71" max="71" width="3.5703125" style="5" customWidth="1"/>
    <col min="72" max="72" width="16" style="5" customWidth="1"/>
    <col min="73" max="73" width="3.7109375" style="187" customWidth="1"/>
    <col min="74" max="74" width="11" style="5" bestFit="1" customWidth="1"/>
    <col min="75" max="75" width="3.7109375" style="5" customWidth="1"/>
    <col min="76" max="76" width="13.5703125" style="5" bestFit="1" customWidth="1"/>
    <col min="77" max="77" width="3.5703125" style="5" customWidth="1"/>
    <col min="78" max="78" width="21" style="5" customWidth="1"/>
    <col min="79" max="79" width="3.7109375" style="187" customWidth="1"/>
    <col min="80" max="80" width="11" style="5" customWidth="1"/>
    <col min="81" max="81" width="3.7109375" style="5" customWidth="1"/>
    <col min="82" max="82" width="13.5703125" style="5" bestFit="1" customWidth="1"/>
    <col min="83" max="83" width="3.5703125" style="5" customWidth="1"/>
    <col min="84" max="84" width="20.7109375" style="5" customWidth="1"/>
    <col min="85" max="85" width="3.7109375" style="187" customWidth="1"/>
    <col min="86" max="86" width="11" style="5" bestFit="1" customWidth="1"/>
    <col min="87" max="87" width="3.7109375" style="5" customWidth="1"/>
    <col min="88" max="88" width="13.5703125" style="5" bestFit="1" customWidth="1"/>
    <col min="89" max="89" width="3.5703125" style="5" customWidth="1"/>
    <col min="90" max="90" width="21.28515625" style="5" customWidth="1"/>
    <col min="91" max="91" width="3.7109375" style="187" customWidth="1"/>
    <col min="92" max="92" width="11" style="5" bestFit="1" customWidth="1"/>
    <col min="93" max="93" width="3.7109375" style="5" customWidth="1"/>
    <col min="94" max="94" width="12.28515625" style="5" bestFit="1" customWidth="1"/>
    <col min="95" max="95" width="3.5703125" style="5" customWidth="1"/>
    <col min="96" max="96" width="12.7109375" style="5" customWidth="1"/>
    <col min="97" max="97" width="3.7109375" style="187" customWidth="1"/>
    <col min="98" max="98" width="11" style="5" bestFit="1" customWidth="1"/>
    <col min="99" max="99" width="3.7109375" style="5" customWidth="1"/>
    <col min="100" max="100" width="12.28515625" style="5" bestFit="1" customWidth="1"/>
    <col min="101" max="101" width="3.5703125" style="5" customWidth="1"/>
    <col min="102" max="102" width="16.5703125" style="5" customWidth="1"/>
    <col min="103" max="103" width="3.7109375" style="187" customWidth="1"/>
    <col min="104" max="104" width="11" style="5" bestFit="1" customWidth="1"/>
    <col min="105" max="105" width="3.7109375" style="5" customWidth="1"/>
    <col min="106" max="106" width="12.28515625" style="5" bestFit="1" customWidth="1"/>
    <col min="107" max="107" width="3.5703125" style="5" customWidth="1"/>
    <col min="108" max="108" width="16.5703125" style="5" customWidth="1"/>
    <col min="109" max="109" width="3.7109375" style="187" customWidth="1"/>
    <col min="110" max="110" width="11" style="5" bestFit="1" customWidth="1"/>
    <col min="111" max="111" width="3.7109375" style="5" customWidth="1"/>
    <col min="112" max="112" width="12.28515625" style="5" bestFit="1" customWidth="1"/>
    <col min="113" max="113" width="3.5703125" style="5" customWidth="1"/>
    <col min="114" max="114" width="16.5703125" style="5" customWidth="1"/>
    <col min="115" max="115" width="3.7109375" style="187" customWidth="1"/>
    <col min="116" max="116" width="11" style="5" bestFit="1" customWidth="1"/>
    <col min="117" max="117" width="3.7109375" style="5" customWidth="1"/>
    <col min="118" max="118" width="12.28515625" style="5" bestFit="1" customWidth="1"/>
    <col min="119" max="119" width="20.5703125" style="5" bestFit="1" customWidth="1"/>
    <col min="120" max="120" width="3.7109375" style="187" customWidth="1"/>
    <col min="121" max="121" width="11" style="5" bestFit="1" customWidth="1"/>
    <col min="122" max="122" width="3.7109375" style="5" customWidth="1"/>
    <col min="123" max="123" width="12.28515625" style="5" bestFit="1" customWidth="1"/>
    <col min="124" max="124" width="20.5703125" style="5" bestFit="1" customWidth="1"/>
    <col min="125" max="125" width="3.7109375" style="187" customWidth="1"/>
    <col min="126" max="126" width="11" style="5" bestFit="1" customWidth="1"/>
    <col min="127" max="127" width="3.7109375" style="5" customWidth="1"/>
    <col min="128" max="128" width="12.28515625" style="5" bestFit="1" customWidth="1"/>
    <col min="129" max="129" width="20.5703125" style="5" customWidth="1"/>
    <col min="130" max="130" width="3.7109375" style="187" customWidth="1"/>
    <col min="131" max="131" width="11" style="5" bestFit="1" customWidth="1"/>
    <col min="132" max="132" width="3.7109375" style="5" customWidth="1"/>
    <col min="133" max="133" width="12.28515625" style="5" bestFit="1" customWidth="1"/>
    <col min="134" max="134" width="20.5703125" style="5" customWidth="1"/>
    <col min="135" max="135" width="3.7109375" style="187" customWidth="1"/>
    <col min="136" max="136" width="11" style="5" bestFit="1" customWidth="1"/>
    <col min="137" max="137" width="3.7109375" style="5" customWidth="1"/>
    <col min="138" max="138" width="12.28515625" style="5" bestFit="1" customWidth="1"/>
    <col min="139" max="139" width="22" style="5" bestFit="1" customWidth="1"/>
    <col min="140" max="140" width="3.7109375" style="187" customWidth="1"/>
    <col min="141" max="141" width="11" style="5" bestFit="1" customWidth="1"/>
    <col min="142" max="142" width="3.7109375" style="5" customWidth="1"/>
    <col min="143" max="143" width="12.28515625" style="5" bestFit="1" customWidth="1"/>
    <col min="144" max="144" width="19.7109375" style="5" customWidth="1"/>
    <col min="145" max="145" width="3.7109375" style="187" customWidth="1"/>
    <col min="146" max="146" width="11" style="5" bestFit="1" customWidth="1"/>
    <col min="147" max="147" width="3.7109375" style="5" customWidth="1"/>
    <col min="148" max="148" width="12.28515625" style="5" bestFit="1" customWidth="1"/>
    <col min="149" max="149" width="19.7109375" style="5" customWidth="1"/>
    <col min="150" max="150" width="3.7109375" style="187" customWidth="1"/>
    <col min="151" max="151" width="11.7109375" style="5" bestFit="1" customWidth="1"/>
    <col min="152" max="152" width="3.7109375" style="5" customWidth="1"/>
    <col min="153" max="153" width="12.28515625" style="5" bestFit="1" customWidth="1"/>
    <col min="154" max="154" width="19.7109375" style="5" customWidth="1"/>
    <col min="155" max="155" width="3.7109375" style="187" customWidth="1"/>
    <col min="156" max="156" width="11.7109375" style="5" bestFit="1" customWidth="1"/>
    <col min="157" max="157" width="3.7109375" style="5" customWidth="1"/>
    <col min="158" max="158" width="12.28515625" style="5" bestFit="1" customWidth="1"/>
    <col min="159" max="159" width="19.7109375" style="5" customWidth="1"/>
    <col min="160" max="160" width="9.140625" style="5"/>
    <col min="161" max="161" width="3.7109375" style="187" customWidth="1"/>
    <col min="162" max="162" width="11.7109375" style="5" bestFit="1" customWidth="1"/>
    <col min="163" max="163" width="3.7109375" style="5" customWidth="1"/>
    <col min="164" max="164" width="12.28515625" style="5" bestFit="1" customWidth="1"/>
    <col min="165" max="165" width="19.7109375" style="5" customWidth="1"/>
    <col min="166" max="16384" width="9.140625" style="5"/>
  </cols>
  <sheetData>
    <row r="1" spans="1:165" x14ac:dyDescent="0.15">
      <c r="B1" s="186"/>
      <c r="I1" s="186"/>
      <c r="P1" s="186"/>
      <c r="W1" s="186"/>
      <c r="AD1" s="186"/>
    </row>
    <row r="2" spans="1:165" x14ac:dyDescent="0.15">
      <c r="B2" s="186"/>
      <c r="C2" s="13" t="s">
        <v>78</v>
      </c>
      <c r="D2" s="13"/>
      <c r="E2" s="13"/>
      <c r="F2" s="13"/>
      <c r="G2" s="13"/>
      <c r="H2" s="13"/>
      <c r="I2" s="186"/>
      <c r="J2" s="13" t="s">
        <v>79</v>
      </c>
      <c r="K2" s="13"/>
      <c r="L2" s="13"/>
      <c r="M2" s="13"/>
      <c r="N2" s="13"/>
      <c r="O2" s="13"/>
      <c r="P2" s="186"/>
      <c r="Q2" s="13" t="s">
        <v>80</v>
      </c>
      <c r="R2" s="13"/>
      <c r="S2" s="13"/>
      <c r="T2" s="13"/>
      <c r="U2" s="13"/>
      <c r="V2" s="13"/>
      <c r="W2" s="186"/>
      <c r="X2" s="13" t="s">
        <v>170</v>
      </c>
      <c r="Y2" s="13"/>
      <c r="Z2" s="13"/>
      <c r="AA2" s="13"/>
      <c r="AB2" s="13"/>
      <c r="AC2" s="13"/>
      <c r="AD2" s="186"/>
      <c r="AE2" s="13" t="s">
        <v>175</v>
      </c>
      <c r="AF2" s="13"/>
      <c r="AG2" s="13"/>
      <c r="AH2" s="13"/>
      <c r="AI2" s="13"/>
      <c r="AJ2" s="13"/>
      <c r="AK2" s="188" t="s">
        <v>275</v>
      </c>
      <c r="AL2" s="13"/>
      <c r="AM2" s="13"/>
      <c r="AN2" s="13"/>
      <c r="AO2" s="13"/>
      <c r="AP2" s="13"/>
      <c r="AQ2" s="188" t="s">
        <v>276</v>
      </c>
      <c r="AR2" s="13"/>
      <c r="AS2" s="13"/>
      <c r="AT2" s="13"/>
      <c r="AU2" s="13"/>
      <c r="AV2" s="13"/>
      <c r="AW2" s="188" t="s">
        <v>273</v>
      </c>
      <c r="AX2" s="13"/>
      <c r="AY2" s="13"/>
      <c r="AZ2" s="13"/>
      <c r="BA2" s="13"/>
      <c r="BB2" s="13"/>
      <c r="BC2" s="188" t="s">
        <v>279</v>
      </c>
      <c r="BD2" s="13"/>
      <c r="BE2" s="13"/>
      <c r="BF2" s="13"/>
      <c r="BG2" s="13"/>
      <c r="BH2" s="13"/>
      <c r="BI2" s="188" t="s">
        <v>283</v>
      </c>
      <c r="BJ2" s="13"/>
      <c r="BK2" s="13"/>
      <c r="BL2" s="13"/>
      <c r="BM2" s="13"/>
      <c r="BN2" s="13"/>
      <c r="BO2" s="188" t="s">
        <v>318</v>
      </c>
      <c r="BP2" s="13"/>
      <c r="BQ2" s="13"/>
      <c r="BR2" s="13"/>
      <c r="BS2" s="13"/>
      <c r="BT2" s="13"/>
      <c r="BU2" s="188" t="s">
        <v>323</v>
      </c>
      <c r="BV2" s="13"/>
      <c r="BW2" s="13"/>
      <c r="BX2" s="13"/>
      <c r="BY2" s="13"/>
      <c r="BZ2" s="13"/>
      <c r="CA2" s="188" t="s">
        <v>327</v>
      </c>
      <c r="CB2" s="13"/>
      <c r="CC2" s="13"/>
      <c r="CD2" s="13"/>
      <c r="CE2" s="13"/>
      <c r="CF2" s="13"/>
      <c r="CG2" s="188" t="s">
        <v>330</v>
      </c>
      <c r="CH2" s="13"/>
      <c r="CI2" s="13"/>
      <c r="CJ2" s="13"/>
      <c r="CK2" s="13"/>
      <c r="CL2" s="13"/>
      <c r="CM2" s="188" t="s">
        <v>340</v>
      </c>
      <c r="CN2" s="13"/>
      <c r="CO2" s="13"/>
      <c r="CP2" s="13"/>
      <c r="CQ2" s="13"/>
      <c r="CR2" s="13"/>
      <c r="CS2" s="188" t="s">
        <v>348</v>
      </c>
      <c r="CT2" s="13"/>
      <c r="CU2" s="13"/>
      <c r="CV2" s="13"/>
      <c r="CW2" s="13"/>
      <c r="CX2" s="13"/>
      <c r="CY2" s="188" t="s">
        <v>352</v>
      </c>
      <c r="CZ2" s="13"/>
      <c r="DA2" s="13"/>
      <c r="DB2" s="13"/>
      <c r="DC2" s="13"/>
      <c r="DD2" s="13"/>
      <c r="DE2" s="188" t="s">
        <v>363</v>
      </c>
      <c r="DF2" s="13"/>
      <c r="DG2" s="13"/>
      <c r="DH2" s="13"/>
      <c r="DI2" s="13"/>
      <c r="DJ2" s="13"/>
      <c r="DK2" s="188" t="s">
        <v>433</v>
      </c>
      <c r="DL2" s="13"/>
      <c r="DM2" s="13"/>
      <c r="DN2" s="13"/>
      <c r="DO2" s="13"/>
      <c r="DP2" s="188" t="s">
        <v>450</v>
      </c>
      <c r="DQ2" s="13"/>
      <c r="DR2" s="13"/>
      <c r="DS2" s="13"/>
      <c r="DT2" s="13"/>
      <c r="DU2" s="188" t="s">
        <v>468</v>
      </c>
      <c r="DV2" s="13"/>
      <c r="DW2" s="13"/>
      <c r="DX2" s="13"/>
      <c r="DY2" s="13"/>
      <c r="DZ2" s="188" t="s">
        <v>490</v>
      </c>
      <c r="EA2" s="13"/>
      <c r="EB2" s="13"/>
      <c r="EC2" s="13"/>
      <c r="ED2" s="13"/>
      <c r="EE2" s="188" t="s">
        <v>496</v>
      </c>
      <c r="EF2" s="13"/>
      <c r="EG2" s="13"/>
      <c r="EH2" s="13"/>
      <c r="EI2" s="13"/>
      <c r="EJ2" s="188" t="s">
        <v>506</v>
      </c>
      <c r="EK2" s="13"/>
      <c r="EL2" s="13"/>
      <c r="EM2" s="13"/>
      <c r="EN2" s="13"/>
      <c r="EO2" s="188" t="s">
        <v>511</v>
      </c>
      <c r="EP2" s="13"/>
      <c r="EQ2" s="13"/>
      <c r="ER2" s="13"/>
      <c r="ES2" s="13"/>
      <c r="ET2" s="188" t="s">
        <v>522</v>
      </c>
      <c r="EU2" s="13"/>
      <c r="EV2" s="13"/>
      <c r="EW2" s="13"/>
      <c r="EX2" s="13"/>
      <c r="EY2" s="188" t="s">
        <v>535</v>
      </c>
      <c r="EZ2" s="13"/>
      <c r="FA2" s="13"/>
      <c r="FB2" s="13"/>
      <c r="FC2" s="13"/>
      <c r="FE2" s="188" t="s">
        <v>544</v>
      </c>
      <c r="FF2" s="13"/>
      <c r="FG2" s="13"/>
      <c r="FH2" s="13"/>
      <c r="FI2" s="13"/>
    </row>
    <row r="3" spans="1:165" x14ac:dyDescent="0.15">
      <c r="B3" s="186"/>
      <c r="I3" s="186"/>
      <c r="K3" s="14"/>
      <c r="P3" s="186"/>
      <c r="Q3" s="189"/>
      <c r="R3" s="5" t="s">
        <v>447</v>
      </c>
      <c r="W3" s="186"/>
      <c r="X3" s="189"/>
      <c r="Y3" s="5" t="s">
        <v>446</v>
      </c>
      <c r="AD3" s="186"/>
      <c r="AE3" s="189"/>
      <c r="AF3" s="5" t="s">
        <v>445</v>
      </c>
      <c r="AK3" s="190"/>
      <c r="AQ3" s="190"/>
      <c r="AR3" s="5" t="s">
        <v>444</v>
      </c>
      <c r="AW3" s="190"/>
      <c r="AX3" s="5" t="s">
        <v>443</v>
      </c>
      <c r="BC3" s="190"/>
      <c r="BD3" s="5" t="s">
        <v>442</v>
      </c>
      <c r="BI3" s="190"/>
      <c r="BJ3" s="5" t="s">
        <v>440</v>
      </c>
      <c r="BO3" s="190"/>
      <c r="BP3" s="5" t="s">
        <v>441</v>
      </c>
      <c r="BU3" s="190"/>
      <c r="BV3" s="5" t="s">
        <v>439</v>
      </c>
      <c r="CA3" s="190"/>
      <c r="CB3" s="5" t="s">
        <v>438</v>
      </c>
      <c r="CG3" s="190"/>
      <c r="CH3" s="5" t="s">
        <v>437</v>
      </c>
      <c r="CM3" s="190"/>
      <c r="CN3" s="5" t="s">
        <v>436</v>
      </c>
      <c r="CS3" s="190"/>
      <c r="CT3" s="5" t="s">
        <v>435</v>
      </c>
      <c r="CY3" s="190"/>
      <c r="CZ3" s="5" t="s">
        <v>434</v>
      </c>
      <c r="DE3" s="190"/>
      <c r="DF3" s="5" t="s">
        <v>459</v>
      </c>
      <c r="DK3" s="190"/>
      <c r="DL3" s="5" t="s">
        <v>460</v>
      </c>
      <c r="DP3" s="190"/>
      <c r="DQ3" s="5" t="s">
        <v>451</v>
      </c>
      <c r="DU3" s="190"/>
      <c r="DV3" s="5" t="s">
        <v>480</v>
      </c>
      <c r="DZ3" s="190"/>
      <c r="EA3" s="5" t="s">
        <v>491</v>
      </c>
      <c r="EE3" s="190"/>
      <c r="EF3" s="5" t="s">
        <v>497</v>
      </c>
      <c r="EJ3" s="190"/>
      <c r="EK3" s="5" t="s">
        <v>509</v>
      </c>
      <c r="EO3" s="190"/>
      <c r="EP3" s="5" t="s">
        <v>512</v>
      </c>
      <c r="ET3" s="190"/>
      <c r="EU3" s="5" t="s">
        <v>524</v>
      </c>
      <c r="EY3" s="190"/>
      <c r="EZ3" s="5" t="s">
        <v>538</v>
      </c>
      <c r="FE3" s="190"/>
      <c r="FF3" s="5" t="s">
        <v>545</v>
      </c>
    </row>
    <row r="4" spans="1:165" x14ac:dyDescent="0.15">
      <c r="B4" s="186"/>
      <c r="I4" s="186"/>
      <c r="J4" s="189"/>
      <c r="P4" s="186"/>
      <c r="R4" s="191"/>
      <c r="S4" s="191"/>
      <c r="W4" s="186"/>
      <c r="Y4" s="191"/>
      <c r="Z4" s="191"/>
      <c r="AD4" s="186"/>
      <c r="AF4" s="191"/>
      <c r="AG4" s="191"/>
      <c r="AL4" s="191"/>
      <c r="AM4" s="191"/>
      <c r="AR4" s="191"/>
      <c r="AS4" s="191"/>
      <c r="AX4" s="191"/>
      <c r="AY4" s="191"/>
      <c r="BD4" s="191"/>
      <c r="BE4" s="191"/>
      <c r="BJ4" s="191"/>
      <c r="BK4" s="191"/>
      <c r="BP4" s="191"/>
      <c r="BQ4" s="191"/>
      <c r="BV4" s="191"/>
      <c r="BW4" s="191"/>
      <c r="CB4" s="191"/>
      <c r="CC4" s="191"/>
      <c r="CH4" s="191"/>
      <c r="CI4" s="191"/>
      <c r="CN4" s="191"/>
      <c r="CO4" s="191"/>
      <c r="CT4" s="191"/>
      <c r="CU4" s="191"/>
      <c r="CZ4" s="191"/>
      <c r="DA4" s="191"/>
      <c r="DF4" s="191"/>
      <c r="DG4" s="191"/>
      <c r="DL4" s="191"/>
      <c r="DM4" s="191"/>
      <c r="DQ4" s="191"/>
      <c r="DR4" s="191"/>
      <c r="DV4" s="191"/>
      <c r="DW4" s="191"/>
      <c r="EA4" s="191"/>
      <c r="EB4" s="191"/>
      <c r="EF4" s="191"/>
      <c r="EG4" s="191"/>
      <c r="EK4" s="191"/>
      <c r="EL4" s="191"/>
      <c r="EP4" s="191"/>
      <c r="EQ4" s="191"/>
      <c r="EU4" s="191"/>
      <c r="EV4" s="191"/>
      <c r="EZ4" s="191"/>
      <c r="FA4" s="191"/>
      <c r="FF4" s="191"/>
      <c r="FG4" s="191"/>
    </row>
    <row r="5" spans="1:165" s="192" customFormat="1" ht="21" x14ac:dyDescent="0.15">
      <c r="B5" s="193"/>
      <c r="C5" s="194"/>
      <c r="D5" s="194" t="s">
        <v>81</v>
      </c>
      <c r="F5" s="195" t="s">
        <v>270</v>
      </c>
      <c r="G5" s="196"/>
      <c r="H5" s="197" t="s">
        <v>19</v>
      </c>
      <c r="I5" s="193"/>
      <c r="J5" s="194"/>
      <c r="K5" s="194" t="s">
        <v>81</v>
      </c>
      <c r="M5" s="195" t="s">
        <v>270</v>
      </c>
      <c r="N5" s="102"/>
      <c r="O5" s="197" t="s">
        <v>19</v>
      </c>
      <c r="P5" s="193"/>
      <c r="Q5" s="194"/>
      <c r="R5" s="194" t="s">
        <v>81</v>
      </c>
      <c r="S5" s="194"/>
      <c r="T5" s="195" t="s">
        <v>270</v>
      </c>
      <c r="U5" s="196"/>
      <c r="V5" s="197" t="s">
        <v>19</v>
      </c>
      <c r="W5" s="193"/>
      <c r="X5" s="194"/>
      <c r="Y5" s="194" t="s">
        <v>81</v>
      </c>
      <c r="Z5" s="194"/>
      <c r="AA5" s="195" t="s">
        <v>270</v>
      </c>
      <c r="AB5" s="196"/>
      <c r="AC5" s="197" t="s">
        <v>19</v>
      </c>
      <c r="AD5" s="193"/>
      <c r="AE5" s="194"/>
      <c r="AF5" s="194" t="s">
        <v>81</v>
      </c>
      <c r="AG5" s="194"/>
      <c r="AH5" s="195" t="s">
        <v>270</v>
      </c>
      <c r="AI5" s="196"/>
      <c r="AJ5" s="197" t="s">
        <v>19</v>
      </c>
      <c r="AK5" s="198"/>
      <c r="AL5" s="194" t="s">
        <v>81</v>
      </c>
      <c r="AM5" s="194"/>
      <c r="AN5" s="195" t="s">
        <v>272</v>
      </c>
      <c r="AO5" s="196"/>
      <c r="AP5" s="197" t="s">
        <v>19</v>
      </c>
      <c r="AQ5" s="198"/>
      <c r="AR5" s="194" t="s">
        <v>81</v>
      </c>
      <c r="AS5" s="194"/>
      <c r="AT5" s="195" t="s">
        <v>266</v>
      </c>
      <c r="AU5" s="196"/>
      <c r="AV5" s="197" t="s">
        <v>19</v>
      </c>
      <c r="AW5" s="198"/>
      <c r="AX5" s="194" t="s">
        <v>81</v>
      </c>
      <c r="AY5" s="194"/>
      <c r="AZ5" s="195" t="s">
        <v>266</v>
      </c>
      <c r="BA5" s="196"/>
      <c r="BB5" s="197" t="s">
        <v>19</v>
      </c>
      <c r="BC5" s="198"/>
      <c r="BD5" s="194" t="s">
        <v>81</v>
      </c>
      <c r="BE5" s="194"/>
      <c r="BF5" s="195" t="s">
        <v>266</v>
      </c>
      <c r="BG5" s="196"/>
      <c r="BH5" s="197" t="s">
        <v>19</v>
      </c>
      <c r="BI5" s="198"/>
      <c r="BJ5" s="194" t="s">
        <v>314</v>
      </c>
      <c r="BK5" s="194"/>
      <c r="BL5" s="195" t="s">
        <v>266</v>
      </c>
      <c r="BM5" s="196"/>
      <c r="BN5" s="197" t="s">
        <v>19</v>
      </c>
      <c r="BO5" s="198"/>
      <c r="BP5" s="194" t="s">
        <v>354</v>
      </c>
      <c r="BQ5" s="194"/>
      <c r="BR5" s="195" t="s">
        <v>266</v>
      </c>
      <c r="BS5" s="196"/>
      <c r="BT5" s="197" t="s">
        <v>19</v>
      </c>
      <c r="BU5" s="198"/>
      <c r="BV5" s="194" t="s">
        <v>355</v>
      </c>
      <c r="BW5" s="194"/>
      <c r="BX5" s="195" t="s">
        <v>266</v>
      </c>
      <c r="BY5" s="196"/>
      <c r="BZ5" s="197" t="s">
        <v>19</v>
      </c>
      <c r="CA5" s="198"/>
      <c r="CB5" s="194" t="s">
        <v>356</v>
      </c>
      <c r="CC5" s="194"/>
      <c r="CD5" s="195" t="s">
        <v>266</v>
      </c>
      <c r="CE5" s="196"/>
      <c r="CF5" s="197" t="s">
        <v>19</v>
      </c>
      <c r="CG5" s="198"/>
      <c r="CH5" s="194" t="s">
        <v>357</v>
      </c>
      <c r="CI5" s="194"/>
      <c r="CJ5" s="195" t="s">
        <v>266</v>
      </c>
      <c r="CK5" s="196"/>
      <c r="CL5" s="197" t="s">
        <v>19</v>
      </c>
      <c r="CM5" s="198"/>
      <c r="CN5" s="194" t="s">
        <v>358</v>
      </c>
      <c r="CO5" s="194"/>
      <c r="CP5" s="195" t="s">
        <v>266</v>
      </c>
      <c r="CQ5" s="196"/>
      <c r="CR5" s="197" t="s">
        <v>19</v>
      </c>
      <c r="CS5" s="198"/>
      <c r="CT5" s="194" t="s">
        <v>353</v>
      </c>
      <c r="CU5" s="194"/>
      <c r="CV5" s="195" t="s">
        <v>266</v>
      </c>
      <c r="CW5" s="196"/>
      <c r="CX5" s="197" t="s">
        <v>19</v>
      </c>
      <c r="CY5" s="198"/>
      <c r="CZ5" s="194" t="s">
        <v>360</v>
      </c>
      <c r="DA5" s="194"/>
      <c r="DB5" s="195" t="s">
        <v>266</v>
      </c>
      <c r="DC5" s="196"/>
      <c r="DD5" s="197" t="s">
        <v>19</v>
      </c>
      <c r="DE5" s="198"/>
      <c r="DF5" s="194" t="s">
        <v>389</v>
      </c>
      <c r="DG5" s="194"/>
      <c r="DH5" s="195" t="s">
        <v>266</v>
      </c>
      <c r="DI5" s="196"/>
      <c r="DJ5" s="197" t="s">
        <v>19</v>
      </c>
      <c r="DK5" s="198"/>
      <c r="DL5" s="194" t="s">
        <v>461</v>
      </c>
      <c r="DM5" s="194"/>
      <c r="DN5" s="195" t="s">
        <v>266</v>
      </c>
      <c r="DO5" s="197" t="s">
        <v>19</v>
      </c>
      <c r="DP5" s="198"/>
      <c r="DQ5" s="194" t="s">
        <v>464</v>
      </c>
      <c r="DR5" s="194"/>
      <c r="DS5" s="195" t="s">
        <v>266</v>
      </c>
      <c r="DT5" s="197" t="s">
        <v>19</v>
      </c>
      <c r="DU5" s="198"/>
      <c r="DV5" s="194" t="s">
        <v>481</v>
      </c>
      <c r="DW5" s="194"/>
      <c r="DX5" s="195" t="s">
        <v>266</v>
      </c>
      <c r="DY5" s="197" t="s">
        <v>19</v>
      </c>
      <c r="DZ5" s="198"/>
      <c r="EA5" s="194" t="s">
        <v>492</v>
      </c>
      <c r="EB5" s="194"/>
      <c r="EC5" s="195" t="s">
        <v>266</v>
      </c>
      <c r="ED5" s="197" t="s">
        <v>19</v>
      </c>
      <c r="EE5" s="198"/>
      <c r="EF5" s="194" t="s">
        <v>498</v>
      </c>
      <c r="EG5" s="194"/>
      <c r="EH5" s="195" t="s">
        <v>266</v>
      </c>
      <c r="EI5" s="197" t="s">
        <v>19</v>
      </c>
      <c r="EJ5" s="198"/>
      <c r="EK5" s="194" t="s">
        <v>508</v>
      </c>
      <c r="EL5" s="194"/>
      <c r="EM5" s="195" t="s">
        <v>266</v>
      </c>
      <c r="EN5" s="197" t="s">
        <v>19</v>
      </c>
      <c r="EO5" s="198"/>
      <c r="EP5" s="194" t="s">
        <v>519</v>
      </c>
      <c r="EQ5" s="194"/>
      <c r="ER5" s="195" t="s">
        <v>266</v>
      </c>
      <c r="ES5" s="197" t="s">
        <v>19</v>
      </c>
      <c r="ET5" s="198"/>
      <c r="EU5" s="194" t="s">
        <v>523</v>
      </c>
      <c r="EV5" s="194"/>
      <c r="EW5" s="195" t="s">
        <v>266</v>
      </c>
      <c r="EX5" s="197" t="s">
        <v>19</v>
      </c>
      <c r="EY5" s="198"/>
      <c r="EZ5" s="194" t="s">
        <v>546</v>
      </c>
      <c r="FA5" s="194"/>
      <c r="FB5" s="195" t="s">
        <v>266</v>
      </c>
      <c r="FC5" s="197" t="s">
        <v>19</v>
      </c>
      <c r="FE5" s="198"/>
      <c r="FF5" s="194" t="s">
        <v>603</v>
      </c>
      <c r="FG5" s="194"/>
      <c r="FH5" s="195" t="s">
        <v>266</v>
      </c>
      <c r="FI5" s="197" t="s">
        <v>19</v>
      </c>
    </row>
    <row r="6" spans="1:165" x14ac:dyDescent="0.15">
      <c r="B6" s="186"/>
      <c r="F6" s="31"/>
      <c r="I6" s="186"/>
      <c r="M6" s="31"/>
      <c r="P6" s="186"/>
      <c r="T6" s="31"/>
      <c r="U6" s="105"/>
      <c r="W6" s="186"/>
      <c r="AA6" s="31"/>
      <c r="AB6" s="105"/>
      <c r="AD6" s="186"/>
      <c r="AH6" s="31"/>
      <c r="AI6" s="105"/>
      <c r="AN6" s="31"/>
      <c r="AO6" s="105"/>
      <c r="AT6" s="31"/>
      <c r="AU6" s="105"/>
      <c r="AZ6" s="31"/>
      <c r="BA6" s="105"/>
      <c r="BF6" s="31"/>
      <c r="BG6" s="105"/>
      <c r="BL6" s="31"/>
      <c r="BM6" s="105"/>
      <c r="BR6" s="31"/>
      <c r="BS6" s="105"/>
      <c r="BX6" s="31"/>
      <c r="BY6" s="105"/>
      <c r="CD6" s="31"/>
      <c r="CE6" s="105"/>
      <c r="CJ6" s="31"/>
      <c r="CK6" s="105"/>
      <c r="CP6" s="31"/>
      <c r="CQ6" s="105"/>
      <c r="CV6" s="31"/>
      <c r="CW6" s="105"/>
      <c r="DB6" s="31"/>
      <c r="DC6" s="105"/>
      <c r="DH6" s="31"/>
      <c r="DI6" s="105"/>
      <c r="DN6" s="31"/>
      <c r="DS6" s="31"/>
      <c r="DX6" s="31"/>
      <c r="EC6" s="31"/>
      <c r="EH6" s="31"/>
      <c r="EM6" s="31"/>
      <c r="ER6" s="31"/>
      <c r="EW6" s="31"/>
      <c r="FB6" s="31"/>
      <c r="FH6" s="31"/>
    </row>
    <row r="7" spans="1:165" x14ac:dyDescent="0.15">
      <c r="B7" s="186"/>
      <c r="D7" s="113">
        <v>1032.69</v>
      </c>
      <c r="F7" s="31"/>
      <c r="I7" s="186"/>
      <c r="K7" s="113">
        <v>1085.94</v>
      </c>
      <c r="M7" s="199"/>
      <c r="N7" s="113"/>
      <c r="P7" s="186"/>
      <c r="R7" s="113">
        <v>864.39</v>
      </c>
      <c r="T7" s="31"/>
      <c r="U7" s="105"/>
      <c r="V7" s="95"/>
      <c r="W7" s="186"/>
      <c r="Y7" s="113">
        <v>708.73</v>
      </c>
      <c r="AA7" s="31"/>
      <c r="AB7" s="105"/>
      <c r="AC7" s="95"/>
      <c r="AD7" s="186"/>
      <c r="AF7" s="113">
        <v>628.33000000000004</v>
      </c>
      <c r="AH7" s="31"/>
      <c r="AI7" s="105"/>
      <c r="AJ7" s="95"/>
      <c r="AL7" s="113">
        <v>600</v>
      </c>
      <c r="AN7" s="31"/>
      <c r="AO7" s="105"/>
      <c r="AP7" s="95"/>
      <c r="AR7" s="113"/>
      <c r="AT7" s="31"/>
      <c r="AU7" s="105"/>
      <c r="AV7" s="95"/>
      <c r="AX7" s="113"/>
      <c r="AZ7" s="31"/>
      <c r="BA7" s="105"/>
      <c r="BB7" s="95"/>
      <c r="BD7" s="113"/>
      <c r="BF7" s="31"/>
      <c r="BG7" s="105"/>
      <c r="BH7" s="95"/>
      <c r="BJ7" s="113"/>
      <c r="BL7" s="31"/>
      <c r="BM7" s="105"/>
      <c r="BN7" s="95"/>
      <c r="BP7" s="113"/>
      <c r="BR7" s="31"/>
      <c r="BS7" s="105"/>
      <c r="BT7" s="95"/>
      <c r="BV7" s="113"/>
      <c r="BX7" s="31"/>
      <c r="BY7" s="105"/>
      <c r="BZ7" s="95"/>
      <c r="CB7" s="113"/>
      <c r="CD7" s="31"/>
      <c r="CE7" s="105"/>
      <c r="CF7" s="95"/>
      <c r="CH7" s="113"/>
      <c r="CJ7" s="31"/>
      <c r="CK7" s="105"/>
      <c r="CL7" s="95"/>
      <c r="CN7" s="113"/>
      <c r="CP7" s="200"/>
      <c r="CQ7" s="105"/>
      <c r="CR7" s="95"/>
      <c r="CT7" s="113"/>
      <c r="CV7" s="200"/>
      <c r="CW7" s="105"/>
      <c r="CX7" s="95"/>
      <c r="CZ7" s="113"/>
      <c r="DB7" s="200"/>
      <c r="DC7" s="105"/>
      <c r="DD7" s="95"/>
      <c r="DF7" s="113"/>
      <c r="DH7" s="200"/>
      <c r="DI7" s="105"/>
      <c r="DJ7" s="95"/>
      <c r="DL7" s="113"/>
      <c r="DN7" s="200"/>
      <c r="DO7" s="95"/>
      <c r="DQ7" s="113"/>
      <c r="DS7" s="200"/>
      <c r="DT7" s="95"/>
      <c r="DV7" s="113"/>
      <c r="DX7" s="200"/>
      <c r="DY7" s="95"/>
      <c r="EA7" s="113"/>
      <c r="EC7" s="200"/>
      <c r="ED7" s="95"/>
      <c r="EF7" s="113"/>
      <c r="EH7" s="200"/>
      <c r="EI7" s="95"/>
      <c r="EK7" s="113"/>
      <c r="EM7" s="200"/>
      <c r="EN7" s="95"/>
      <c r="EP7" s="113"/>
      <c r="ER7" s="200"/>
      <c r="ES7" s="95"/>
      <c r="EU7" s="113"/>
      <c r="EW7" s="200"/>
      <c r="EX7" s="95"/>
      <c r="EZ7" s="113"/>
      <c r="FB7" s="200"/>
      <c r="FC7" s="95"/>
      <c r="FF7" s="113"/>
      <c r="FH7" s="200"/>
      <c r="FI7" s="95"/>
    </row>
    <row r="8" spans="1:165" x14ac:dyDescent="0.15">
      <c r="A8" s="5" t="s">
        <v>82</v>
      </c>
      <c r="B8" s="186"/>
      <c r="D8" s="113">
        <v>33786.839999999997</v>
      </c>
      <c r="F8" s="199">
        <v>34814.620000000003</v>
      </c>
      <c r="H8" s="95">
        <f>+D7+D8-F8</f>
        <v>4.9099999999962165</v>
      </c>
      <c r="I8" s="186"/>
      <c r="K8" s="113">
        <v>34732.36</v>
      </c>
      <c r="M8" s="199">
        <v>35814.9</v>
      </c>
      <c r="N8" s="113"/>
      <c r="O8" s="95">
        <f>+K7+K8-M8</f>
        <v>3.4000000000014552</v>
      </c>
      <c r="P8" s="186"/>
      <c r="R8" s="113">
        <v>35981.08</v>
      </c>
      <c r="T8" s="199">
        <v>36841.61</v>
      </c>
      <c r="U8" s="201"/>
      <c r="V8" s="95">
        <f>+R7+R8-T8</f>
        <v>3.8600000000005821</v>
      </c>
      <c r="W8" s="186"/>
      <c r="Y8" s="113">
        <v>36037.68</v>
      </c>
      <c r="AA8" s="199">
        <v>36756.79</v>
      </c>
      <c r="AB8" s="201"/>
      <c r="AC8" s="95">
        <f>+Y7+Y8-AA8</f>
        <v>-10.379999999997381</v>
      </c>
      <c r="AD8" s="186"/>
      <c r="AF8" s="113">
        <v>35801.68</v>
      </c>
      <c r="AH8" s="199">
        <v>36444.53</v>
      </c>
      <c r="AI8" s="201"/>
      <c r="AJ8" s="95">
        <f>+AF7+AF8-AH8</f>
        <v>-14.519999999996799</v>
      </c>
      <c r="AL8" s="113">
        <v>35014.300000000003</v>
      </c>
      <c r="AN8" s="199">
        <v>35624.589999999997</v>
      </c>
      <c r="AO8" s="201"/>
      <c r="AP8" s="95">
        <f>+AL7+AL8-AN8</f>
        <v>-10.289999999993597</v>
      </c>
      <c r="AR8" s="113">
        <v>34239.43</v>
      </c>
      <c r="AT8" s="199">
        <v>34250.699999999997</v>
      </c>
      <c r="AU8" s="201"/>
      <c r="AV8" s="95">
        <f>+AR7+AR8-AT8</f>
        <v>-11.269999999996799</v>
      </c>
      <c r="AX8" s="113">
        <v>34212.33</v>
      </c>
      <c r="AZ8" s="199">
        <v>34227.64</v>
      </c>
      <c r="BA8" s="201"/>
      <c r="BB8" s="95">
        <f>+AX7+AX8-AZ8</f>
        <v>-15.309999999997672</v>
      </c>
      <c r="BD8" s="113">
        <v>34163.19</v>
      </c>
      <c r="BF8" s="199">
        <v>34181.24</v>
      </c>
      <c r="BG8" s="201"/>
      <c r="BH8" s="95">
        <f>+BD7+BD8-BF8</f>
        <v>-18.049999999995634</v>
      </c>
      <c r="BJ8" s="113">
        <v>34688.199999999997</v>
      </c>
      <c r="BL8" s="199">
        <v>34703.199999999997</v>
      </c>
      <c r="BM8" s="201"/>
      <c r="BN8" s="95">
        <f>+BJ7+BJ8-BL8</f>
        <v>-15</v>
      </c>
      <c r="BP8" s="113">
        <v>35281.65</v>
      </c>
      <c r="BR8" s="199">
        <v>35295.61</v>
      </c>
      <c r="BS8" s="201"/>
      <c r="BT8" s="95">
        <f>+BP7+BP8-BR8</f>
        <v>-13.959999999999127</v>
      </c>
      <c r="BV8" s="113">
        <v>35796.629999999997</v>
      </c>
      <c r="BX8" s="199">
        <v>35811.480000000003</v>
      </c>
      <c r="BY8" s="201"/>
      <c r="BZ8" s="95">
        <f>+BV7+BV8-BX8</f>
        <v>-14.850000000005821</v>
      </c>
      <c r="CB8" s="113">
        <v>36334.5</v>
      </c>
      <c r="CD8" s="199">
        <v>36343.129999999997</v>
      </c>
      <c r="CE8" s="201"/>
      <c r="CF8" s="95">
        <f>+CB7+CB8-CD8</f>
        <v>-8.6299999999973807</v>
      </c>
      <c r="CH8" s="113">
        <v>36393.449999999997</v>
      </c>
      <c r="CJ8" s="199">
        <v>36403.78</v>
      </c>
      <c r="CK8" s="201"/>
      <c r="CL8" s="95">
        <f>+CH7+CH8-CJ8</f>
        <v>-10.330000000001746</v>
      </c>
      <c r="CN8" s="113">
        <v>36073</v>
      </c>
      <c r="CP8" s="199">
        <v>39840.99</v>
      </c>
      <c r="CQ8" s="201"/>
      <c r="CR8" s="95">
        <f>+CN7+CN8-CP7-CP8</f>
        <v>-3767.989999999998</v>
      </c>
      <c r="CT8" s="113">
        <v>37016.92</v>
      </c>
      <c r="CV8" s="199">
        <v>44688.82</v>
      </c>
      <c r="CW8" s="201"/>
      <c r="CX8" s="95">
        <f>+CT7+CT8-CV7-CV8</f>
        <v>-7671.9000000000015</v>
      </c>
      <c r="CZ8" s="113">
        <v>37623.57</v>
      </c>
      <c r="DB8" s="199">
        <v>45641.78</v>
      </c>
      <c r="DC8" s="201"/>
      <c r="DD8" s="95">
        <f>+CZ7+CZ8-DB7-DB8</f>
        <v>-8018.2099999999991</v>
      </c>
      <c r="DF8" s="113">
        <v>38278.85</v>
      </c>
      <c r="DH8" s="199">
        <v>46252.23</v>
      </c>
      <c r="DI8" s="201"/>
      <c r="DJ8" s="95">
        <f>+DF7+DF8-DH7-DH8</f>
        <v>-7973.3800000000047</v>
      </c>
      <c r="DL8" s="113">
        <v>47817.7</v>
      </c>
      <c r="DN8" s="199">
        <v>47819.39</v>
      </c>
      <c r="DO8" s="95">
        <f>+DL7+DL8-DN7-DN8</f>
        <v>-1.6900000000023283</v>
      </c>
      <c r="DQ8" s="113">
        <v>49439.48</v>
      </c>
      <c r="DS8" s="199">
        <v>49440.34</v>
      </c>
      <c r="DT8" s="95">
        <f>+DQ7+DQ8-DS7-DS8</f>
        <v>-0.85999999999330612</v>
      </c>
      <c r="DV8" s="113">
        <v>58378.19</v>
      </c>
      <c r="DX8" s="199">
        <v>58898.93</v>
      </c>
      <c r="DY8" s="95">
        <f>+DV7+DV8-DX7-DX8</f>
        <v>-520.73999999999796</v>
      </c>
      <c r="EA8" s="113">
        <v>57869.13</v>
      </c>
      <c r="EC8" s="199">
        <v>58416.08</v>
      </c>
      <c r="ED8" s="95">
        <f>+EA7+EA8-EC7-EC8</f>
        <v>-546.95000000000437</v>
      </c>
      <c r="EF8" s="113">
        <v>68129.320000000007</v>
      </c>
      <c r="EH8" s="199">
        <v>68655.39</v>
      </c>
      <c r="EI8" s="95">
        <f>+EF7+EF8-EH7-EH8</f>
        <v>-526.06999999999243</v>
      </c>
      <c r="EK8" s="113">
        <v>79062.850000000006</v>
      </c>
      <c r="EM8" s="199">
        <v>79416.710000000006</v>
      </c>
      <c r="EN8" s="95">
        <f>+EK7+EK8-EM7-EM8</f>
        <v>-353.86000000000058</v>
      </c>
      <c r="EP8" s="113">
        <v>80465.08</v>
      </c>
      <c r="ER8" s="199">
        <v>81121.69</v>
      </c>
      <c r="ES8" s="95">
        <f>+EP7+EP8-ER7-ER8</f>
        <v>-656.61000000000058</v>
      </c>
      <c r="EU8" s="113">
        <v>81111.02</v>
      </c>
      <c r="EW8" s="199">
        <v>81878.23</v>
      </c>
      <c r="EX8" s="95">
        <f>+EU7+EU8-EW7-EW8</f>
        <v>-767.20999999999185</v>
      </c>
      <c r="EZ8" s="113">
        <v>82062.95</v>
      </c>
      <c r="FB8" s="199">
        <v>82283.039999999994</v>
      </c>
      <c r="FC8" s="95">
        <f>+EZ7+EZ8-FB7-FB8</f>
        <v>-220.08999999999651</v>
      </c>
      <c r="FF8" s="113">
        <v>69446.83</v>
      </c>
      <c r="FH8" s="199">
        <v>71076.45</v>
      </c>
      <c r="FI8" s="95">
        <f>+FF7+FF8-FH7-FH8</f>
        <v>-1629.6199999999953</v>
      </c>
    </row>
    <row r="9" spans="1:165" x14ac:dyDescent="0.15">
      <c r="A9" s="5" t="s">
        <v>83</v>
      </c>
      <c r="B9" s="186"/>
      <c r="D9" s="113">
        <v>221210.46</v>
      </c>
      <c r="F9" s="199">
        <v>221209.79</v>
      </c>
      <c r="H9" s="95">
        <f t="shared" ref="H9:H16" si="0">+D9-F9</f>
        <v>0.66999999998370185</v>
      </c>
      <c r="I9" s="186"/>
      <c r="K9" s="113">
        <v>221269.69</v>
      </c>
      <c r="M9" s="199">
        <v>221270.72</v>
      </c>
      <c r="N9" s="113"/>
      <c r="O9" s="95">
        <f>+K9+K10-M9</f>
        <v>64.198888888902729</v>
      </c>
      <c r="P9" s="186"/>
      <c r="R9" s="113">
        <v>223263.09</v>
      </c>
      <c r="T9" s="199">
        <v>223260.83</v>
      </c>
      <c r="U9" s="201"/>
      <c r="V9" s="95">
        <f>+R9+R10-T9</f>
        <v>67.540000000008149</v>
      </c>
      <c r="W9" s="186"/>
      <c r="X9" s="95"/>
      <c r="Y9" s="113">
        <v>228823.7</v>
      </c>
      <c r="AA9" s="199">
        <v>228881.27</v>
      </c>
      <c r="AB9" s="201"/>
      <c r="AC9" s="95">
        <f>+Y9+Y10-AA9</f>
        <v>10.410000000032596</v>
      </c>
      <c r="AD9" s="186"/>
      <c r="AF9" s="113">
        <v>232612.5</v>
      </c>
      <c r="AH9" s="199">
        <v>232681.97</v>
      </c>
      <c r="AI9" s="201"/>
      <c r="AJ9" s="95">
        <f>+AF9+AF10-AH9</f>
        <v>14.529999999998836</v>
      </c>
      <c r="AL9" s="113">
        <v>233977.9</v>
      </c>
      <c r="AN9" s="199">
        <v>234048.35</v>
      </c>
      <c r="AO9" s="201"/>
      <c r="AP9" s="95">
        <f>+AL9+AL10-AN9</f>
        <v>9.9499999999825377</v>
      </c>
      <c r="AR9" s="113">
        <v>230328.8</v>
      </c>
      <c r="AT9" s="199">
        <v>230380.52</v>
      </c>
      <c r="AU9" s="201"/>
      <c r="AV9" s="95">
        <f>+AR9+AR10-AT9</f>
        <v>11.350000000005821</v>
      </c>
      <c r="AX9" s="113">
        <v>226586.77</v>
      </c>
      <c r="AZ9" s="199">
        <v>226676.31</v>
      </c>
      <c r="BA9" s="201"/>
      <c r="BB9" s="95">
        <f>+AX9+AX10-AZ9</f>
        <v>15.380000000004657</v>
      </c>
      <c r="BD9" s="113">
        <v>223229.5</v>
      </c>
      <c r="BF9" s="199">
        <v>223339.72</v>
      </c>
      <c r="BG9" s="201"/>
      <c r="BH9" s="95">
        <f>+BD9+BD10-BF9</f>
        <v>18.089999999996508</v>
      </c>
      <c r="BJ9" s="113">
        <v>220047.26</v>
      </c>
      <c r="BL9" s="199">
        <v>220127.92</v>
      </c>
      <c r="BM9" s="201"/>
      <c r="BN9" s="95">
        <f>+BJ9+BJ10-BL9</f>
        <v>14.970000000001164</v>
      </c>
      <c r="BP9" s="113">
        <v>220768.17</v>
      </c>
      <c r="BR9" s="199">
        <v>220856.73</v>
      </c>
      <c r="BS9" s="201"/>
      <c r="BT9" s="95">
        <f>+BP9+BP10-BR9</f>
        <v>13.899999999994179</v>
      </c>
      <c r="BV9" s="113">
        <v>222197.84</v>
      </c>
      <c r="BX9" s="199">
        <v>222285.78</v>
      </c>
      <c r="BY9" s="201"/>
      <c r="BZ9" s="95">
        <f>+BV9+BV10-BX9</f>
        <v>14.980000000010477</v>
      </c>
      <c r="CB9" s="113">
        <v>225963.47</v>
      </c>
      <c r="CD9" s="199">
        <v>226034.2</v>
      </c>
      <c r="CE9" s="201"/>
      <c r="CF9" s="95">
        <f>+CB9+CB10-CD9</f>
        <v>8.5899999999965075</v>
      </c>
      <c r="CH9" s="113">
        <v>228248.29</v>
      </c>
      <c r="CJ9" s="199">
        <v>228330.5</v>
      </c>
      <c r="CK9" s="201"/>
      <c r="CL9" s="95">
        <f>+CH9+CH10-CJ9</f>
        <v>10.300000000017462</v>
      </c>
      <c r="CN9" s="113">
        <v>230063.1</v>
      </c>
      <c r="CP9" s="199">
        <v>230162.81</v>
      </c>
      <c r="CQ9" s="201"/>
      <c r="CR9" s="95">
        <f>+CN9+CN10-CP9</f>
        <v>12.240000000019791</v>
      </c>
      <c r="CT9" s="113">
        <v>231038.51</v>
      </c>
      <c r="CV9" s="199">
        <v>231176.43</v>
      </c>
      <c r="CW9" s="201"/>
      <c r="CX9" s="95">
        <f>+CT9+CT10-CV9</f>
        <v>17.220000000030268</v>
      </c>
      <c r="CZ9" s="113">
        <v>232155.32</v>
      </c>
      <c r="DB9" s="199">
        <v>232333.37</v>
      </c>
      <c r="DC9" s="201"/>
      <c r="DD9" s="95">
        <f>+CZ9+CZ10-DB9</f>
        <v>33.14000000001397</v>
      </c>
      <c r="DF9" s="113">
        <v>233771.61</v>
      </c>
      <c r="DH9" s="199">
        <v>233899.26</v>
      </c>
      <c r="DI9" s="201"/>
      <c r="DJ9" s="95">
        <f>+DF9+DF10-DH9</f>
        <v>15.679999999963911</v>
      </c>
      <c r="DL9" s="113">
        <v>235798.42</v>
      </c>
      <c r="DN9" s="199">
        <v>235803.74</v>
      </c>
      <c r="DO9" s="95">
        <f>+DL9+DL10-DN9</f>
        <v>2.9100000000325963</v>
      </c>
      <c r="DQ9" s="113">
        <v>238390.76</v>
      </c>
      <c r="DS9" s="199">
        <v>238395.66</v>
      </c>
      <c r="DT9" s="95">
        <f>+DQ9+DQ10-DS9</f>
        <v>1.0400000000081491</v>
      </c>
      <c r="DV9" s="113">
        <v>239673.18</v>
      </c>
      <c r="DX9" s="199">
        <v>243401.72</v>
      </c>
      <c r="DY9" s="95">
        <f>+DV9+DV10-DX9</f>
        <v>-3712.7600000000093</v>
      </c>
      <c r="EA9" s="113">
        <f>246522.93</f>
        <v>246522.93</v>
      </c>
      <c r="EC9" s="199">
        <v>250092.76</v>
      </c>
      <c r="ED9" s="95">
        <f>+EA9+EA10-EC9</f>
        <v>-3550.0400000000081</v>
      </c>
      <c r="EF9" s="113">
        <v>251155.57</v>
      </c>
      <c r="EH9" s="199">
        <v>254801.01</v>
      </c>
      <c r="EI9" s="95">
        <f>+EF9+EF10-EH9</f>
        <v>-3626.8800000000047</v>
      </c>
      <c r="EK9" s="113">
        <v>250708.38</v>
      </c>
      <c r="EM9" s="199">
        <v>253835.84</v>
      </c>
      <c r="EN9" s="95">
        <f>+EK9+EK10-EM9</f>
        <v>-3108.5499999999884</v>
      </c>
      <c r="EP9" s="113">
        <v>248632.77</v>
      </c>
      <c r="ER9" s="199">
        <v>252407.79</v>
      </c>
      <c r="ES9" s="95">
        <f>+EP9+EP10-ER9</f>
        <v>-3758.0200000000186</v>
      </c>
      <c r="EU9" s="113">
        <v>246586.53</v>
      </c>
      <c r="EW9" s="199">
        <v>250302.37</v>
      </c>
      <c r="EX9" s="95">
        <f>+EU9+EU10-EW9</f>
        <v>-3700.8800000000047</v>
      </c>
      <c r="EZ9" s="113">
        <v>247736.32000000001</v>
      </c>
      <c r="FB9" s="199">
        <v>251308.58</v>
      </c>
      <c r="FC9" s="95">
        <f>+EZ9+EZ10-FB9</f>
        <v>-3563.0099999999802</v>
      </c>
      <c r="FF9" s="113">
        <v>228889.18</v>
      </c>
      <c r="FH9" s="199">
        <v>236903.64</v>
      </c>
      <c r="FI9" s="95">
        <f>+FF9+FF10-FH9</f>
        <v>-8009.0500000000175</v>
      </c>
    </row>
    <row r="10" spans="1:165" x14ac:dyDescent="0.15">
      <c r="A10" s="5" t="s">
        <v>84</v>
      </c>
      <c r="B10" s="186"/>
      <c r="D10" s="113">
        <v>65.86</v>
      </c>
      <c r="F10" s="199"/>
      <c r="H10" s="95">
        <f t="shared" si="0"/>
        <v>65.86</v>
      </c>
      <c r="I10" s="186"/>
      <c r="J10" s="28"/>
      <c r="K10" s="113">
        <v>65.228888888888889</v>
      </c>
      <c r="M10" s="199"/>
      <c r="N10" s="113"/>
      <c r="O10" s="95"/>
      <c r="P10" s="186"/>
      <c r="R10" s="113">
        <v>65.28</v>
      </c>
      <c r="T10" s="199"/>
      <c r="U10" s="201"/>
      <c r="V10" s="95"/>
      <c r="W10" s="186"/>
      <c r="Y10" s="113">
        <v>67.98</v>
      </c>
      <c r="AA10" s="199"/>
      <c r="AB10" s="201"/>
      <c r="AC10" s="95"/>
      <c r="AD10" s="186"/>
      <c r="AF10" s="113">
        <v>84</v>
      </c>
      <c r="AH10" s="199"/>
      <c r="AI10" s="201"/>
      <c r="AJ10" s="95"/>
      <c r="AL10" s="113">
        <v>80.400000000000006</v>
      </c>
      <c r="AN10" s="199"/>
      <c r="AO10" s="201"/>
      <c r="AP10" s="95"/>
      <c r="AR10" s="113">
        <v>63.07</v>
      </c>
      <c r="AT10" s="199"/>
      <c r="AU10" s="201"/>
      <c r="AV10" s="95"/>
      <c r="AX10" s="113">
        <v>104.92</v>
      </c>
      <c r="AZ10" s="199"/>
      <c r="BA10" s="201"/>
      <c r="BB10" s="95"/>
      <c r="BD10" s="113">
        <v>128.31</v>
      </c>
      <c r="BF10" s="199"/>
      <c r="BG10" s="201"/>
      <c r="BH10" s="95"/>
      <c r="BJ10" s="113">
        <v>95.63</v>
      </c>
      <c r="BL10" s="199"/>
      <c r="BM10" s="201"/>
      <c r="BN10" s="95"/>
      <c r="BP10" s="113">
        <v>102.46</v>
      </c>
      <c r="BR10" s="199"/>
      <c r="BS10" s="201"/>
      <c r="BT10" s="95"/>
      <c r="BV10" s="113">
        <v>102.92</v>
      </c>
      <c r="BX10" s="199"/>
      <c r="BY10" s="201"/>
      <c r="BZ10" s="95"/>
      <c r="CB10" s="113">
        <v>79.319999999999993</v>
      </c>
      <c r="CD10" s="199"/>
      <c r="CE10" s="201"/>
      <c r="CF10" s="95"/>
      <c r="CH10" s="113">
        <v>92.51</v>
      </c>
      <c r="CJ10" s="199"/>
      <c r="CK10" s="201"/>
      <c r="CL10" s="95"/>
      <c r="CN10" s="113">
        <v>111.95</v>
      </c>
      <c r="CP10" s="199"/>
      <c r="CQ10" s="201"/>
      <c r="CR10" s="95"/>
      <c r="CT10" s="113">
        <v>155.13999999999999</v>
      </c>
      <c r="CV10" s="199"/>
      <c r="CW10" s="201"/>
      <c r="CX10" s="95"/>
      <c r="CZ10" s="113">
        <v>211.19</v>
      </c>
      <c r="DB10" s="199"/>
      <c r="DC10" s="201"/>
      <c r="DD10" s="95"/>
      <c r="DF10" s="113">
        <v>143.33000000000001</v>
      </c>
      <c r="DH10" s="199"/>
      <c r="DI10" s="201"/>
      <c r="DJ10" s="95"/>
      <c r="DL10" s="113">
        <v>8.23</v>
      </c>
      <c r="DN10" s="199"/>
      <c r="DO10" s="95"/>
      <c r="DQ10" s="113">
        <v>5.94</v>
      </c>
      <c r="DS10" s="199"/>
      <c r="DT10" s="95"/>
      <c r="DV10" s="113">
        <v>15.78</v>
      </c>
      <c r="DX10" s="199"/>
      <c r="DY10" s="95"/>
      <c r="EA10" s="113">
        <v>19.79</v>
      </c>
      <c r="EC10" s="199"/>
      <c r="ED10" s="95"/>
      <c r="EF10" s="113">
        <v>18.559999999999999</v>
      </c>
      <c r="EH10" s="199"/>
      <c r="EI10" s="95"/>
      <c r="EK10" s="113">
        <v>18.91</v>
      </c>
      <c r="EM10" s="199"/>
      <c r="EN10" s="95"/>
      <c r="EP10" s="113">
        <v>17</v>
      </c>
      <c r="ER10" s="199"/>
      <c r="ES10" s="95"/>
      <c r="EU10" s="113">
        <v>14.96</v>
      </c>
      <c r="EW10" s="199"/>
      <c r="EX10" s="95"/>
      <c r="EZ10" s="113">
        <v>9.25</v>
      </c>
      <c r="FB10" s="199"/>
      <c r="FC10" s="95"/>
      <c r="FF10" s="113">
        <v>5.41</v>
      </c>
      <c r="FH10" s="199"/>
      <c r="FI10" s="95"/>
    </row>
    <row r="11" spans="1:165" x14ac:dyDescent="0.15">
      <c r="A11" s="5" t="s">
        <v>202</v>
      </c>
      <c r="B11" s="186">
        <f>7395.1+0.268</f>
        <v>7395.3680000000004</v>
      </c>
      <c r="D11" s="113"/>
      <c r="F11" s="199"/>
      <c r="H11" s="95"/>
      <c r="I11" s="186"/>
      <c r="J11" s="28"/>
      <c r="K11" s="113"/>
      <c r="M11" s="199"/>
      <c r="N11" s="113"/>
      <c r="O11" s="95"/>
      <c r="P11" s="186"/>
      <c r="R11" s="113"/>
      <c r="T11" s="199"/>
      <c r="U11" s="201"/>
      <c r="V11" s="95"/>
      <c r="W11" s="186"/>
      <c r="Y11" s="113"/>
      <c r="AA11" s="199"/>
      <c r="AB11" s="201"/>
      <c r="AC11" s="95"/>
      <c r="AD11" s="186"/>
      <c r="AF11" s="113"/>
      <c r="AH11" s="199"/>
      <c r="AI11" s="201"/>
      <c r="AJ11" s="95"/>
      <c r="AL11" s="113"/>
      <c r="AN11" s="199"/>
      <c r="AO11" s="201"/>
      <c r="AP11" s="95"/>
      <c r="AR11" s="113">
        <v>78857</v>
      </c>
      <c r="AT11" s="199">
        <v>78883.67</v>
      </c>
      <c r="AU11" s="201"/>
      <c r="AV11" s="95">
        <f>+AR11+AR12-AT11</f>
        <v>-0.11999999999534339</v>
      </c>
      <c r="AX11" s="113">
        <v>78288.45</v>
      </c>
      <c r="AZ11" s="199">
        <v>78310.98</v>
      </c>
      <c r="BA11" s="201"/>
      <c r="BB11" s="95">
        <f>+AX11+AX12-AZ11</f>
        <v>-9.9999999947613105E-3</v>
      </c>
      <c r="BD11" s="113">
        <v>78325.100000000006</v>
      </c>
      <c r="BF11" s="199">
        <v>78360.34</v>
      </c>
      <c r="BG11" s="201"/>
      <c r="BH11" s="95">
        <f>+BD11+BD12-BF11</f>
        <v>0</v>
      </c>
      <c r="BJ11" s="113">
        <v>77003.839999999997</v>
      </c>
      <c r="BL11" s="199">
        <v>77031.92</v>
      </c>
      <c r="BM11" s="201"/>
      <c r="BN11" s="95">
        <f>+BJ11+BJ12-BL11</f>
        <v>-4.0000000008149073E-2</v>
      </c>
      <c r="BP11" s="113">
        <v>74942.899999999994</v>
      </c>
      <c r="BR11" s="199">
        <v>74970.11</v>
      </c>
      <c r="BS11" s="201"/>
      <c r="BT11" s="95">
        <f>+BP11+BP12-BR11</f>
        <v>3.9999999993597157E-2</v>
      </c>
      <c r="BV11" s="113">
        <v>75233.47</v>
      </c>
      <c r="BX11" s="199">
        <v>75262.31</v>
      </c>
      <c r="BY11" s="201"/>
      <c r="BZ11" s="95">
        <f>+BV11+BV12-BX11</f>
        <v>5.9999999997671694E-2</v>
      </c>
      <c r="CB11" s="113">
        <v>74336.460000000006</v>
      </c>
      <c r="CD11" s="199">
        <v>74360.59</v>
      </c>
      <c r="CE11" s="201"/>
      <c r="CF11" s="95">
        <f>+CB11+CB12-CD11</f>
        <v>-2.9999999984283932E-2</v>
      </c>
      <c r="CH11" s="113">
        <v>75653.899999999994</v>
      </c>
      <c r="CJ11" s="199">
        <v>75678.16</v>
      </c>
      <c r="CK11" s="201"/>
      <c r="CL11" s="95">
        <f>+CH11+CH12-CJ11</f>
        <v>-8.0000000016298145E-2</v>
      </c>
      <c r="CN11" s="113">
        <v>76617.83</v>
      </c>
      <c r="CP11" s="199">
        <v>76650.179999999993</v>
      </c>
      <c r="CQ11" s="201"/>
      <c r="CR11" s="95">
        <f>+CN11+CN12-CP11</f>
        <v>0.76000000000931323</v>
      </c>
      <c r="CT11" s="113">
        <v>77833.740000000005</v>
      </c>
      <c r="CV11" s="199">
        <v>77874.789999999994</v>
      </c>
      <c r="CW11" s="201"/>
      <c r="CX11" s="95">
        <f>+CT11+CT12-CV11</f>
        <v>3.0000000013387762E-2</v>
      </c>
      <c r="CZ11" s="113">
        <v>78579.789999999994</v>
      </c>
      <c r="DB11" s="199">
        <v>78633.36</v>
      </c>
      <c r="DC11" s="201"/>
      <c r="DD11" s="95">
        <f>+CZ11+CZ12-DB11</f>
        <v>-4.0000000008149073E-2</v>
      </c>
      <c r="DF11" s="113">
        <v>78778.289999999994</v>
      </c>
      <c r="DH11" s="199">
        <v>78817.87</v>
      </c>
      <c r="DI11" s="201"/>
      <c r="DJ11" s="95">
        <f>+DF11+DF12-DH11</f>
        <v>0.41999999999825377</v>
      </c>
      <c r="DL11" s="113">
        <v>77188.89</v>
      </c>
      <c r="DN11" s="199">
        <v>77189.7</v>
      </c>
      <c r="DO11" s="95">
        <f>+DL11+DL12-DN11</f>
        <v>0.38999999999941792</v>
      </c>
      <c r="DQ11" s="113">
        <v>78333.460000000006</v>
      </c>
      <c r="DS11" s="199">
        <v>78335.12</v>
      </c>
      <c r="DT11" s="95">
        <f>+DQ11+DQ12-DS11</f>
        <v>1.0000000009313226E-2</v>
      </c>
      <c r="DV11" s="113">
        <v>77648.28</v>
      </c>
      <c r="DX11" s="199">
        <v>79011.92</v>
      </c>
      <c r="DY11" s="95">
        <f>+DV11+DV12-DX11</f>
        <v>-1359.2700000000041</v>
      </c>
      <c r="EA11" s="113">
        <f>78517.16</f>
        <v>78517.16</v>
      </c>
      <c r="EC11" s="199">
        <v>79852.52</v>
      </c>
      <c r="ED11" s="95">
        <f>+EA11+EA12-EC11</f>
        <v>-1332.3899999999994</v>
      </c>
      <c r="EF11" s="113">
        <v>81310.720000000001</v>
      </c>
      <c r="EH11" s="199">
        <v>82595.78</v>
      </c>
      <c r="EI11" s="95">
        <f>+EF11+EF12-EH11</f>
        <v>-1283.0800000000017</v>
      </c>
      <c r="EK11" s="113">
        <v>84855.32</v>
      </c>
      <c r="EM11" s="199">
        <v>86085.1</v>
      </c>
      <c r="EN11" s="95">
        <f>+EK11+EK12-EM11</f>
        <v>-1225.9400000000023</v>
      </c>
      <c r="EP11" s="113">
        <v>86314.04</v>
      </c>
      <c r="ER11" s="199">
        <v>87653.72</v>
      </c>
      <c r="ES11" s="95">
        <f>+EP11+EP12-ER11</f>
        <v>-1336.9800000000105</v>
      </c>
      <c r="EU11" s="113">
        <v>84982.54</v>
      </c>
      <c r="EW11" s="199">
        <v>86396.82</v>
      </c>
      <c r="EX11" s="95">
        <f>+EU11+EU12-EW11</f>
        <v>-1410.5900000000111</v>
      </c>
      <c r="EZ11" s="113">
        <v>83136.36</v>
      </c>
      <c r="FB11" s="199">
        <v>84422.15</v>
      </c>
      <c r="FC11" s="95">
        <f>+EZ11+EZ12-FB11</f>
        <v>-1284.5399999999936</v>
      </c>
      <c r="FF11" s="113">
        <v>77878.45</v>
      </c>
      <c r="FH11" s="199">
        <v>80726.179999999993</v>
      </c>
      <c r="FI11" s="95">
        <f>+FF11+FF12-FH11</f>
        <v>-2846.5800000000017</v>
      </c>
    </row>
    <row r="12" spans="1:165" x14ac:dyDescent="0.15">
      <c r="A12" s="5" t="s">
        <v>84</v>
      </c>
      <c r="B12" s="186"/>
      <c r="D12" s="113"/>
      <c r="F12" s="199"/>
      <c r="H12" s="95"/>
      <c r="I12" s="186"/>
      <c r="J12" s="28"/>
      <c r="K12" s="113"/>
      <c r="M12" s="199"/>
      <c r="N12" s="113"/>
      <c r="O12" s="95"/>
      <c r="P12" s="186"/>
      <c r="R12" s="113"/>
      <c r="T12" s="199"/>
      <c r="U12" s="201"/>
      <c r="V12" s="95"/>
      <c r="W12" s="186"/>
      <c r="Y12" s="113"/>
      <c r="AA12" s="199"/>
      <c r="AB12" s="201"/>
      <c r="AC12" s="95"/>
      <c r="AD12" s="186"/>
      <c r="AF12" s="113"/>
      <c r="AH12" s="199"/>
      <c r="AI12" s="201"/>
      <c r="AJ12" s="95"/>
      <c r="AL12" s="113"/>
      <c r="AN12" s="199"/>
      <c r="AO12" s="201"/>
      <c r="AP12" s="95"/>
      <c r="AR12" s="113">
        <v>26.55</v>
      </c>
      <c r="AT12" s="199"/>
      <c r="AU12" s="201"/>
      <c r="AV12" s="95"/>
      <c r="AX12" s="113">
        <v>22.52</v>
      </c>
      <c r="AZ12" s="199"/>
      <c r="BA12" s="201"/>
      <c r="BB12" s="95"/>
      <c r="BD12" s="113">
        <v>35.24</v>
      </c>
      <c r="BF12" s="199"/>
      <c r="BG12" s="201"/>
      <c r="BH12" s="95"/>
      <c r="BJ12" s="113">
        <v>28.04</v>
      </c>
      <c r="BL12" s="199"/>
      <c r="BM12" s="201"/>
      <c r="BN12" s="95"/>
      <c r="BP12" s="113">
        <v>27.25</v>
      </c>
      <c r="BR12" s="199"/>
      <c r="BS12" s="201"/>
      <c r="BT12" s="95"/>
      <c r="BV12" s="113">
        <v>28.9</v>
      </c>
      <c r="BX12" s="199"/>
      <c r="BY12" s="201"/>
      <c r="BZ12" s="95"/>
      <c r="CB12" s="113">
        <v>24.1</v>
      </c>
      <c r="CD12" s="199"/>
      <c r="CE12" s="201"/>
      <c r="CF12" s="95"/>
      <c r="CH12" s="113">
        <v>24.18</v>
      </c>
      <c r="CJ12" s="199"/>
      <c r="CK12" s="201"/>
      <c r="CL12" s="95"/>
      <c r="CN12" s="113">
        <v>33.11</v>
      </c>
      <c r="CP12" s="199"/>
      <c r="CQ12" s="201"/>
      <c r="CR12" s="95"/>
      <c r="CT12" s="113">
        <v>41.08</v>
      </c>
      <c r="CV12" s="199"/>
      <c r="CW12" s="201"/>
      <c r="CX12" s="95"/>
      <c r="CZ12" s="113">
        <v>53.53</v>
      </c>
      <c r="DB12" s="199"/>
      <c r="DC12" s="201"/>
      <c r="DD12" s="95"/>
      <c r="DF12" s="113">
        <v>40</v>
      </c>
      <c r="DH12" s="199"/>
      <c r="DI12" s="201"/>
      <c r="DJ12" s="95"/>
      <c r="DL12" s="113">
        <v>1.2</v>
      </c>
      <c r="DN12" s="199"/>
      <c r="DO12" s="95"/>
      <c r="DQ12" s="113">
        <v>1.67</v>
      </c>
      <c r="DS12" s="199"/>
      <c r="DT12" s="95"/>
      <c r="DV12" s="113">
        <v>4.37</v>
      </c>
      <c r="DX12" s="199"/>
      <c r="DY12" s="95"/>
      <c r="EA12" s="113">
        <v>2.97</v>
      </c>
      <c r="EC12" s="199"/>
      <c r="ED12" s="95"/>
      <c r="EF12" s="113">
        <v>1.98</v>
      </c>
      <c r="EH12" s="199"/>
      <c r="EI12" s="95"/>
      <c r="EK12" s="113">
        <v>3.84</v>
      </c>
      <c r="EM12" s="199"/>
      <c r="EN12" s="95"/>
      <c r="EP12" s="113">
        <v>2.7</v>
      </c>
      <c r="ER12" s="199"/>
      <c r="ES12" s="95"/>
      <c r="EU12" s="113">
        <v>3.69</v>
      </c>
      <c r="EW12" s="199"/>
      <c r="EX12" s="95"/>
      <c r="EZ12" s="113">
        <v>1.25</v>
      </c>
      <c r="FB12" s="199"/>
      <c r="FC12" s="95"/>
      <c r="FF12" s="113">
        <v>1.1499999999999999</v>
      </c>
      <c r="FH12" s="199"/>
      <c r="FI12" s="95"/>
    </row>
    <row r="13" spans="1:165" x14ac:dyDescent="0.15">
      <c r="A13" s="5" t="s">
        <v>280</v>
      </c>
      <c r="B13" s="186"/>
      <c r="D13" s="113">
        <v>223369.59</v>
      </c>
      <c r="F13" s="199">
        <v>223371.43</v>
      </c>
      <c r="H13" s="95">
        <f t="shared" si="0"/>
        <v>-1.8399999999965075</v>
      </c>
      <c r="I13" s="186"/>
      <c r="J13" s="28"/>
      <c r="K13" s="113">
        <v>224935.73</v>
      </c>
      <c r="M13" s="199">
        <v>224935.88</v>
      </c>
      <c r="N13" s="113"/>
      <c r="O13" s="95">
        <f>+K13+K14-M13</f>
        <v>66.034444444463588</v>
      </c>
      <c r="P13" s="186"/>
      <c r="R13" s="113">
        <v>226014.57</v>
      </c>
      <c r="T13" s="199">
        <v>226012.18</v>
      </c>
      <c r="U13" s="201"/>
      <c r="V13" s="95">
        <f>+R13+R14-T13</f>
        <v>67.340000000025611</v>
      </c>
      <c r="W13" s="186"/>
      <c r="Y13" s="113">
        <v>226918.85</v>
      </c>
      <c r="AA13" s="199">
        <v>226973.05</v>
      </c>
      <c r="AB13" s="201"/>
      <c r="AC13" s="95">
        <f>+Y13+Y14-AA13</f>
        <v>1.0000000009313226E-2</v>
      </c>
      <c r="AD13" s="186"/>
      <c r="AF13" s="113">
        <v>226996.82</v>
      </c>
      <c r="AH13" s="199">
        <v>227076.99</v>
      </c>
      <c r="AI13" s="201"/>
      <c r="AJ13" s="95">
        <f>+AF13+AF14-AH13</f>
        <v>3.0000000027939677E-2</v>
      </c>
      <c r="AL13" s="113">
        <v>228883.5</v>
      </c>
      <c r="AN13" s="199">
        <v>228944.67</v>
      </c>
      <c r="AO13" s="201"/>
      <c r="AP13" s="95">
        <f>+AL13+AL14-AN13</f>
        <v>-7.0000000006984919E-2</v>
      </c>
      <c r="AR13" s="113">
        <v>153648</v>
      </c>
      <c r="AT13" s="199">
        <v>153680.67000000001</v>
      </c>
      <c r="AU13" s="201"/>
      <c r="AV13" s="95">
        <f>+AR13+AR14-AT13</f>
        <v>9.9999999802093953E-3</v>
      </c>
      <c r="AX13" s="113">
        <v>157923.51</v>
      </c>
      <c r="AZ13" s="199">
        <v>157986.88</v>
      </c>
      <c r="BA13" s="201"/>
      <c r="BB13" s="95">
        <f>+AX13+AX14-AZ13</f>
        <v>8.0000000016298145E-2</v>
      </c>
      <c r="BD13" s="113">
        <v>159621.69</v>
      </c>
      <c r="BF13" s="199">
        <v>159687.74</v>
      </c>
      <c r="BG13" s="201"/>
      <c r="BH13" s="95">
        <f>+BD13+BD14-BF13</f>
        <v>-9.9999999802093953E-3</v>
      </c>
      <c r="BJ13" s="113">
        <v>158549.56</v>
      </c>
      <c r="BL13" s="199">
        <v>158596.92000000001</v>
      </c>
      <c r="BM13" s="201"/>
      <c r="BN13" s="95">
        <f>+BJ13+BJ14-BL13</f>
        <v>2.9999999998835847E-2</v>
      </c>
      <c r="BP13" s="113">
        <v>157402.26999999999</v>
      </c>
      <c r="BR13" s="199">
        <v>157456.82</v>
      </c>
      <c r="BS13" s="201"/>
      <c r="BT13" s="95">
        <f>+BP13+BP14-BR13</f>
        <v>-5.0000000017462298E-2</v>
      </c>
      <c r="BV13" s="113">
        <v>154039.07999999999</v>
      </c>
      <c r="BX13" s="199">
        <v>154094.76</v>
      </c>
      <c r="BY13" s="201"/>
      <c r="BZ13" s="95">
        <f>+BV13+BV14-BX13</f>
        <v>-5.0000000017462298E-2</v>
      </c>
      <c r="CB13" s="113">
        <v>152730.18</v>
      </c>
      <c r="CD13" s="199">
        <v>152776.94</v>
      </c>
      <c r="CE13" s="201"/>
      <c r="CF13" s="95">
        <f>+CB13+CB14-CD13</f>
        <v>2.9999999998835847E-2</v>
      </c>
      <c r="CH13" s="113">
        <v>151728.41</v>
      </c>
      <c r="CJ13" s="199">
        <v>151780.59</v>
      </c>
      <c r="CK13" s="201"/>
      <c r="CL13" s="95">
        <f>+CH13+CH14-CJ13</f>
        <v>1.0000000009313226E-2</v>
      </c>
      <c r="CN13" s="113">
        <v>152179.6</v>
      </c>
      <c r="CP13" s="199">
        <v>152239.81</v>
      </c>
      <c r="CQ13" s="201"/>
      <c r="CR13" s="95">
        <f>+CN13+CN14-CP13</f>
        <v>-0.10999999998603016</v>
      </c>
      <c r="CT13" s="113">
        <v>154555.35999999999</v>
      </c>
      <c r="CV13" s="199">
        <v>154630.9</v>
      </c>
      <c r="CW13" s="201"/>
      <c r="CX13" s="95">
        <f>+CT13+CT14-CV13</f>
        <v>0</v>
      </c>
      <c r="CZ13" s="113">
        <v>156567.4</v>
      </c>
      <c r="DB13" s="199">
        <v>156665.38</v>
      </c>
      <c r="DC13" s="201"/>
      <c r="DD13" s="95">
        <f>+CZ13+CZ14-DB13</f>
        <v>-0.12000000002444722</v>
      </c>
      <c r="DF13" s="113">
        <v>157964.06</v>
      </c>
      <c r="DH13" s="199">
        <v>158041.87</v>
      </c>
      <c r="DI13" s="201"/>
      <c r="DJ13" s="95">
        <f>+DF13+DF14-DH13</f>
        <v>0.76999999998952262</v>
      </c>
      <c r="DL13" s="113">
        <v>158212.73000000001</v>
      </c>
      <c r="DN13" s="199">
        <v>158215.69</v>
      </c>
      <c r="DO13" s="95">
        <f>+DL13+DL14-DN13</f>
        <v>7.0000000006984919E-2</v>
      </c>
      <c r="DQ13" s="113">
        <v>156266.29</v>
      </c>
      <c r="DS13" s="199">
        <v>156270.01</v>
      </c>
      <c r="DT13" s="95">
        <f>+DQ13+DQ14-DS13</f>
        <v>0.26000000000931323</v>
      </c>
      <c r="DV13" s="113">
        <v>153129.26999999999</v>
      </c>
      <c r="DX13" s="199">
        <v>156104.75</v>
      </c>
      <c r="DY13" s="95">
        <f>+DV13+DV14-DX13</f>
        <v>-2972.4700000000012</v>
      </c>
      <c r="EA13" s="113">
        <f>155698.77</f>
        <v>155698.76999999999</v>
      </c>
      <c r="EC13" s="199">
        <v>158543.67999999999</v>
      </c>
      <c r="ED13" s="95">
        <f>+EA13+EA14-EC13</f>
        <v>-2840.8999999999942</v>
      </c>
      <c r="EF13" s="113">
        <v>158281.56</v>
      </c>
      <c r="EH13" s="199">
        <v>161106.49</v>
      </c>
      <c r="EI13" s="95">
        <f>+EF13+EF14-EH13</f>
        <v>-2821.4700000000012</v>
      </c>
      <c r="EK13" s="113">
        <v>162261.79</v>
      </c>
      <c r="EM13" s="199">
        <v>164985.91</v>
      </c>
      <c r="EN13" s="95">
        <f>+EK13+EK14-EM13</f>
        <v>-2721.7200000000012</v>
      </c>
      <c r="EP13" s="113">
        <v>168193.82</v>
      </c>
      <c r="ER13" s="199">
        <v>171161.34</v>
      </c>
      <c r="ES13" s="95">
        <f>+EP13+EP14-ER13</f>
        <v>-2964.1199999999953</v>
      </c>
      <c r="EU13" s="113">
        <v>172139.43</v>
      </c>
      <c r="EW13" s="199">
        <v>175341.2</v>
      </c>
      <c r="EX13" s="95">
        <f>+EU13+EU14-EW13</f>
        <v>-3199.3400000000256</v>
      </c>
      <c r="EZ13" s="113">
        <v>172022.16</v>
      </c>
      <c r="FB13" s="199">
        <v>175251.59</v>
      </c>
      <c r="FC13" s="95">
        <f>+EZ13+EZ14-FB13</f>
        <v>-3228.3500000000058</v>
      </c>
      <c r="FF13" s="113">
        <v>159122.9</v>
      </c>
      <c r="FH13" s="199">
        <v>165155.95000000001</v>
      </c>
      <c r="FI13" s="95">
        <f>+FF13+FF14-FH13</f>
        <v>-6031.9500000000116</v>
      </c>
    </row>
    <row r="14" spans="1:165" x14ac:dyDescent="0.15">
      <c r="A14" s="5" t="s">
        <v>84</v>
      </c>
      <c r="B14" s="186"/>
      <c r="D14" s="113">
        <v>57.47</v>
      </c>
      <c r="F14" s="199"/>
      <c r="H14" s="95">
        <f t="shared" si="0"/>
        <v>57.47</v>
      </c>
      <c r="I14" s="186"/>
      <c r="J14" s="28"/>
      <c r="K14" s="113">
        <v>66.184444444444438</v>
      </c>
      <c r="M14" s="199"/>
      <c r="N14" s="113"/>
      <c r="O14" s="95"/>
      <c r="P14" s="186"/>
      <c r="R14" s="113">
        <v>64.95</v>
      </c>
      <c r="T14" s="199"/>
      <c r="U14" s="201"/>
      <c r="V14" s="95"/>
      <c r="W14" s="186"/>
      <c r="Y14" s="113">
        <v>54.21</v>
      </c>
      <c r="AA14" s="199"/>
      <c r="AB14" s="201"/>
      <c r="AC14" s="95"/>
      <c r="AD14" s="186"/>
      <c r="AF14" s="113">
        <v>80.2</v>
      </c>
      <c r="AH14" s="199"/>
      <c r="AI14" s="201"/>
      <c r="AJ14" s="95"/>
      <c r="AL14" s="113">
        <v>61.1</v>
      </c>
      <c r="AN14" s="199"/>
      <c r="AO14" s="201"/>
      <c r="AP14" s="95"/>
      <c r="AR14" s="113">
        <v>32.68</v>
      </c>
      <c r="AT14" s="199"/>
      <c r="AU14" s="201"/>
      <c r="AV14" s="95"/>
      <c r="AX14" s="113">
        <v>63.45</v>
      </c>
      <c r="AZ14" s="199"/>
      <c r="BA14" s="201"/>
      <c r="BB14" s="95"/>
      <c r="BD14" s="113">
        <v>66.040000000000006</v>
      </c>
      <c r="BF14" s="199"/>
      <c r="BG14" s="201"/>
      <c r="BH14" s="95"/>
      <c r="BJ14" s="113">
        <v>47.39</v>
      </c>
      <c r="BL14" s="199"/>
      <c r="BM14" s="201"/>
      <c r="BN14" s="95"/>
      <c r="BP14" s="113">
        <v>54.5</v>
      </c>
      <c r="BR14" s="199"/>
      <c r="BS14" s="201"/>
      <c r="BT14" s="95"/>
      <c r="BV14" s="113">
        <v>55.63</v>
      </c>
      <c r="BX14" s="199"/>
      <c r="BY14" s="201"/>
      <c r="BZ14" s="95"/>
      <c r="CB14" s="113">
        <v>46.79</v>
      </c>
      <c r="CD14" s="199"/>
      <c r="CE14" s="201"/>
      <c r="CF14" s="95"/>
      <c r="CH14" s="113">
        <v>52.19</v>
      </c>
      <c r="CJ14" s="199"/>
      <c r="CK14" s="201"/>
      <c r="CL14" s="95"/>
      <c r="CN14" s="113">
        <v>60.1</v>
      </c>
      <c r="CP14" s="199"/>
      <c r="CQ14" s="201"/>
      <c r="CR14" s="95"/>
      <c r="CT14" s="113">
        <v>75.540000000000006</v>
      </c>
      <c r="CV14" s="199"/>
      <c r="CW14" s="201"/>
      <c r="CX14" s="95"/>
      <c r="CZ14" s="113">
        <v>97.86</v>
      </c>
      <c r="DB14" s="199"/>
      <c r="DC14" s="201"/>
      <c r="DD14" s="95"/>
      <c r="DF14" s="113">
        <v>78.58</v>
      </c>
      <c r="DH14" s="199"/>
      <c r="DI14" s="201"/>
      <c r="DJ14" s="95"/>
      <c r="DL14" s="113">
        <v>3.03</v>
      </c>
      <c r="DN14" s="199"/>
      <c r="DO14" s="95"/>
      <c r="DQ14" s="113">
        <v>3.98</v>
      </c>
      <c r="DS14" s="199"/>
      <c r="DT14" s="95"/>
      <c r="DV14" s="113">
        <v>3.01</v>
      </c>
      <c r="DX14" s="199"/>
      <c r="DY14" s="95"/>
      <c r="EA14" s="113">
        <v>4.01</v>
      </c>
      <c r="EC14" s="199"/>
      <c r="ED14" s="95"/>
      <c r="EF14" s="113">
        <v>3.46</v>
      </c>
      <c r="EH14" s="199"/>
      <c r="EI14" s="95"/>
      <c r="EK14" s="113">
        <v>2.4</v>
      </c>
      <c r="EM14" s="199"/>
      <c r="EN14" s="95"/>
      <c r="EP14" s="113">
        <v>3.4</v>
      </c>
      <c r="ER14" s="199"/>
      <c r="ES14" s="95"/>
      <c r="EU14" s="113">
        <v>2.4300000000000002</v>
      </c>
      <c r="EW14" s="199"/>
      <c r="EX14" s="95"/>
      <c r="EZ14" s="113">
        <v>1.08</v>
      </c>
      <c r="FB14" s="199"/>
      <c r="FC14" s="95"/>
      <c r="FF14" s="113">
        <v>1.1000000000000001</v>
      </c>
      <c r="FH14" s="199"/>
      <c r="FI14" s="95"/>
    </row>
    <row r="15" spans="1:165" x14ac:dyDescent="0.15">
      <c r="A15" s="5" t="s">
        <v>85</v>
      </c>
      <c r="B15" s="186"/>
      <c r="D15" s="113">
        <v>142201.01</v>
      </c>
      <c r="F15" s="199">
        <v>142206.66</v>
      </c>
      <c r="H15" s="95">
        <f t="shared" si="0"/>
        <v>-5.6499999999941792</v>
      </c>
      <c r="I15" s="186"/>
      <c r="J15" s="28"/>
      <c r="K15" s="113">
        <v>146505.76</v>
      </c>
      <c r="M15" s="199">
        <v>146510.29999999999</v>
      </c>
      <c r="N15" s="113"/>
      <c r="O15" s="95">
        <f>+K15+K16-M15</f>
        <v>67.544444444472902</v>
      </c>
      <c r="P15" s="186"/>
      <c r="R15" s="113">
        <v>149827.04</v>
      </c>
      <c r="T15" s="199">
        <v>149822.24</v>
      </c>
      <c r="U15" s="201"/>
      <c r="V15" s="95">
        <f>+R15+R16-T15</f>
        <v>60.650000000023283</v>
      </c>
      <c r="W15" s="186"/>
      <c r="Y15" s="113">
        <v>151189.65</v>
      </c>
      <c r="AA15" s="199">
        <v>151240.87</v>
      </c>
      <c r="AB15" s="201"/>
      <c r="AC15" s="95">
        <f>+Y15+Y16-AA15</f>
        <v>-2.6799999999930151</v>
      </c>
      <c r="AD15" s="186"/>
      <c r="AF15" s="113">
        <v>152707.25</v>
      </c>
      <c r="AH15" s="199">
        <v>152758.57999999999</v>
      </c>
      <c r="AI15" s="201"/>
      <c r="AJ15" s="95">
        <f>+AF15+AF16-AH15</f>
        <v>-3.9999999979045242E-2</v>
      </c>
      <c r="AL15" s="113">
        <v>154046.29999999999</v>
      </c>
      <c r="AN15" s="199">
        <v>154071.24</v>
      </c>
      <c r="AO15" s="201"/>
      <c r="AP15" s="95">
        <f>+AL15+AL16-AN15</f>
        <v>-0.14000000001396984</v>
      </c>
      <c r="AR15" s="113">
        <v>152935.37</v>
      </c>
      <c r="AT15" s="199">
        <v>152978.26999999999</v>
      </c>
      <c r="AU15" s="201"/>
      <c r="AV15" s="95">
        <f>+AR15+AR16-AT15</f>
        <v>2.9999999998835847E-2</v>
      </c>
      <c r="AX15" s="113">
        <v>153119.79999999999</v>
      </c>
      <c r="AZ15" s="199">
        <v>153166.21</v>
      </c>
      <c r="BA15" s="201"/>
      <c r="BB15" s="95">
        <f>+AX15+AX16-AZ15</f>
        <v>-5.0000000017462298E-2</v>
      </c>
      <c r="BD15" s="113">
        <v>156352.95000000001</v>
      </c>
      <c r="BF15" s="199">
        <v>156405.35</v>
      </c>
      <c r="BG15" s="201"/>
      <c r="BH15" s="95">
        <f>+BD15+BD16-BF15</f>
        <v>-4.9999999988358468E-2</v>
      </c>
      <c r="BJ15" s="113">
        <v>160311.42000000001</v>
      </c>
      <c r="BL15" s="199">
        <v>160349.03</v>
      </c>
      <c r="BM15" s="201"/>
      <c r="BN15" s="95">
        <f>+BJ15+BJ16-BL15</f>
        <v>-8.999999999650754E-2</v>
      </c>
      <c r="BP15" s="113">
        <v>161890.69</v>
      </c>
      <c r="BR15" s="199">
        <v>161936.47</v>
      </c>
      <c r="BS15" s="201"/>
      <c r="BT15" s="95">
        <f>+BP15+BP16-BR15</f>
        <v>1.9999999989522621E-2</v>
      </c>
      <c r="BV15" s="113">
        <v>161268.19</v>
      </c>
      <c r="BX15" s="199">
        <v>161315.12</v>
      </c>
      <c r="BY15" s="201"/>
      <c r="BZ15" s="95">
        <f>+BV15+BV16-BX15</f>
        <v>0.13000000000465661</v>
      </c>
      <c r="CB15" s="113">
        <v>160290.18</v>
      </c>
      <c r="CD15" s="199">
        <v>160331.71</v>
      </c>
      <c r="CE15" s="201"/>
      <c r="CF15" s="95">
        <f>+CB15+CB16-CD15</f>
        <v>5.9999999997671694E-2</v>
      </c>
      <c r="CH15" s="113">
        <v>156941.42000000001</v>
      </c>
      <c r="CJ15" s="199">
        <v>156988.51999999999</v>
      </c>
      <c r="CK15" s="201"/>
      <c r="CL15" s="95">
        <f>+CH15+CH16-CJ15</f>
        <v>-3.9999999979045242E-2</v>
      </c>
      <c r="CN15" s="113">
        <v>155179.47</v>
      </c>
      <c r="CP15" s="199">
        <v>155236.79</v>
      </c>
      <c r="CQ15" s="201"/>
      <c r="CR15" s="95">
        <f>+CN15+CN16-CP15</f>
        <v>-1.0400000000081491</v>
      </c>
      <c r="CT15" s="113">
        <v>155036.04</v>
      </c>
      <c r="CV15" s="199">
        <v>155109.64000000001</v>
      </c>
      <c r="CW15" s="201"/>
      <c r="CX15" s="95">
        <f>+CT15+CT16-CV15</f>
        <v>-8.999999999650754E-2</v>
      </c>
      <c r="CZ15" s="113">
        <v>155150.67000000001</v>
      </c>
      <c r="DB15" s="199">
        <v>155244.06</v>
      </c>
      <c r="DC15" s="201"/>
      <c r="DD15" s="95">
        <f>+CZ15+CZ16-DB15</f>
        <v>8.0000000016298145E-2</v>
      </c>
      <c r="DF15" s="113">
        <v>156891.03</v>
      </c>
      <c r="DH15" s="199">
        <v>156973.97</v>
      </c>
      <c r="DI15" s="201"/>
      <c r="DJ15" s="95">
        <f>+DF15+DF16-DH15</f>
        <v>2.9999999998835847E-2</v>
      </c>
      <c r="DL15" s="113">
        <v>157531.94</v>
      </c>
      <c r="DN15" s="199">
        <v>157540.85999999999</v>
      </c>
      <c r="DO15" s="95">
        <f>+DL15+DL16-DN15</f>
        <v>-7.0899999999965075</v>
      </c>
      <c r="DQ15" s="113">
        <v>158267.32999999999</v>
      </c>
      <c r="DS15" s="199">
        <v>158288.59</v>
      </c>
      <c r="DT15" s="95">
        <f>+DQ15+DQ16-DS15</f>
        <v>0.45999999999185093</v>
      </c>
      <c r="DV15" s="113">
        <v>155153.98000000001</v>
      </c>
      <c r="DX15" s="199">
        <v>159024.45000000001</v>
      </c>
      <c r="DY15" s="95">
        <f>+DV15+DV16-DX15</f>
        <v>-3842.1700000000128</v>
      </c>
      <c r="EA15" s="113">
        <f>154673.3</f>
        <v>154673.29999999999</v>
      </c>
      <c r="EC15" s="199">
        <v>158353.43</v>
      </c>
      <c r="ED15" s="95">
        <f>+EA15+EA16-EC15</f>
        <v>-3626.929999999993</v>
      </c>
      <c r="EF15" s="113">
        <v>155487.26</v>
      </c>
      <c r="EH15" s="199">
        <v>159054</v>
      </c>
      <c r="EI15" s="95">
        <f>+EF15+EF16-EH15</f>
        <v>-3521.9100000000035</v>
      </c>
      <c r="EK15" s="113">
        <v>158367.99</v>
      </c>
      <c r="EM15" s="199">
        <v>161978.48000000001</v>
      </c>
      <c r="EN15" s="95">
        <f>+EK15+EK16-EM15</f>
        <v>-3589.5600000000268</v>
      </c>
      <c r="EP15" s="113">
        <v>160181.32999999999</v>
      </c>
      <c r="ER15" s="199">
        <v>164061.10999999999</v>
      </c>
      <c r="ES15" s="95">
        <f>+EP15+EP16-ER15</f>
        <v>-3863.3399999999965</v>
      </c>
      <c r="EU15" s="113">
        <v>162956.51</v>
      </c>
      <c r="EW15" s="199">
        <v>167217.19</v>
      </c>
      <c r="EX15" s="95">
        <f>+EU15+EU16-EW15</f>
        <v>-4258.070000000007</v>
      </c>
      <c r="EZ15" s="113">
        <v>168409.33</v>
      </c>
      <c r="FB15" s="199">
        <v>172943.44</v>
      </c>
      <c r="FC15" s="95">
        <f>+EZ15+EZ16-FB15</f>
        <v>-4532.7800000000279</v>
      </c>
      <c r="FF15" s="113">
        <v>165406.59</v>
      </c>
      <c r="FH15" s="199">
        <v>172307.5</v>
      </c>
      <c r="FI15" s="95">
        <f>+FF15+FF16-FH15</f>
        <v>-6899.9800000000105</v>
      </c>
    </row>
    <row r="16" spans="1:165" x14ac:dyDescent="0.15">
      <c r="A16" s="5" t="s">
        <v>84</v>
      </c>
      <c r="B16" s="186"/>
      <c r="D16" s="113">
        <v>60.13</v>
      </c>
      <c r="F16" s="199"/>
      <c r="H16" s="95">
        <f t="shared" si="0"/>
        <v>60.13</v>
      </c>
      <c r="I16" s="186"/>
      <c r="J16" s="28"/>
      <c r="K16" s="113">
        <v>72.084444444444443</v>
      </c>
      <c r="M16" s="199"/>
      <c r="N16" s="113"/>
      <c r="O16" s="95"/>
      <c r="P16" s="186"/>
      <c r="R16" s="113">
        <v>55.85</v>
      </c>
      <c r="T16" s="199"/>
      <c r="U16" s="201"/>
      <c r="V16" s="95"/>
      <c r="W16" s="186"/>
      <c r="Y16" s="113">
        <v>48.54</v>
      </c>
      <c r="AA16" s="199"/>
      <c r="AB16" s="201"/>
      <c r="AC16" s="95"/>
      <c r="AD16" s="186"/>
      <c r="AF16" s="113">
        <v>51.29</v>
      </c>
      <c r="AH16" s="199"/>
      <c r="AI16" s="201"/>
      <c r="AJ16" s="95"/>
      <c r="AL16" s="113">
        <v>24.8</v>
      </c>
      <c r="AN16" s="199"/>
      <c r="AO16" s="201"/>
      <c r="AP16" s="95"/>
      <c r="AR16" s="113">
        <v>42.93</v>
      </c>
      <c r="AT16" s="199"/>
      <c r="AU16" s="201"/>
      <c r="AV16" s="95"/>
      <c r="AX16" s="113">
        <v>46.36</v>
      </c>
      <c r="AZ16" s="199"/>
      <c r="BA16" s="201"/>
      <c r="BB16" s="95"/>
      <c r="BD16" s="113">
        <v>52.35</v>
      </c>
      <c r="BF16" s="199"/>
      <c r="BG16" s="201"/>
      <c r="BH16" s="95"/>
      <c r="BJ16" s="113">
        <v>37.520000000000003</v>
      </c>
      <c r="BL16" s="199"/>
      <c r="BM16" s="201"/>
      <c r="BN16" s="95"/>
      <c r="BP16" s="113">
        <v>45.8</v>
      </c>
      <c r="BR16" s="199"/>
      <c r="BS16" s="201"/>
      <c r="BT16" s="95"/>
      <c r="BV16" s="113">
        <v>47.06</v>
      </c>
      <c r="BX16" s="199"/>
      <c r="BY16" s="201"/>
      <c r="BZ16" s="95"/>
      <c r="CB16" s="113">
        <v>41.59</v>
      </c>
      <c r="CD16" s="199"/>
      <c r="CE16" s="201"/>
      <c r="CF16" s="95"/>
      <c r="CH16" s="113">
        <v>47.06</v>
      </c>
      <c r="CJ16" s="199"/>
      <c r="CK16" s="201"/>
      <c r="CL16" s="95"/>
      <c r="CN16" s="113">
        <v>56.28</v>
      </c>
      <c r="CP16" s="199"/>
      <c r="CQ16" s="201"/>
      <c r="CR16" s="95"/>
      <c r="CT16" s="113">
        <v>73.510000000000005</v>
      </c>
      <c r="CV16" s="199"/>
      <c r="CW16" s="201"/>
      <c r="CX16" s="95"/>
      <c r="CZ16" s="113">
        <v>93.47</v>
      </c>
      <c r="DB16" s="199"/>
      <c r="DC16" s="201"/>
      <c r="DD16" s="95"/>
      <c r="DF16" s="113">
        <v>82.97</v>
      </c>
      <c r="DH16" s="199"/>
      <c r="DI16" s="201"/>
      <c r="DJ16" s="95"/>
      <c r="DL16" s="113">
        <v>1.83</v>
      </c>
      <c r="DN16" s="199"/>
      <c r="DO16" s="95"/>
      <c r="DQ16" s="113">
        <v>21.72</v>
      </c>
      <c r="DS16" s="199"/>
      <c r="DT16" s="95"/>
      <c r="DV16" s="113">
        <v>28.3</v>
      </c>
      <c r="DX16" s="199"/>
      <c r="DY16" s="95"/>
      <c r="EA16" s="113">
        <v>53.2</v>
      </c>
      <c r="EC16" s="199"/>
      <c r="ED16" s="95"/>
      <c r="EF16" s="113">
        <v>44.83</v>
      </c>
      <c r="EH16" s="199"/>
      <c r="EI16" s="95"/>
      <c r="EK16" s="113">
        <v>20.93</v>
      </c>
      <c r="EM16" s="199"/>
      <c r="EN16" s="95"/>
      <c r="EP16" s="113">
        <v>16.440000000000001</v>
      </c>
      <c r="ER16" s="199"/>
      <c r="ES16" s="95"/>
      <c r="EU16" s="113">
        <v>2.61</v>
      </c>
      <c r="EW16" s="199"/>
      <c r="EX16" s="95"/>
      <c r="EZ16" s="113">
        <v>1.33</v>
      </c>
      <c r="FB16" s="199"/>
      <c r="FC16" s="95"/>
      <c r="FF16" s="113">
        <v>0.93</v>
      </c>
      <c r="FH16" s="199"/>
      <c r="FI16" s="95"/>
    </row>
    <row r="17" spans="1:165" x14ac:dyDescent="0.15">
      <c r="A17" s="5" t="s">
        <v>86</v>
      </c>
      <c r="B17" s="186"/>
      <c r="D17" s="113">
        <v>198821.74</v>
      </c>
      <c r="F17" s="199">
        <v>244193.06</v>
      </c>
      <c r="I17" s="186"/>
      <c r="J17" s="28"/>
      <c r="K17" s="113">
        <v>205249.06</v>
      </c>
      <c r="M17" s="199">
        <v>253382.48</v>
      </c>
      <c r="N17" s="113"/>
      <c r="O17" s="95">
        <f>+K17+K18+K19+K20-M17</f>
        <v>465.0711111111159</v>
      </c>
      <c r="P17" s="186"/>
      <c r="R17" s="113">
        <v>214190.77</v>
      </c>
      <c r="T17" s="199">
        <v>262916.26</v>
      </c>
      <c r="U17" s="201"/>
      <c r="V17" s="95">
        <f>+R17+R18+R19+R20-T17</f>
        <v>30.440000000002328</v>
      </c>
      <c r="W17" s="186"/>
      <c r="Y17" s="113">
        <v>221618.04</v>
      </c>
      <c r="AA17" s="199">
        <v>273895.86</v>
      </c>
      <c r="AB17" s="201"/>
      <c r="AC17" s="95">
        <f>+Y17+Y18+Y19+Y20-AA17</f>
        <v>-241.52999999991152</v>
      </c>
      <c r="AD17" s="186"/>
      <c r="AF17" s="113">
        <v>225764.06</v>
      </c>
      <c r="AH17" s="199">
        <v>281172.49</v>
      </c>
      <c r="AI17" s="201"/>
      <c r="AJ17" s="95">
        <f>+AF17+AF18+AF19+AF20-AH17</f>
        <v>-220.89000000001397</v>
      </c>
      <c r="AL17" s="113">
        <v>286087.3</v>
      </c>
      <c r="AN17" s="199">
        <v>286515.78000000003</v>
      </c>
      <c r="AO17" s="201"/>
      <c r="AP17" s="95">
        <f>+AL17+AL18-AN17</f>
        <v>-230.18000000005122</v>
      </c>
      <c r="AR17" s="113">
        <v>290068.78000000003</v>
      </c>
      <c r="AT17" s="199">
        <v>290473.73</v>
      </c>
      <c r="AU17" s="201"/>
      <c r="AV17" s="95">
        <f>+AR17+AR18-AT17</f>
        <v>-252.84999999997672</v>
      </c>
      <c r="AX17" s="113">
        <v>291708.21000000002</v>
      </c>
      <c r="AZ17" s="199">
        <v>292550.90000000002</v>
      </c>
      <c r="BA17" s="201"/>
      <c r="BB17" s="95">
        <f>+AX17+AX18-AZ17</f>
        <v>-596.10999999998603</v>
      </c>
      <c r="BD17" s="113">
        <v>295293.37</v>
      </c>
      <c r="BF17" s="199">
        <v>296244</v>
      </c>
      <c r="BG17" s="201"/>
      <c r="BH17" s="95">
        <f>+BD17+BD18-BF17</f>
        <v>-596.4100000000326</v>
      </c>
      <c r="BJ17" s="113">
        <v>298303.84000000003</v>
      </c>
      <c r="BL17" s="199">
        <v>299078.84999999998</v>
      </c>
      <c r="BM17" s="201"/>
      <c r="BN17" s="95">
        <f>+BJ17+BJ18-BL17</f>
        <v>-594.23999999993248</v>
      </c>
      <c r="BP17" s="113">
        <v>301474.7</v>
      </c>
      <c r="BR17" s="199">
        <v>302291.89</v>
      </c>
      <c r="BS17" s="201"/>
      <c r="BT17" s="95">
        <f>+BP17+BP18-BR17</f>
        <v>-694.47000000003027</v>
      </c>
      <c r="BV17" s="113">
        <v>306635.8</v>
      </c>
      <c r="BX17" s="199">
        <v>307642.33</v>
      </c>
      <c r="BY17" s="201"/>
      <c r="BZ17" s="95">
        <f>+BV17+BV18-BX17</f>
        <v>-798.32000000000698</v>
      </c>
      <c r="CB17" s="113">
        <v>310583.69</v>
      </c>
      <c r="CD17" s="199">
        <v>311846.17</v>
      </c>
      <c r="CE17" s="201"/>
      <c r="CF17" s="95">
        <f>+CB17+CB18-CD17</f>
        <v>-1100.3099999999977</v>
      </c>
      <c r="CH17" s="113">
        <v>312436.67</v>
      </c>
      <c r="CJ17" s="199">
        <v>313539.78999999998</v>
      </c>
      <c r="CK17" s="201"/>
      <c r="CL17" s="95">
        <f>+CH17+CH18-CJ17</f>
        <v>-972.15999999997439</v>
      </c>
      <c r="CN17" s="113">
        <v>312844.59000000003</v>
      </c>
      <c r="CP17" s="199">
        <v>313939.37</v>
      </c>
      <c r="CQ17" s="201"/>
      <c r="CR17" s="95">
        <f>+CN17+CN18-CP17</f>
        <v>-880.87999999994645</v>
      </c>
      <c r="CT17" s="113">
        <v>312215.98</v>
      </c>
      <c r="CV17" s="199">
        <v>313168.40000000002</v>
      </c>
      <c r="CW17" s="201"/>
      <c r="CX17" s="95">
        <f>+CT17+CT18-CV17</f>
        <v>-728.1600000000326</v>
      </c>
      <c r="CZ17" s="113">
        <v>313525.37</v>
      </c>
      <c r="DB17" s="199">
        <v>315006.52</v>
      </c>
      <c r="DC17" s="201"/>
      <c r="DD17" s="95">
        <f>+CZ17+CZ18-DB17</f>
        <v>-791.5</v>
      </c>
      <c r="DF17" s="113">
        <v>312043.32</v>
      </c>
      <c r="DH17" s="199">
        <v>313510.27</v>
      </c>
      <c r="DI17" s="201"/>
      <c r="DJ17" s="95">
        <f>+DF17+DF18-DH17</f>
        <v>-912.89000000001397</v>
      </c>
      <c r="DL17" s="113">
        <v>307302.49</v>
      </c>
      <c r="DN17" s="199">
        <v>308727.46000000002</v>
      </c>
      <c r="DO17" s="95">
        <f>+DL17+DL18-DN17</f>
        <v>-1006.070000000007</v>
      </c>
      <c r="DQ17" s="113">
        <v>306210.46000000002</v>
      </c>
      <c r="DS17" s="199">
        <v>307650.45</v>
      </c>
      <c r="DT17" s="95">
        <f>+DQ17+DQ18-DS17</f>
        <v>-623.64000000001397</v>
      </c>
      <c r="DV17" s="113">
        <v>289991.40000000002</v>
      </c>
      <c r="DX17" s="199">
        <v>306775.55</v>
      </c>
      <c r="DY17" s="95">
        <f>+DV17+DV18-DX17</f>
        <v>-16075.799999999988</v>
      </c>
      <c r="EA17" s="113">
        <f>291991.05</f>
        <v>291991.05</v>
      </c>
      <c r="EC17" s="199">
        <v>308269.95</v>
      </c>
      <c r="ED17" s="95">
        <f>+EA17+EA18-EC17</f>
        <v>-15491.320000000007</v>
      </c>
      <c r="EF17" s="113">
        <v>292761.26</v>
      </c>
      <c r="EH17" s="199">
        <v>308471.44</v>
      </c>
      <c r="EI17" s="95">
        <f>+EF17+EF18-EH17</f>
        <v>-14897.080000000016</v>
      </c>
      <c r="EK17" s="113">
        <v>292791.96000000002</v>
      </c>
      <c r="EM17" s="199">
        <v>311156.09000000003</v>
      </c>
      <c r="EN17" s="95">
        <f>+EK17+EK18-EM17</f>
        <v>-17546.119999999995</v>
      </c>
      <c r="EP17" s="113">
        <v>292193.21000000002</v>
      </c>
      <c r="ER17" s="199">
        <v>307362.19</v>
      </c>
      <c r="ES17" s="95">
        <f>+EP17+EP18-ER17</f>
        <v>-14383.52999999997</v>
      </c>
      <c r="EU17" s="113">
        <v>287827.46000000002</v>
      </c>
      <c r="EW17" s="199">
        <v>304445.21999999997</v>
      </c>
      <c r="EX17" s="95">
        <f>+EU17+EU18-EW17</f>
        <v>-15943.29999999993</v>
      </c>
      <c r="EZ17" s="113">
        <v>288197.58</v>
      </c>
      <c r="FB17" s="199">
        <v>308179.71999999997</v>
      </c>
      <c r="FC17" s="95">
        <f>+EZ17+EZ18-FB17</f>
        <v>-19194.639999999956</v>
      </c>
      <c r="FF17" s="113">
        <v>288105.77</v>
      </c>
      <c r="FH17" s="199">
        <v>306600.87</v>
      </c>
      <c r="FI17" s="95">
        <f>+FF17+FF18-FH17</f>
        <v>-18018.969999999972</v>
      </c>
    </row>
    <row r="18" spans="1:165" x14ac:dyDescent="0.15">
      <c r="A18" s="5" t="s">
        <v>84</v>
      </c>
      <c r="B18" s="186"/>
      <c r="D18" s="113">
        <v>277.43</v>
      </c>
      <c r="F18" s="199"/>
      <c r="H18" s="95">
        <f>SUM(D17:D20)-F17</f>
        <v>258.27999999999884</v>
      </c>
      <c r="I18" s="186"/>
      <c r="J18" s="28"/>
      <c r="K18" s="113">
        <v>387.14111111111112</v>
      </c>
      <c r="M18" s="199"/>
      <c r="N18" s="113"/>
      <c r="O18" s="95"/>
      <c r="P18" s="186"/>
      <c r="R18" s="113">
        <v>189.69</v>
      </c>
      <c r="T18" s="199"/>
      <c r="U18" s="201"/>
      <c r="V18" s="95"/>
      <c r="W18" s="186"/>
      <c r="Y18" s="113">
        <v>98.48</v>
      </c>
      <c r="AA18" s="199"/>
      <c r="AB18" s="201"/>
      <c r="AC18" s="95"/>
      <c r="AD18" s="186"/>
      <c r="AF18" s="113">
        <v>320.23</v>
      </c>
      <c r="AH18" s="199"/>
      <c r="AI18" s="201"/>
      <c r="AJ18" s="95"/>
      <c r="AL18" s="113">
        <v>198.3</v>
      </c>
      <c r="AN18" s="199"/>
      <c r="AO18" s="201"/>
      <c r="AP18" s="95"/>
      <c r="AR18" s="113">
        <v>152.1</v>
      </c>
      <c r="AT18" s="199"/>
      <c r="AU18" s="201"/>
      <c r="AV18" s="95"/>
      <c r="AX18" s="113">
        <v>246.58</v>
      </c>
      <c r="AZ18" s="199"/>
      <c r="BA18" s="201"/>
      <c r="BB18" s="95"/>
      <c r="BD18" s="113">
        <v>354.22</v>
      </c>
      <c r="BF18" s="199"/>
      <c r="BG18" s="201"/>
      <c r="BH18" s="95"/>
      <c r="BJ18" s="113">
        <v>180.77</v>
      </c>
      <c r="BL18" s="199"/>
      <c r="BM18" s="201"/>
      <c r="BN18" s="95"/>
      <c r="BP18" s="113">
        <v>122.72</v>
      </c>
      <c r="BR18" s="199"/>
      <c r="BS18" s="201"/>
      <c r="BT18" s="95"/>
      <c r="BV18" s="113">
        <v>208.21</v>
      </c>
      <c r="BX18" s="199"/>
      <c r="BY18" s="201"/>
      <c r="BZ18" s="95"/>
      <c r="CB18" s="113">
        <v>162.16999999999999</v>
      </c>
      <c r="CD18" s="199"/>
      <c r="CE18" s="201"/>
      <c r="CF18" s="95"/>
      <c r="CH18" s="113">
        <v>130.96</v>
      </c>
      <c r="CJ18" s="199"/>
      <c r="CK18" s="201"/>
      <c r="CL18" s="95"/>
      <c r="CN18" s="113">
        <v>213.9</v>
      </c>
      <c r="CP18" s="199"/>
      <c r="CQ18" s="201"/>
      <c r="CR18" s="95"/>
      <c r="CT18" s="113">
        <v>224.26</v>
      </c>
      <c r="CV18" s="199"/>
      <c r="CW18" s="201"/>
      <c r="CX18" s="95"/>
      <c r="CZ18" s="113">
        <v>689.65</v>
      </c>
      <c r="DB18" s="199"/>
      <c r="DC18" s="201"/>
      <c r="DD18" s="95"/>
      <c r="DF18" s="113">
        <v>554.05999999999995</v>
      </c>
      <c r="DH18" s="199"/>
      <c r="DI18" s="201"/>
      <c r="DJ18" s="95"/>
      <c r="DL18" s="113">
        <v>418.9</v>
      </c>
      <c r="DN18" s="199"/>
      <c r="DO18" s="95"/>
      <c r="DQ18" s="113">
        <v>816.35</v>
      </c>
      <c r="DS18" s="199"/>
      <c r="DT18" s="95"/>
      <c r="DV18" s="113">
        <v>708.35</v>
      </c>
      <c r="DX18" s="199"/>
      <c r="DY18" s="95"/>
      <c r="EA18" s="113">
        <v>787.58</v>
      </c>
      <c r="EC18" s="199"/>
      <c r="ED18" s="95"/>
      <c r="EF18" s="113">
        <v>813.1</v>
      </c>
      <c r="EH18" s="199"/>
      <c r="EI18" s="95"/>
      <c r="EK18" s="113">
        <v>818.01</v>
      </c>
      <c r="EM18" s="199"/>
      <c r="EN18" s="95"/>
      <c r="EP18" s="113">
        <v>785.45</v>
      </c>
      <c r="ER18" s="199"/>
      <c r="ES18" s="95"/>
      <c r="EU18" s="113">
        <v>674.46</v>
      </c>
      <c r="EW18" s="199"/>
      <c r="EX18" s="95"/>
      <c r="EZ18" s="113">
        <v>787.5</v>
      </c>
      <c r="FB18" s="199"/>
      <c r="FC18" s="95"/>
      <c r="FF18" s="113">
        <v>476.13</v>
      </c>
      <c r="FH18" s="199"/>
      <c r="FI18" s="95"/>
    </row>
    <row r="19" spans="1:165" x14ac:dyDescent="0.15">
      <c r="A19" s="5" t="s">
        <v>475</v>
      </c>
      <c r="B19" s="186"/>
      <c r="D19" s="113">
        <f>42622.61+8.36</f>
        <v>42630.97</v>
      </c>
      <c r="F19" s="199"/>
      <c r="H19" s="95"/>
      <c r="I19" s="186"/>
      <c r="K19" s="113">
        <v>45208.29</v>
      </c>
      <c r="M19" s="199"/>
      <c r="N19" s="113"/>
      <c r="O19" s="95"/>
      <c r="P19" s="186"/>
      <c r="R19" s="113">
        <v>45542</v>
      </c>
      <c r="T19" s="31"/>
      <c r="U19" s="105"/>
      <c r="V19" s="95"/>
      <c r="W19" s="186"/>
      <c r="Y19" s="113">
        <v>48566.41</v>
      </c>
      <c r="AA19" s="31"/>
      <c r="AB19" s="105"/>
      <c r="AC19" s="95"/>
      <c r="AD19" s="186"/>
      <c r="AF19" s="113">
        <v>51396.2</v>
      </c>
      <c r="AH19" s="31"/>
      <c r="AI19" s="105"/>
      <c r="AJ19" s="95"/>
      <c r="AL19" s="202"/>
      <c r="AN19" s="31"/>
      <c r="AO19" s="105"/>
      <c r="AP19" s="95"/>
      <c r="AR19" s="202"/>
      <c r="AT19" s="31"/>
      <c r="AU19" s="105"/>
      <c r="AV19" s="95"/>
      <c r="AX19" s="202"/>
      <c r="AZ19" s="31"/>
      <c r="BA19" s="105"/>
      <c r="BB19" s="95"/>
      <c r="BD19" s="202"/>
      <c r="BF19" s="31"/>
      <c r="BG19" s="105"/>
      <c r="BH19" s="95"/>
      <c r="BJ19" s="202"/>
      <c r="BL19" s="31"/>
      <c r="BM19" s="105"/>
      <c r="BN19" s="95"/>
      <c r="BP19" s="202"/>
      <c r="BR19" s="31"/>
      <c r="BS19" s="105"/>
      <c r="BT19" s="95"/>
      <c r="BV19" s="202"/>
      <c r="BX19" s="31"/>
      <c r="BY19" s="105"/>
      <c r="BZ19" s="95"/>
      <c r="CB19" s="202"/>
      <c r="CD19" s="31"/>
      <c r="CE19" s="105"/>
      <c r="CF19" s="95"/>
      <c r="CH19" s="202"/>
      <c r="CJ19" s="31"/>
      <c r="CK19" s="105"/>
      <c r="CL19" s="95"/>
      <c r="CN19" s="202"/>
      <c r="CP19" s="31"/>
      <c r="CQ19" s="105"/>
      <c r="CR19" s="95"/>
      <c r="CT19" s="202"/>
      <c r="CV19" s="31"/>
      <c r="CW19" s="105"/>
      <c r="CX19" s="95"/>
      <c r="CZ19" s="202"/>
      <c r="DB19" s="31"/>
      <c r="DC19" s="105"/>
      <c r="DD19" s="95"/>
      <c r="DF19" s="202"/>
      <c r="DH19" s="31"/>
      <c r="DI19" s="105"/>
      <c r="DJ19" s="95"/>
      <c r="DL19" s="202"/>
      <c r="DN19" s="31"/>
      <c r="DO19" s="95"/>
      <c r="DQ19" s="202"/>
      <c r="DS19" s="31"/>
      <c r="DT19" s="95"/>
      <c r="DV19" s="202">
        <f>1740.48+97.87</f>
        <v>1838.35</v>
      </c>
      <c r="DX19" s="31">
        <v>2060.6</v>
      </c>
      <c r="DY19" s="95"/>
      <c r="EA19" s="113">
        <f>2492.53+42.7</f>
        <v>2535.23</v>
      </c>
      <c r="EC19" s="199">
        <v>2921.32</v>
      </c>
      <c r="ED19" s="95"/>
      <c r="EF19" s="203">
        <v>3172.69</v>
      </c>
      <c r="EG19" s="204"/>
      <c r="EH19" s="205">
        <v>3550</v>
      </c>
      <c r="EI19" s="206"/>
      <c r="EJ19" s="207"/>
      <c r="EK19" s="203">
        <f>3606.52+56.21</f>
        <v>3662.73</v>
      </c>
      <c r="EL19" s="204"/>
      <c r="EM19" s="205">
        <v>3657.89</v>
      </c>
      <c r="EN19" s="95"/>
      <c r="EO19" s="207"/>
      <c r="EP19" s="203">
        <f>4244.75+67.04</f>
        <v>4311.79</v>
      </c>
      <c r="EQ19" s="204"/>
      <c r="ER19" s="205">
        <f>4679.71+101.65</f>
        <v>4781.3599999999997</v>
      </c>
      <c r="ES19" s="95"/>
      <c r="ET19" s="207"/>
      <c r="EU19" s="203">
        <f>4964.4+86.6</f>
        <v>5051</v>
      </c>
      <c r="EV19" s="204"/>
      <c r="EW19" s="205">
        <v>5553</v>
      </c>
      <c r="EX19" s="95"/>
      <c r="EY19" s="207"/>
      <c r="EZ19" s="203">
        <f>5418.97+72.17</f>
        <v>5491.14</v>
      </c>
      <c r="FA19" s="204"/>
      <c r="FB19" s="205">
        <v>5347.83</v>
      </c>
      <c r="FC19" s="95"/>
      <c r="FE19" s="207"/>
      <c r="FF19" s="203">
        <f>4567.17+61.56</f>
        <v>4628.7300000000005</v>
      </c>
      <c r="FG19" s="204"/>
      <c r="FH19" s="205">
        <f>4999.57+115.79</f>
        <v>5115.3599999999997</v>
      </c>
      <c r="FI19" s="95"/>
    </row>
    <row r="20" spans="1:165" ht="11.25" thickBot="1" x14ac:dyDescent="0.2">
      <c r="A20" s="5" t="s">
        <v>476</v>
      </c>
      <c r="B20" s="186"/>
      <c r="D20" s="127">
        <f>2706.92+14.28</f>
        <v>2721.2000000000003</v>
      </c>
      <c r="F20" s="208"/>
      <c r="H20" s="209"/>
      <c r="I20" s="186"/>
      <c r="K20" s="127">
        <v>3003.06</v>
      </c>
      <c r="M20" s="208"/>
      <c r="N20" s="113"/>
      <c r="O20" s="209"/>
      <c r="P20" s="186"/>
      <c r="R20" s="127">
        <v>3024.24</v>
      </c>
      <c r="T20" s="208"/>
      <c r="U20" s="201"/>
      <c r="V20" s="209"/>
      <c r="W20" s="186"/>
      <c r="Y20" s="127">
        <v>3371.4</v>
      </c>
      <c r="AA20" s="208"/>
      <c r="AB20" s="201"/>
      <c r="AC20" s="209"/>
      <c r="AD20" s="186"/>
      <c r="AF20" s="127">
        <v>3471.11</v>
      </c>
      <c r="AH20" s="208"/>
      <c r="AI20" s="201"/>
      <c r="AJ20" s="209"/>
      <c r="AL20" s="210"/>
      <c r="AN20" s="208"/>
      <c r="AO20" s="201"/>
      <c r="AP20" s="209"/>
      <c r="AR20" s="210"/>
      <c r="AT20" s="199"/>
      <c r="AU20" s="201"/>
      <c r="AV20" s="209"/>
      <c r="AX20" s="210"/>
      <c r="AZ20" s="199"/>
      <c r="BA20" s="201"/>
      <c r="BB20" s="209"/>
      <c r="BD20" s="210"/>
      <c r="BF20" s="199"/>
      <c r="BG20" s="201"/>
      <c r="BH20" s="209"/>
      <c r="BJ20" s="210"/>
      <c r="BL20" s="199"/>
      <c r="BM20" s="201"/>
      <c r="BN20" s="209"/>
      <c r="BP20" s="210"/>
      <c r="BR20" s="199"/>
      <c r="BS20" s="201"/>
      <c r="BT20" s="209"/>
      <c r="BV20" s="210"/>
      <c r="BX20" s="199"/>
      <c r="BY20" s="201"/>
      <c r="BZ20" s="209"/>
      <c r="CB20" s="210"/>
      <c r="CD20" s="199"/>
      <c r="CE20" s="201"/>
      <c r="CF20" s="209"/>
      <c r="CH20" s="210"/>
      <c r="CJ20" s="199"/>
      <c r="CK20" s="201"/>
      <c r="CL20" s="209"/>
      <c r="CN20" s="210"/>
      <c r="CP20" s="199"/>
      <c r="CQ20" s="201"/>
      <c r="CR20" s="209"/>
      <c r="CT20" s="210"/>
      <c r="CV20" s="199"/>
      <c r="CW20" s="201"/>
      <c r="CX20" s="209"/>
      <c r="CZ20" s="210"/>
      <c r="DB20" s="199"/>
      <c r="DC20" s="201"/>
      <c r="DD20" s="209"/>
      <c r="DF20" s="210"/>
      <c r="DH20" s="199"/>
      <c r="DI20" s="201"/>
      <c r="DJ20" s="209"/>
      <c r="DL20" s="210"/>
      <c r="DN20" s="199"/>
      <c r="DO20" s="209"/>
      <c r="DQ20" s="210"/>
      <c r="DS20" s="199"/>
      <c r="DT20" s="209"/>
      <c r="DV20" s="210">
        <f>8565.51+3842.24+15467.39</f>
        <v>27875.14</v>
      </c>
      <c r="DX20" s="199"/>
      <c r="DY20" s="209"/>
      <c r="EA20" s="127">
        <f>8285.44+3627.04+14862.93</f>
        <v>26775.41</v>
      </c>
      <c r="EC20" s="199"/>
      <c r="ED20" s="209"/>
      <c r="EF20" s="211">
        <f>8782.83+3630.49+14398.87</f>
        <v>26812.190000000002</v>
      </c>
      <c r="EG20" s="204"/>
      <c r="EH20" s="205"/>
      <c r="EI20" s="212"/>
      <c r="EJ20" s="207"/>
      <c r="EK20" s="211">
        <f>8653.45+3662.25+14447.21</f>
        <v>26762.91</v>
      </c>
      <c r="EL20" s="204"/>
      <c r="EM20" s="205"/>
      <c r="EN20" s="209"/>
      <c r="EO20" s="207"/>
      <c r="EP20" s="211">
        <f>8781.55+3886.02+14654.86</f>
        <v>27322.43</v>
      </c>
      <c r="EQ20" s="204"/>
      <c r="ER20" s="205"/>
      <c r="ES20" s="209"/>
      <c r="ET20" s="207"/>
      <c r="EU20" s="211">
        <f>9076.52+4255.26+15179.77</f>
        <v>28511.550000000003</v>
      </c>
      <c r="EV20" s="204"/>
      <c r="EW20" s="205"/>
      <c r="EX20" s="209"/>
      <c r="EY20" s="207"/>
      <c r="EZ20" s="211">
        <f>9507.78+4529.84+16105.62</f>
        <v>30143.24</v>
      </c>
      <c r="FA20" s="204"/>
      <c r="FB20" s="205"/>
      <c r="FC20" s="209"/>
      <c r="FE20" s="207"/>
      <c r="FF20" s="211">
        <f>18550.51+6901.08+17885.4</f>
        <v>43336.99</v>
      </c>
      <c r="FG20" s="204"/>
      <c r="FH20" s="205"/>
      <c r="FI20" s="209"/>
    </row>
    <row r="21" spans="1:165" x14ac:dyDescent="0.15">
      <c r="A21" s="213" t="s">
        <v>87</v>
      </c>
      <c r="B21" s="186"/>
      <c r="D21" s="214">
        <f>SUM(D7:D20)</f>
        <v>866235.3899999999</v>
      </c>
      <c r="F21" s="215">
        <f>SUM(F7:F20)</f>
        <v>865795.56</v>
      </c>
      <c r="H21" s="95">
        <f>+D21-F21</f>
        <v>439.82999999984168</v>
      </c>
      <c r="I21" s="186"/>
      <c r="K21" s="214">
        <f>SUM(K7:K20)</f>
        <v>882580.52888888901</v>
      </c>
      <c r="M21" s="215">
        <f>SUM(M7:M20)</f>
        <v>881914.28</v>
      </c>
      <c r="N21" s="214"/>
      <c r="O21" s="95">
        <f>+K21-M21</f>
        <v>666.2488888889784</v>
      </c>
      <c r="P21" s="186"/>
      <c r="R21" s="216">
        <f>SUM(R7:R20)</f>
        <v>899082.95</v>
      </c>
      <c r="S21" s="214"/>
      <c r="T21" s="215">
        <f>SUM(T7:T18)</f>
        <v>898853.12</v>
      </c>
      <c r="U21" s="217"/>
      <c r="V21" s="95">
        <f>+R21-T21</f>
        <v>229.82999999995809</v>
      </c>
      <c r="W21" s="186"/>
      <c r="Y21" s="216">
        <f>SUM(Y7:Y20)</f>
        <v>917503.67</v>
      </c>
      <c r="Z21" s="214"/>
      <c r="AA21" s="215">
        <f>SUM(AA7:AA18)</f>
        <v>917747.84</v>
      </c>
      <c r="AB21" s="217"/>
      <c r="AC21" s="95">
        <f>+Y21-AA21</f>
        <v>-244.16999999992549</v>
      </c>
      <c r="AD21" s="186"/>
      <c r="AF21" s="216">
        <f>SUM(AF7:AF20)</f>
        <v>929913.67</v>
      </c>
      <c r="AG21" s="214"/>
      <c r="AH21" s="215">
        <f>SUM(AH7:AH18)</f>
        <v>930134.55999999994</v>
      </c>
      <c r="AI21" s="217"/>
      <c r="AJ21" s="95">
        <f>+AF21-AH21</f>
        <v>-220.88999999989755</v>
      </c>
      <c r="AL21" s="216">
        <f>SUM(AL7:AL18)</f>
        <v>938973.90000000014</v>
      </c>
      <c r="AM21" s="214"/>
      <c r="AN21" s="215">
        <f>SUM(AN7:AN18)</f>
        <v>939204.63</v>
      </c>
      <c r="AO21" s="217"/>
      <c r="AP21" s="95">
        <f>+AL21-AN21</f>
        <v>-230.72999999986496</v>
      </c>
      <c r="AR21" s="216">
        <f>SUM(AR7:AR18)</f>
        <v>940394.71</v>
      </c>
      <c r="AS21" s="214"/>
      <c r="AT21" s="215">
        <f>SUM(AT7:AT20)</f>
        <v>940647.55999999994</v>
      </c>
      <c r="AU21" s="217"/>
      <c r="AV21" s="95">
        <f>+AR21-AT21</f>
        <v>-252.84999999997672</v>
      </c>
      <c r="AX21" s="216">
        <f>SUM(AX7:AX18)</f>
        <v>942322.9</v>
      </c>
      <c r="AY21" s="214"/>
      <c r="AZ21" s="215">
        <f>SUM(AZ7:AZ20)</f>
        <v>942918.92</v>
      </c>
      <c r="BA21" s="217"/>
      <c r="BB21" s="95">
        <f>+AX21-AZ21</f>
        <v>-596.02000000001863</v>
      </c>
      <c r="BD21" s="216">
        <f>SUM(BD7:BD18)</f>
        <v>947621.96</v>
      </c>
      <c r="BE21" s="214"/>
      <c r="BF21" s="215">
        <f>SUM(BF7:BF20)</f>
        <v>948218.39</v>
      </c>
      <c r="BG21" s="217"/>
      <c r="BH21" s="95">
        <f>+BD21-BF21</f>
        <v>-596.43000000005122</v>
      </c>
      <c r="BJ21" s="216">
        <f>SUM(BJ7:BJ18)</f>
        <v>949293.4700000002</v>
      </c>
      <c r="BK21" s="214"/>
      <c r="BL21" s="215">
        <f>SUM(BL7:BL20)</f>
        <v>949887.84</v>
      </c>
      <c r="BM21" s="217"/>
      <c r="BN21" s="95">
        <f>+BJ21-BL21</f>
        <v>-594.36999999976251</v>
      </c>
      <c r="BP21" s="216">
        <f>SUM(BP7:BP18)</f>
        <v>952113.10999999987</v>
      </c>
      <c r="BQ21" s="214"/>
      <c r="BR21" s="215">
        <f>SUM(BR7:BR20)</f>
        <v>952807.63</v>
      </c>
      <c r="BS21" s="217"/>
      <c r="BT21" s="95">
        <f>+BP21-BR21</f>
        <v>-694.52000000013504</v>
      </c>
      <c r="BV21" s="216">
        <f>SUM(BV7:BV18)</f>
        <v>955613.73</v>
      </c>
      <c r="BW21" s="214"/>
      <c r="BX21" s="215">
        <f>SUM(BX7:BX20)</f>
        <v>956411.78</v>
      </c>
      <c r="BY21" s="217"/>
      <c r="BZ21" s="95">
        <f>+BV21-BX21</f>
        <v>-798.05000000004657</v>
      </c>
      <c r="CB21" s="216">
        <f>SUM(CB7:CB18)</f>
        <v>960592.45000000007</v>
      </c>
      <c r="CC21" s="214"/>
      <c r="CD21" s="215">
        <f>SUM(CD7:CD20)</f>
        <v>961692.74</v>
      </c>
      <c r="CE21" s="217"/>
      <c r="CF21" s="95">
        <f>+CB21-CD21</f>
        <v>-1100.2899999999208</v>
      </c>
      <c r="CH21" s="216">
        <f>SUM(CH7:CH18)</f>
        <v>961749.04</v>
      </c>
      <c r="CI21" s="214"/>
      <c r="CJ21" s="215">
        <f>SUM(CJ7:CJ20)</f>
        <v>962721.34000000008</v>
      </c>
      <c r="CK21" s="217"/>
      <c r="CL21" s="95">
        <f>+CH21-CJ21</f>
        <v>-972.30000000004657</v>
      </c>
      <c r="CN21" s="218">
        <f>SUM(CN7:CN18)</f>
        <v>963432.93</v>
      </c>
      <c r="CO21" s="214"/>
      <c r="CP21" s="218">
        <f>SUM(CP7:CP20)</f>
        <v>968069.95</v>
      </c>
      <c r="CQ21" s="217"/>
      <c r="CR21" s="95">
        <f>+CN21-CP21</f>
        <v>-4637.0199999999022</v>
      </c>
      <c r="CT21" s="218">
        <f>SUM(CT7:CT18)</f>
        <v>968266.08</v>
      </c>
      <c r="CU21" s="214"/>
      <c r="CV21" s="218">
        <f>SUM(CV7:CV20)</f>
        <v>976648.98</v>
      </c>
      <c r="CW21" s="217"/>
      <c r="CX21" s="95">
        <f>+CT21-CV21</f>
        <v>-8382.9000000000233</v>
      </c>
      <c r="CZ21" s="218">
        <f>SUM(CZ7:CZ18)</f>
        <v>974747.82000000007</v>
      </c>
      <c r="DA21" s="214"/>
      <c r="DB21" s="218">
        <f>SUM(DB7:DB20)</f>
        <v>983524.47</v>
      </c>
      <c r="DC21" s="217"/>
      <c r="DD21" s="95">
        <f>+CZ21-DB21</f>
        <v>-8776.6499999999069</v>
      </c>
      <c r="DF21" s="218">
        <f>SUM(DF7:DF18)</f>
        <v>978626.10000000009</v>
      </c>
      <c r="DG21" s="214"/>
      <c r="DH21" s="218">
        <f>SUM(DH7:DH20)</f>
        <v>987495.47</v>
      </c>
      <c r="DI21" s="217"/>
      <c r="DJ21" s="95">
        <f>+DF21-DH21</f>
        <v>-8869.3699999998789</v>
      </c>
      <c r="DL21" s="219">
        <f>SUM(DL7:DL18)</f>
        <v>984285.3600000001</v>
      </c>
      <c r="DM21" s="214"/>
      <c r="DN21" s="218">
        <f>SUM(DN7:DN20)</f>
        <v>985296.84000000008</v>
      </c>
      <c r="DO21" s="95">
        <f>+DL21-DN21</f>
        <v>-1011.4799999999814</v>
      </c>
      <c r="DQ21" s="219">
        <f>SUM(DQ7:DQ18)</f>
        <v>987757.43999999983</v>
      </c>
      <c r="DR21" s="214"/>
      <c r="DS21" s="218">
        <f>SUM(DS7:DS20)</f>
        <v>988380.16999999993</v>
      </c>
      <c r="DT21" s="95">
        <f>+DQ21-DS21</f>
        <v>-622.73000000009779</v>
      </c>
      <c r="DV21" s="219">
        <f>SUM(DV7:DV18,DV20)</f>
        <v>1002609.2500000001</v>
      </c>
      <c r="DW21" s="214"/>
      <c r="DX21" s="218">
        <f>SUM(DX8:DX18)</f>
        <v>1003217.3200000001</v>
      </c>
      <c r="DY21" s="95">
        <f>+DV21-DX21</f>
        <v>-608.06999999994878</v>
      </c>
      <c r="EA21" s="220">
        <f>SUM(EA7:EA18,EA20)</f>
        <v>1012915.3</v>
      </c>
      <c r="EB21" s="214"/>
      <c r="EC21" s="218">
        <f>SUM(EC8:EC18)</f>
        <v>1013528.4199999999</v>
      </c>
      <c r="ED21" s="95">
        <f>+EA21-EC21</f>
        <v>-613.11999999987893</v>
      </c>
      <c r="EF21" s="220">
        <f>SUM(EF8:EF18)</f>
        <v>1008007.6199999999</v>
      </c>
      <c r="EG21" s="95"/>
      <c r="EH21" s="206">
        <f>SUM(EH8:EH18)</f>
        <v>1034684.1100000001</v>
      </c>
      <c r="EI21" s="95">
        <f>+EF21-EH21</f>
        <v>-26676.490000000224</v>
      </c>
      <c r="EK21" s="220">
        <f>SUM(EK8:EK18)</f>
        <v>1028912.3800000001</v>
      </c>
      <c r="EL21" s="95"/>
      <c r="EM21" s="206">
        <f>SUM(EM8:EM18)</f>
        <v>1057458.1300000001</v>
      </c>
      <c r="EN21" s="95">
        <f>+EK21-EM21</f>
        <v>-28545.75</v>
      </c>
      <c r="EP21" s="220">
        <f>SUM(EP8:EP18)</f>
        <v>1036805.2399999998</v>
      </c>
      <c r="EQ21" s="95"/>
      <c r="ER21" s="206">
        <f>SUM(ER8:ER18)</f>
        <v>1063767.8399999999</v>
      </c>
      <c r="ES21" s="95">
        <f>+EP21-ER21</f>
        <v>-26962.600000000093</v>
      </c>
      <c r="EU21" s="220">
        <f>SUM(EU8:EU18)</f>
        <v>1036301.6399999999</v>
      </c>
      <c r="EV21" s="95"/>
      <c r="EW21" s="206">
        <f>SUM(EW8:EW18)</f>
        <v>1065581.03</v>
      </c>
      <c r="EX21" s="95">
        <f>+EU21-EW21</f>
        <v>-29279.39000000013</v>
      </c>
      <c r="EZ21" s="220">
        <f>SUM(EZ8:EZ18)</f>
        <v>1042365.1099999999</v>
      </c>
      <c r="FA21" s="95"/>
      <c r="FB21" s="206">
        <f>SUM(FB8:FB18)</f>
        <v>1074388.52</v>
      </c>
      <c r="FC21" s="95">
        <f>+EZ21-FB21</f>
        <v>-32023.410000000149</v>
      </c>
      <c r="FF21" s="220">
        <f>SUM(FF8:FF18)</f>
        <v>989334.44000000006</v>
      </c>
      <c r="FG21" s="95"/>
      <c r="FH21" s="206">
        <f>SUM(FH8:FH18)</f>
        <v>1032770.59</v>
      </c>
      <c r="FI21" s="95">
        <f>+FF21-FH21</f>
        <v>-43436.149999999907</v>
      </c>
    </row>
    <row r="22" spans="1:165" x14ac:dyDescent="0.15">
      <c r="B22" s="186"/>
      <c r="F22" s="221"/>
      <c r="H22" s="95"/>
      <c r="I22" s="186"/>
      <c r="J22" s="155"/>
      <c r="K22" s="222"/>
      <c r="M22" s="221"/>
      <c r="N22" s="113"/>
      <c r="O22" s="95"/>
      <c r="P22" s="186"/>
      <c r="R22" s="222"/>
      <c r="S22" s="222"/>
      <c r="T22" s="221"/>
      <c r="U22" s="105"/>
      <c r="V22" s="95"/>
      <c r="W22" s="186"/>
      <c r="X22" s="5" t="s">
        <v>171</v>
      </c>
      <c r="Y22" s="222">
        <v>5521.43</v>
      </c>
      <c r="Z22" s="222"/>
      <c r="AA22" s="221">
        <v>5513.97</v>
      </c>
      <c r="AB22" s="105"/>
      <c r="AC22" s="95"/>
      <c r="AD22" s="186"/>
      <c r="AE22" s="5" t="s">
        <v>171</v>
      </c>
      <c r="AF22" s="222">
        <f>5536.44+714.55</f>
        <v>6250.99</v>
      </c>
      <c r="AG22" s="222"/>
      <c r="AH22" s="221">
        <f>6250.85+43.47</f>
        <v>6294.3200000000006</v>
      </c>
      <c r="AI22" s="105"/>
      <c r="AJ22" s="95"/>
      <c r="AK22" s="187" t="s">
        <v>171</v>
      </c>
      <c r="AL22" s="222">
        <f>6170.6+818.9</f>
        <v>6989.5</v>
      </c>
      <c r="AM22" s="222"/>
      <c r="AN22" s="221">
        <f>6989.66+40.52</f>
        <v>7030.18</v>
      </c>
      <c r="AO22" s="105"/>
      <c r="AP22" s="95"/>
      <c r="AQ22" s="187" t="s">
        <v>171</v>
      </c>
      <c r="AR22" s="222">
        <f>6535+884.68</f>
        <v>7419.68</v>
      </c>
      <c r="AS22" s="222"/>
      <c r="AT22" s="221">
        <f>7419.62+38.45</f>
        <v>7458.07</v>
      </c>
      <c r="AU22" s="105"/>
      <c r="AV22" s="95"/>
      <c r="AW22" s="187" t="s">
        <v>171</v>
      </c>
      <c r="AX22" s="222">
        <f>6993.85+931.92</f>
        <v>7925.77</v>
      </c>
      <c r="AY22" s="222"/>
      <c r="AZ22" s="221">
        <f>7925.77+39.56</f>
        <v>7965.3300000000008</v>
      </c>
      <c r="BA22" s="105"/>
      <c r="BB22" s="95"/>
      <c r="BC22" s="187" t="s">
        <v>171</v>
      </c>
      <c r="BD22" s="222">
        <f>7367.97+937.72</f>
        <v>8305.69</v>
      </c>
      <c r="BE22" s="222"/>
      <c r="BF22" s="221">
        <f>8346.96+43.48</f>
        <v>8390.4399999999987</v>
      </c>
      <c r="BG22" s="105"/>
      <c r="BH22" s="95"/>
      <c r="BI22" s="187" t="s">
        <v>171</v>
      </c>
      <c r="BJ22" s="222">
        <f>7855.39+945.22</f>
        <v>8800.61</v>
      </c>
      <c r="BK22" s="222"/>
      <c r="BL22" s="221">
        <f>8808.86+70.52</f>
        <v>8879.380000000001</v>
      </c>
      <c r="BM22" s="105"/>
      <c r="BN22" s="95"/>
      <c r="BO22" s="187" t="s">
        <v>171</v>
      </c>
      <c r="BP22" s="222">
        <f>8455.72+886.05</f>
        <v>9341.7699999999986</v>
      </c>
      <c r="BQ22" s="222"/>
      <c r="BR22" s="221">
        <f>9341.73+104.6</f>
        <v>9446.33</v>
      </c>
      <c r="BS22" s="105"/>
      <c r="BT22" s="95"/>
      <c r="BU22" s="187" t="s">
        <v>171</v>
      </c>
      <c r="BV22" s="222">
        <f>8847.01+913.62</f>
        <v>9760.630000000001</v>
      </c>
      <c r="BW22" s="222"/>
      <c r="BX22" s="221">
        <f>9816.6+109.05</f>
        <v>9925.65</v>
      </c>
      <c r="BY22" s="105"/>
      <c r="BZ22" s="95"/>
      <c r="CA22" s="187" t="s">
        <v>171</v>
      </c>
      <c r="CB22" s="222">
        <f>9251.06+1004.68</f>
        <v>10255.74</v>
      </c>
      <c r="CC22" s="222"/>
      <c r="CD22" s="221">
        <f>10255.76+109.16</f>
        <v>10364.92</v>
      </c>
      <c r="CE22" s="105"/>
      <c r="CF22" s="95"/>
      <c r="CG22" s="187" t="s">
        <v>171</v>
      </c>
      <c r="CH22" s="222">
        <f>9790.99+1020.27</f>
        <v>10811.26</v>
      </c>
      <c r="CI22" s="222"/>
      <c r="CJ22" s="221">
        <f>10877.61+100.34</f>
        <v>10977.95</v>
      </c>
      <c r="CK22" s="105"/>
      <c r="CL22" s="95"/>
      <c r="CM22" s="187" t="s">
        <v>171</v>
      </c>
      <c r="CN22" s="222">
        <f>10152.22+1029.6</f>
        <v>11181.82</v>
      </c>
      <c r="CO22" s="222"/>
      <c r="CP22" s="221">
        <f>11181.56+103.41</f>
        <v>11284.97</v>
      </c>
      <c r="CQ22" s="105"/>
      <c r="CR22" s="95"/>
      <c r="CS22" s="187" t="s">
        <v>171</v>
      </c>
      <c r="CT22" s="222">
        <f>10788.27+1036.46</f>
        <v>11824.73</v>
      </c>
      <c r="CU22" s="222"/>
      <c r="CV22" s="221">
        <f>11824.55+102.39</f>
        <v>11926.939999999999</v>
      </c>
      <c r="CW22" s="105"/>
      <c r="CX22" s="95"/>
      <c r="CY22" s="187" t="s">
        <v>171</v>
      </c>
      <c r="CZ22" s="222">
        <f>11458.86+1022.37</f>
        <v>12481.230000000001</v>
      </c>
      <c r="DA22" s="222"/>
      <c r="DB22" s="221">
        <f>12481.37+103.59</f>
        <v>12584.960000000001</v>
      </c>
      <c r="DC22" s="105"/>
      <c r="DD22" s="95"/>
      <c r="DE22" s="187" t="s">
        <v>171</v>
      </c>
      <c r="DF22" s="222">
        <f>11772.11+1004.21</f>
        <v>12776.32</v>
      </c>
      <c r="DG22" s="222"/>
      <c r="DH22" s="221">
        <f>12776.54+108.02</f>
        <v>12884.560000000001</v>
      </c>
      <c r="DI22" s="105"/>
      <c r="DJ22" s="95"/>
      <c r="DK22" s="187" t="s">
        <v>171</v>
      </c>
      <c r="DL22" s="222">
        <f>11839.44+939.18</f>
        <v>12778.62</v>
      </c>
      <c r="DM22" s="222"/>
      <c r="DN22" s="221">
        <f>12766.45+112.57</f>
        <v>12879.02</v>
      </c>
      <c r="DO22" s="95"/>
      <c r="DP22" s="187" t="s">
        <v>171</v>
      </c>
      <c r="DQ22" s="222">
        <f>12642.59+978.14</f>
        <v>13620.73</v>
      </c>
      <c r="DR22" s="222"/>
      <c r="DS22" s="221">
        <f>13620.7+113.72</f>
        <v>13734.42</v>
      </c>
      <c r="DT22" s="95"/>
      <c r="DU22" s="187" t="s">
        <v>171</v>
      </c>
      <c r="DV22" s="222">
        <f>13986.8+1099.04</f>
        <v>15085.84</v>
      </c>
      <c r="DW22" s="222"/>
      <c r="DX22" s="221">
        <f>15085.85</f>
        <v>15085.85</v>
      </c>
      <c r="DY22" s="95"/>
      <c r="DZ22" s="187" t="s">
        <v>171</v>
      </c>
      <c r="EA22" s="222">
        <f>15811.1+1260.59</f>
        <v>17071.689999999999</v>
      </c>
      <c r="EB22" s="222"/>
      <c r="EC22" s="221">
        <f>17071.68+107.95</f>
        <v>17179.63</v>
      </c>
      <c r="ED22" s="95"/>
      <c r="EE22" s="187" t="s">
        <v>171</v>
      </c>
      <c r="EF22" s="223">
        <f>17226.81+1326.21</f>
        <v>18553.02</v>
      </c>
      <c r="EG22" s="201"/>
      <c r="EH22" s="224">
        <f>18552.97+115.71</f>
        <v>18668.68</v>
      </c>
      <c r="EI22" s="95"/>
      <c r="EJ22" s="187" t="s">
        <v>171</v>
      </c>
      <c r="EK22" s="223">
        <f>19056.43+1465.12</f>
        <v>20521.55</v>
      </c>
      <c r="EL22" s="201"/>
      <c r="EM22" s="224">
        <f>21150.24+113.87</f>
        <v>21264.11</v>
      </c>
      <c r="EN22" s="95"/>
      <c r="EO22" s="187" t="s">
        <v>171</v>
      </c>
      <c r="EP22" s="223">
        <f>20924.14+1558.23</f>
        <v>22482.37</v>
      </c>
      <c r="EQ22" s="201"/>
      <c r="ER22" s="224">
        <f>20924.17+1558.21</f>
        <v>22482.379999999997</v>
      </c>
      <c r="ES22" s="95"/>
      <c r="ET22" s="187" t="s">
        <v>171</v>
      </c>
      <c r="EU22" s="223">
        <f>22305.08+1718.34</f>
        <v>24023.420000000002</v>
      </c>
      <c r="EV22" s="201"/>
      <c r="EW22" s="224">
        <f>22305.14+1718.25</f>
        <v>24023.39</v>
      </c>
      <c r="EX22" s="95"/>
      <c r="EY22" s="187" t="s">
        <v>171</v>
      </c>
      <c r="EZ22" s="223">
        <f>23373.32+1823.6</f>
        <v>25196.92</v>
      </c>
      <c r="FA22" s="201"/>
      <c r="FB22" s="224">
        <f>24231.11+1614.64</f>
        <v>25845.75</v>
      </c>
      <c r="FC22" s="95"/>
      <c r="FE22" s="187" t="s">
        <v>171</v>
      </c>
      <c r="FF22" s="223">
        <f>23897.35+1795.21</f>
        <v>25692.559999999998</v>
      </c>
      <c r="FG22" s="201"/>
      <c r="FH22" s="224">
        <f>23897.34+1795.18</f>
        <v>25692.52</v>
      </c>
      <c r="FI22" s="95"/>
    </row>
    <row r="23" spans="1:165" x14ac:dyDescent="0.15">
      <c r="A23" s="105"/>
      <c r="B23" s="186"/>
      <c r="D23" s="225">
        <v>865796</v>
      </c>
      <c r="F23" s="225">
        <f>+D23</f>
        <v>865796</v>
      </c>
      <c r="H23" s="226">
        <f>+D23-F23</f>
        <v>0</v>
      </c>
      <c r="I23" s="186"/>
      <c r="K23" s="225">
        <v>882097</v>
      </c>
      <c r="M23" s="225">
        <f>+K23</f>
        <v>882097</v>
      </c>
      <c r="O23" s="226">
        <f>+K23-M23</f>
        <v>0</v>
      </c>
      <c r="P23" s="186"/>
      <c r="R23" s="225">
        <v>898853.12</v>
      </c>
      <c r="T23" s="225">
        <v>898853.12</v>
      </c>
      <c r="U23" s="105"/>
      <c r="V23" s="226">
        <f>+R23-T23</f>
        <v>0</v>
      </c>
      <c r="W23" s="186"/>
      <c r="Y23" s="225">
        <f>+Y21+Y22</f>
        <v>923025.10000000009</v>
      </c>
      <c r="AA23" s="225">
        <f>+AA21+AA22</f>
        <v>923261.80999999994</v>
      </c>
      <c r="AB23" s="105"/>
      <c r="AC23" s="226">
        <f>+Y23-AA23</f>
        <v>-236.70999999984633</v>
      </c>
      <c r="AD23" s="186"/>
      <c r="AF23" s="225">
        <f>+AF21+AF22</f>
        <v>936164.66</v>
      </c>
      <c r="AH23" s="225">
        <f>+AH21+AH22</f>
        <v>936428.87999999989</v>
      </c>
      <c r="AI23" s="105"/>
      <c r="AJ23" s="226">
        <f>+AF23-AH23</f>
        <v>-264.21999999985565</v>
      </c>
      <c r="AL23" s="225">
        <f>+AL21+AL22</f>
        <v>945963.40000000014</v>
      </c>
      <c r="AN23" s="225">
        <f>+AN21+AN22</f>
        <v>946234.81</v>
      </c>
      <c r="AO23" s="105"/>
      <c r="AP23" s="226">
        <f>+AL23-AN23</f>
        <v>-271.40999999991618</v>
      </c>
      <c r="AR23" s="225">
        <f>+AR21+AR22</f>
        <v>947814.39</v>
      </c>
      <c r="AT23" s="225">
        <f>+AT21+AT22</f>
        <v>948105.62999999989</v>
      </c>
      <c r="AU23" s="105"/>
      <c r="AV23" s="227">
        <f>+AR23-AT23</f>
        <v>-291.23999999987427</v>
      </c>
      <c r="AX23" s="225">
        <f>+AX21+AX22</f>
        <v>950248.67</v>
      </c>
      <c r="AZ23" s="225">
        <f>+AZ21+AZ22</f>
        <v>950884.25</v>
      </c>
      <c r="BA23" s="105"/>
      <c r="BB23" s="226">
        <f>+AX23-AZ23</f>
        <v>-635.57999999995809</v>
      </c>
      <c r="BD23" s="225">
        <f>+BD21+BD22</f>
        <v>955927.64999999991</v>
      </c>
      <c r="BF23" s="225">
        <f>+BF21+BF22</f>
        <v>956608.83</v>
      </c>
      <c r="BG23" s="105"/>
      <c r="BH23" s="226">
        <f>+BD23-BF23</f>
        <v>-681.18000000005122</v>
      </c>
      <c r="BJ23" s="225">
        <f>+BJ21+BJ22</f>
        <v>958094.08000000019</v>
      </c>
      <c r="BL23" s="225">
        <f>+BL21+BL22</f>
        <v>958767.22</v>
      </c>
      <c r="BM23" s="105"/>
      <c r="BN23" s="226">
        <f>+BJ23-BL23</f>
        <v>-673.13999999978114</v>
      </c>
      <c r="BP23" s="225">
        <f>+BP21+BP22</f>
        <v>961454.87999999989</v>
      </c>
      <c r="BR23" s="225">
        <f>+BR21+BR22</f>
        <v>962253.96</v>
      </c>
      <c r="BS23" s="105"/>
      <c r="BT23" s="226">
        <f>+BP23-BR23</f>
        <v>-799.08000000007451</v>
      </c>
      <c r="BV23" s="225">
        <f>+BV21+BV22</f>
        <v>965374.36</v>
      </c>
      <c r="BX23" s="225">
        <f>+BX21+BX22</f>
        <v>966337.43</v>
      </c>
      <c r="BY23" s="105"/>
      <c r="BZ23" s="226">
        <f>+BV23-BX23</f>
        <v>-963.07000000006519</v>
      </c>
      <c r="CB23" s="225">
        <f>+CB21+CB22</f>
        <v>970848.19000000006</v>
      </c>
      <c r="CD23" s="225">
        <f>+CD21+CD22</f>
        <v>972057.66</v>
      </c>
      <c r="CE23" s="105"/>
      <c r="CF23" s="226">
        <f>+CB23-CD23</f>
        <v>-1209.4699999999721</v>
      </c>
      <c r="CH23" s="225">
        <f>+CH21+CH22</f>
        <v>972560.3</v>
      </c>
      <c r="CJ23" s="225">
        <f>+CJ21+CJ22</f>
        <v>973699.29</v>
      </c>
      <c r="CK23" s="105"/>
      <c r="CL23" s="226">
        <f>+CH23-CJ23</f>
        <v>-1138.9899999999907</v>
      </c>
      <c r="CN23" s="225">
        <f>+CN21+CN22</f>
        <v>974614.75</v>
      </c>
      <c r="CP23" s="225">
        <f>+CP21+CP22</f>
        <v>979354.91999999993</v>
      </c>
      <c r="CQ23" s="105"/>
      <c r="CR23" s="226">
        <f>+CN23-CP23</f>
        <v>-4740.1699999999255</v>
      </c>
      <c r="CT23" s="225">
        <f>+CT21+CT22</f>
        <v>980090.80999999994</v>
      </c>
      <c r="CV23" s="225">
        <f>+CV21+CV22</f>
        <v>988575.91999999993</v>
      </c>
      <c r="CW23" s="105"/>
      <c r="CX23" s="226">
        <f>+CT23-CV23</f>
        <v>-8485.109999999986</v>
      </c>
      <c r="CZ23" s="225">
        <f>+CZ21+CZ22</f>
        <v>987229.05</v>
      </c>
      <c r="DB23" s="225">
        <f>+DB21+DB22</f>
        <v>996109.42999999993</v>
      </c>
      <c r="DC23" s="105"/>
      <c r="DD23" s="226">
        <f>+CZ23-DB23</f>
        <v>-8880.3799999998882</v>
      </c>
      <c r="DF23" s="225">
        <f>+DF21+DF22</f>
        <v>991402.42</v>
      </c>
      <c r="DH23" s="225">
        <f>+DH21+DH22</f>
        <v>1000380.03</v>
      </c>
      <c r="DI23" s="105"/>
      <c r="DJ23" s="226">
        <f>+DF23-DH23</f>
        <v>-8977.609999999986</v>
      </c>
      <c r="DL23" s="225">
        <f>+DL21+DL22</f>
        <v>997063.9800000001</v>
      </c>
      <c r="DN23" s="225">
        <f>+DN21+DN22</f>
        <v>998175.8600000001</v>
      </c>
      <c r="DO23" s="226">
        <f>+DL23-DN23</f>
        <v>-1111.8800000000047</v>
      </c>
      <c r="DQ23" s="225">
        <f>+DQ21+DQ22</f>
        <v>1001378.1699999998</v>
      </c>
      <c r="DS23" s="225">
        <f>+DS21+DS22</f>
        <v>1002114.59</v>
      </c>
      <c r="DT23" s="226">
        <f>+DQ23-DS23</f>
        <v>-736.42000000015832</v>
      </c>
      <c r="DV23" s="225">
        <f>+DV19+DV21+DV22</f>
        <v>1019533.4400000001</v>
      </c>
      <c r="DX23" s="225">
        <f>+DX21+DX22</f>
        <v>1018303.17</v>
      </c>
      <c r="DY23" s="226">
        <f>+DV23-DX23</f>
        <v>1230.2700000000186</v>
      </c>
      <c r="EA23" s="225">
        <f>+EA21+EA22+EA19</f>
        <v>1032522.22</v>
      </c>
      <c r="EC23" s="225">
        <f>+EC21+EC22+EC19</f>
        <v>1033629.3699999999</v>
      </c>
      <c r="ED23" s="226">
        <f>+EA23-EC23</f>
        <v>-1107.1499999999069</v>
      </c>
      <c r="EF23" s="228">
        <f>+EF21+EF19+EF20+EF22</f>
        <v>1056545.5199999998</v>
      </c>
      <c r="EH23" s="228">
        <f>+EH21+EH22+EH19</f>
        <v>1056902.79</v>
      </c>
      <c r="EI23" s="226">
        <f>+EF23-EH23</f>
        <v>-357.27000000025146</v>
      </c>
      <c r="EK23" s="228">
        <f>+EK21+EK19+EK20+EK22</f>
        <v>1079859.57</v>
      </c>
      <c r="EM23" s="228">
        <f>+EM21+EM22+EM19</f>
        <v>1082380.1300000001</v>
      </c>
      <c r="EN23" s="226">
        <f>+EK23-EM23</f>
        <v>-2520.5600000000559</v>
      </c>
      <c r="EP23" s="228">
        <f>+EP21+EP19+EP20+EP22</f>
        <v>1090921.8299999998</v>
      </c>
      <c r="ER23" s="228">
        <f>+ER21+ER22+ER19</f>
        <v>1091031.5799999998</v>
      </c>
      <c r="ES23" s="226">
        <f>+EP23-ER23</f>
        <v>-109.75</v>
      </c>
      <c r="EU23" s="228">
        <f>+EU21+EU19+EU20+EU22</f>
        <v>1093887.6099999999</v>
      </c>
      <c r="EW23" s="228">
        <f>+EW21+EW22+EW19</f>
        <v>1095157.42</v>
      </c>
      <c r="EX23" s="226">
        <f>+EU23-EW23</f>
        <v>-1269.8100000000559</v>
      </c>
      <c r="EZ23" s="228">
        <f>+EZ21+EZ19+EZ20+EZ22</f>
        <v>1103196.4099999999</v>
      </c>
      <c r="FB23" s="228">
        <f>+FB21+FB22+FB19</f>
        <v>1105582.1000000001</v>
      </c>
      <c r="FC23" s="226">
        <f>+EZ23-FB23</f>
        <v>-2385.690000000177</v>
      </c>
      <c r="FF23" s="228">
        <f>+FF21+FF19+FF20+FF22</f>
        <v>1062992.72</v>
      </c>
      <c r="FH23" s="228">
        <f>+FH21+FH22+FH19</f>
        <v>1063578.47</v>
      </c>
      <c r="FI23" s="226">
        <f>+FF23-FH23</f>
        <v>-585.75</v>
      </c>
    </row>
    <row r="24" spans="1:165" ht="11.25" thickBot="1" x14ac:dyDescent="0.2">
      <c r="B24" s="186"/>
      <c r="F24" s="31"/>
      <c r="I24" s="186"/>
      <c r="K24" s="95"/>
      <c r="M24" s="32"/>
      <c r="N24" s="95"/>
      <c r="P24" s="186"/>
      <c r="T24" s="31"/>
      <c r="U24" s="105"/>
      <c r="W24" s="186"/>
      <c r="AA24" s="31"/>
      <c r="AB24" s="105"/>
      <c r="AD24" s="186"/>
      <c r="AH24" s="31"/>
      <c r="AI24" s="105"/>
      <c r="AN24" s="31"/>
      <c r="AO24" s="105"/>
      <c r="AT24" s="31"/>
      <c r="AU24" s="105"/>
      <c r="AZ24" s="31"/>
      <c r="BA24" s="105"/>
      <c r="BF24" s="31"/>
      <c r="BG24" s="105"/>
      <c r="BL24" s="31"/>
      <c r="BM24" s="105"/>
      <c r="BR24" s="31"/>
      <c r="BS24" s="105"/>
      <c r="BX24" s="31"/>
      <c r="BY24" s="105"/>
      <c r="CD24" s="31"/>
      <c r="CE24" s="105"/>
      <c r="CJ24" s="31"/>
      <c r="CK24" s="105"/>
      <c r="CP24" s="31"/>
      <c r="CQ24" s="105"/>
      <c r="CV24" s="31"/>
      <c r="CW24" s="105"/>
      <c r="DB24" s="31"/>
      <c r="DC24" s="105"/>
      <c r="DH24" s="31"/>
      <c r="DI24" s="105"/>
      <c r="DN24" s="31"/>
      <c r="DS24" s="31"/>
      <c r="DX24" s="31"/>
      <c r="EA24" s="5">
        <v>624.73</v>
      </c>
      <c r="EC24" s="31">
        <v>624.73</v>
      </c>
      <c r="ED24" s="5" t="s">
        <v>493</v>
      </c>
      <c r="EF24" s="229"/>
      <c r="EH24" s="200"/>
      <c r="EK24" s="229"/>
      <c r="EM24" s="200"/>
      <c r="EP24" s="229"/>
      <c r="ER24" s="200"/>
      <c r="EU24" s="229"/>
      <c r="EW24" s="200"/>
      <c r="EZ24" s="229"/>
      <c r="FB24" s="200"/>
      <c r="FF24" s="229"/>
      <c r="FH24" s="200"/>
    </row>
    <row r="25" spans="1:165" ht="11.25" thickBot="1" x14ac:dyDescent="0.2">
      <c r="B25" s="186"/>
      <c r="F25" s="230"/>
      <c r="I25" s="186"/>
      <c r="J25" s="5" t="s">
        <v>192</v>
      </c>
      <c r="M25" s="230">
        <f>+M23-F23</f>
        <v>16301</v>
      </c>
      <c r="P25" s="186"/>
      <c r="Q25" s="5" t="s">
        <v>192</v>
      </c>
      <c r="T25" s="230">
        <f>+T23-M23</f>
        <v>16756.119999999995</v>
      </c>
      <c r="U25" s="105"/>
      <c r="V25" s="95"/>
      <c r="W25" s="186"/>
      <c r="X25" s="5" t="s">
        <v>192</v>
      </c>
      <c r="AA25" s="230">
        <f>+AA23-T23</f>
        <v>24408.689999999944</v>
      </c>
      <c r="AB25" s="105"/>
      <c r="AC25" s="95"/>
      <c r="AD25" s="186"/>
      <c r="AE25" s="5" t="s">
        <v>192</v>
      </c>
      <c r="AH25" s="230">
        <f>+AH23-AA23</f>
        <v>13167.069999999949</v>
      </c>
      <c r="AI25" s="105"/>
      <c r="AJ25" s="95"/>
      <c r="AK25" s="187" t="s">
        <v>192</v>
      </c>
      <c r="AN25" s="230">
        <f>+AN23-AH23</f>
        <v>9805.9300000001676</v>
      </c>
      <c r="AO25" s="105"/>
      <c r="AP25" s="95"/>
      <c r="AQ25" s="187" t="s">
        <v>192</v>
      </c>
      <c r="AT25" s="230">
        <f>+AT23-AN23</f>
        <v>1870.8199999998324</v>
      </c>
      <c r="AU25" s="105"/>
      <c r="AV25" s="95"/>
      <c r="AW25" s="187" t="s">
        <v>192</v>
      </c>
      <c r="AZ25" s="230">
        <f>+AZ23-AT23</f>
        <v>2778.6200000001118</v>
      </c>
      <c r="BA25" s="105"/>
      <c r="BB25" s="95"/>
      <c r="BC25" s="187" t="s">
        <v>192</v>
      </c>
      <c r="BF25" s="230">
        <f>+BF23-AZ23</f>
        <v>5724.5799999999581</v>
      </c>
      <c r="BG25" s="105"/>
      <c r="BH25" s="95"/>
      <c r="BI25" s="187" t="s">
        <v>192</v>
      </c>
      <c r="BL25" s="230">
        <f>+BL23-BF23</f>
        <v>2158.390000000014</v>
      </c>
      <c r="BM25" s="105"/>
      <c r="BN25" s="95"/>
      <c r="BO25" s="187" t="s">
        <v>192</v>
      </c>
      <c r="BR25" s="230">
        <f>+BR23-BL23</f>
        <v>3486.7399999999907</v>
      </c>
      <c r="BS25" s="105"/>
      <c r="BT25" s="95"/>
      <c r="BU25" s="187" t="s">
        <v>192</v>
      </c>
      <c r="BX25" s="230">
        <f>+BX23-BR23</f>
        <v>4083.4700000000885</v>
      </c>
      <c r="BY25" s="105"/>
      <c r="BZ25" s="95"/>
      <c r="CA25" s="187" t="s">
        <v>192</v>
      </c>
      <c r="CD25" s="230">
        <f>+CD23-BX23</f>
        <v>5720.2299999999814</v>
      </c>
      <c r="CE25" s="105"/>
      <c r="CF25" s="95"/>
      <c r="CG25" s="187" t="s">
        <v>192</v>
      </c>
      <c r="CJ25" s="230">
        <f>+CJ23-CD23</f>
        <v>1641.6300000000047</v>
      </c>
      <c r="CK25" s="105"/>
      <c r="CL25" s="95"/>
      <c r="CM25" s="187" t="s">
        <v>192</v>
      </c>
      <c r="CP25" s="230">
        <f>+CP23-CJ23</f>
        <v>5655.6299999998882</v>
      </c>
      <c r="CQ25" s="105"/>
      <c r="CR25" s="95"/>
      <c r="CS25" s="187" t="s">
        <v>192</v>
      </c>
      <c r="CV25" s="230">
        <f>+CV23-CP23</f>
        <v>9221</v>
      </c>
      <c r="CW25" s="105"/>
      <c r="CX25" s="95"/>
      <c r="CY25" s="187" t="s">
        <v>192</v>
      </c>
      <c r="DB25" s="230">
        <f>+DB23-CV23</f>
        <v>7533.5100000000093</v>
      </c>
      <c r="DC25" s="105"/>
      <c r="DD25" s="95"/>
      <c r="DE25" s="187" t="s">
        <v>192</v>
      </c>
      <c r="DH25" s="230">
        <f>+DH23-DB23</f>
        <v>4270.6000000000931</v>
      </c>
      <c r="DI25" s="105"/>
      <c r="DJ25" s="95"/>
      <c r="DK25" s="187" t="s">
        <v>192</v>
      </c>
      <c r="DN25" s="230">
        <f>+DN23-DH23</f>
        <v>-2204.1699999999255</v>
      </c>
      <c r="DO25" s="95"/>
      <c r="DP25" s="187" t="s">
        <v>192</v>
      </c>
      <c r="DS25" s="230">
        <f>+DS23-DN23</f>
        <v>3938.729999999865</v>
      </c>
      <c r="DT25" s="95"/>
      <c r="DU25" s="187" t="s">
        <v>192</v>
      </c>
      <c r="DX25" s="230">
        <f>+DX23-DS23</f>
        <v>16188.580000000075</v>
      </c>
      <c r="DY25" s="95"/>
      <c r="DZ25" s="187" t="s">
        <v>192</v>
      </c>
      <c r="EC25" s="230">
        <f>+EC23-DX23</f>
        <v>15326.199999999837</v>
      </c>
      <c r="ED25" s="95"/>
      <c r="EH25" s="230">
        <f>+EH23-EC23</f>
        <v>23273.420000000158</v>
      </c>
      <c r="EI25" s="95"/>
      <c r="EM25" s="230">
        <f>+EM23-EH23</f>
        <v>25477.340000000084</v>
      </c>
      <c r="EN25" s="95"/>
      <c r="ER25" s="230">
        <f>+ER23-EM23</f>
        <v>8651.4499999997206</v>
      </c>
      <c r="ES25" s="95"/>
      <c r="EW25" s="230">
        <f>+EW23-ER23</f>
        <v>4125.8400000000838</v>
      </c>
      <c r="EX25" s="95"/>
      <c r="FB25" s="230">
        <f>+FB23-EW23</f>
        <v>10424.680000000168</v>
      </c>
      <c r="FC25" s="95"/>
      <c r="FH25" s="230">
        <f>+FH23-FC23</f>
        <v>1065964.1600000001</v>
      </c>
      <c r="FI25" s="95"/>
    </row>
    <row r="26" spans="1:165" x14ac:dyDescent="0.15">
      <c r="A26" s="54" t="s">
        <v>89</v>
      </c>
      <c r="B26" s="186"/>
      <c r="D26" s="95">
        <f>+D21-D23</f>
        <v>439.38999999989755</v>
      </c>
      <c r="F26" s="32">
        <f>+F21-F23</f>
        <v>-0.43999999994412065</v>
      </c>
      <c r="H26" s="95">
        <f>+D26-F26</f>
        <v>439.82999999984168</v>
      </c>
      <c r="I26" s="186"/>
      <c r="K26" s="95">
        <f>+K21-K23</f>
        <v>483.52888888900634</v>
      </c>
      <c r="M26" s="32">
        <f>+M21-M23</f>
        <v>-182.71999999997206</v>
      </c>
      <c r="O26" s="95">
        <f>+K26-M26</f>
        <v>666.2488888889784</v>
      </c>
      <c r="P26" s="186"/>
      <c r="W26" s="186"/>
      <c r="AD26" s="186"/>
      <c r="EF26" s="231">
        <v>-776.65</v>
      </c>
      <c r="EI26" s="5" t="s">
        <v>499</v>
      </c>
      <c r="EK26" s="231">
        <v>-183.85</v>
      </c>
      <c r="EN26" s="5" t="s">
        <v>499</v>
      </c>
      <c r="EP26" s="231"/>
      <c r="ES26" s="5" t="s">
        <v>499</v>
      </c>
      <c r="EU26" s="231"/>
      <c r="EZ26" s="231"/>
      <c r="FF26" s="231"/>
    </row>
    <row r="27" spans="1:165" x14ac:dyDescent="0.15">
      <c r="B27" s="186"/>
      <c r="I27" s="186"/>
      <c r="P27" s="186"/>
      <c r="W27" s="186"/>
      <c r="AD27" s="186"/>
      <c r="AF27" s="232">
        <f>+AF7+AF8+AF9+AF10</f>
        <v>269126.51</v>
      </c>
      <c r="AG27" s="233"/>
      <c r="AH27" s="232">
        <f>+AH8+AH9</f>
        <v>269126.5</v>
      </c>
      <c r="AI27" s="234" t="s">
        <v>181</v>
      </c>
      <c r="AL27" s="232">
        <f>+AL7+AL8+AL9+AL10</f>
        <v>269672.60000000003</v>
      </c>
      <c r="AM27" s="233"/>
      <c r="AN27" s="232">
        <f>+AN8+AN9</f>
        <v>269672.94</v>
      </c>
      <c r="AO27" s="234" t="s">
        <v>181</v>
      </c>
      <c r="AR27" s="232">
        <f>SUM(AR7:AR12)</f>
        <v>343514.85</v>
      </c>
      <c r="AS27" s="233"/>
      <c r="AT27" s="232">
        <f>SUM(AT7:AT12)</f>
        <v>343514.88999999996</v>
      </c>
      <c r="AU27" s="234" t="s">
        <v>265</v>
      </c>
      <c r="AX27" s="232">
        <f>SUM(AX7:AX12)</f>
        <v>339214.99</v>
      </c>
      <c r="AY27" s="233"/>
      <c r="AZ27" s="232">
        <f>SUM(AZ7:AZ12)</f>
        <v>339214.93</v>
      </c>
      <c r="BA27" s="234" t="s">
        <v>265</v>
      </c>
      <c r="BD27" s="232">
        <f>SUM(BD7:BD12)</f>
        <v>335881.33999999997</v>
      </c>
      <c r="BE27" s="233"/>
      <c r="BF27" s="232">
        <f>SUM(BF7:BF12)</f>
        <v>335881.3</v>
      </c>
      <c r="BG27" s="234" t="s">
        <v>265</v>
      </c>
      <c r="BJ27" s="232">
        <f>SUM(BJ7:BJ12)</f>
        <v>331862.97000000003</v>
      </c>
      <c r="BK27" s="233"/>
      <c r="BL27" s="232">
        <f>SUM(BL7:BL12)</f>
        <v>331863.03999999998</v>
      </c>
      <c r="BM27" s="234" t="s">
        <v>265</v>
      </c>
      <c r="BP27" s="232">
        <f>SUM(BP7:BP12)</f>
        <v>331122.43</v>
      </c>
      <c r="BQ27" s="233"/>
      <c r="BR27" s="232">
        <f>SUM(BR7:BR12)</f>
        <v>331122.45</v>
      </c>
      <c r="BS27" s="234" t="s">
        <v>265</v>
      </c>
      <c r="BV27" s="232">
        <f>SUM(BV7:BV12)</f>
        <v>333359.76</v>
      </c>
      <c r="BW27" s="233"/>
      <c r="BX27" s="232">
        <f>SUM(BX7:BX12)</f>
        <v>333359.57</v>
      </c>
      <c r="BY27" s="234" t="s">
        <v>265</v>
      </c>
      <c r="CB27" s="232">
        <f>SUM(CB7:CB12)</f>
        <v>336737.85</v>
      </c>
      <c r="CC27" s="233"/>
      <c r="CD27" s="232">
        <f>SUM(CD7:CD12)</f>
        <v>336737.92000000004</v>
      </c>
      <c r="CE27" s="234" t="s">
        <v>265</v>
      </c>
      <c r="CH27" s="232">
        <f>SUM(CH7:CH12)</f>
        <v>340412.33</v>
      </c>
      <c r="CI27" s="233"/>
      <c r="CJ27" s="232">
        <f>SUM(CJ7:CJ12)</f>
        <v>340412.44000000006</v>
      </c>
      <c r="CK27" s="234" t="s">
        <v>265</v>
      </c>
      <c r="CN27" s="232">
        <f>(SUM(CN7:CN12)-CR8)-CR9</f>
        <v>346654.74</v>
      </c>
      <c r="CO27" s="233"/>
      <c r="CP27" s="232">
        <f>SUM(CP7:CP12)</f>
        <v>346653.98</v>
      </c>
      <c r="CQ27" s="234" t="s">
        <v>265</v>
      </c>
      <c r="CT27" s="232">
        <f>(SUM(CT7:CT12)-CX8)-CX9</f>
        <v>353740.07</v>
      </c>
      <c r="CU27" s="233"/>
      <c r="CV27" s="232">
        <f>SUM(CV7:CV12)</f>
        <v>353740.04</v>
      </c>
      <c r="CW27" s="234" t="s">
        <v>265</v>
      </c>
      <c r="CZ27" s="232">
        <f>(SUM(CZ7:CZ12)-DD8)-DD9</f>
        <v>356608.47000000003</v>
      </c>
      <c r="DA27" s="233"/>
      <c r="DB27" s="232">
        <f>SUM(DB7:DB12)</f>
        <v>356608.51</v>
      </c>
      <c r="DC27" s="234" t="s">
        <v>265</v>
      </c>
      <c r="DF27" s="232">
        <f>(SUM(DF7:DF12)-DJ8)-DJ9-DJ11</f>
        <v>358969.36000000004</v>
      </c>
      <c r="DG27" s="233"/>
      <c r="DH27" s="232">
        <f>SUM(DH7:DH12)</f>
        <v>358969.36</v>
      </c>
      <c r="DI27" s="234" t="s">
        <v>265</v>
      </c>
      <c r="EW27" s="237">
        <v>777.53</v>
      </c>
      <c r="EX27" s="5" t="s">
        <v>525</v>
      </c>
      <c r="FB27" s="237"/>
      <c r="FC27" s="5" t="s">
        <v>525</v>
      </c>
      <c r="FH27" s="237"/>
      <c r="FI27" s="5" t="s">
        <v>525</v>
      </c>
    </row>
    <row r="28" spans="1:165" x14ac:dyDescent="0.15">
      <c r="A28" s="5" t="s">
        <v>90</v>
      </c>
      <c r="B28" s="186"/>
      <c r="D28" s="113">
        <v>833854.2</v>
      </c>
      <c r="I28" s="186"/>
      <c r="K28" s="113">
        <v>847966.3</v>
      </c>
      <c r="P28" s="186"/>
      <c r="R28" s="113">
        <v>899082.95</v>
      </c>
      <c r="T28" s="5">
        <v>899082.95</v>
      </c>
      <c r="W28" s="186"/>
      <c r="Y28" s="113">
        <v>917503.66999999934</v>
      </c>
      <c r="AA28" s="29"/>
      <c r="AD28" s="186"/>
      <c r="AF28" s="113">
        <v>933836.54</v>
      </c>
      <c r="AH28" s="235">
        <v>267840.86</v>
      </c>
      <c r="AI28" s="236" t="s">
        <v>186</v>
      </c>
      <c r="AJ28" s="236"/>
      <c r="AL28" s="113">
        <v>943631.69</v>
      </c>
      <c r="AN28" s="235">
        <v>268575.08</v>
      </c>
      <c r="AO28" s="236" t="s">
        <v>186</v>
      </c>
      <c r="AP28" s="236"/>
      <c r="AR28" s="113">
        <v>942605.34</v>
      </c>
      <c r="AT28" s="235">
        <v>341411.7</v>
      </c>
      <c r="AU28" s="236" t="s">
        <v>203</v>
      </c>
      <c r="AV28" s="236"/>
      <c r="AX28" s="113">
        <v>940367.21</v>
      </c>
      <c r="AZ28" s="235">
        <v>335784.71</v>
      </c>
      <c r="BA28" s="236" t="s">
        <v>203</v>
      </c>
      <c r="BB28" s="236"/>
      <c r="BD28" s="113">
        <v>945605.33</v>
      </c>
      <c r="BF28" s="235">
        <v>332837.98</v>
      </c>
      <c r="BG28" s="236" t="s">
        <v>203</v>
      </c>
      <c r="BH28" s="236"/>
      <c r="BJ28" s="113">
        <v>950337.37</v>
      </c>
      <c r="BL28" s="235">
        <v>329698.28999999998</v>
      </c>
      <c r="BM28" s="236" t="s">
        <v>203</v>
      </c>
      <c r="BN28" s="236"/>
      <c r="BP28" s="113">
        <v>953183.12</v>
      </c>
      <c r="BR28" s="235">
        <v>328751.90000000002</v>
      </c>
      <c r="BS28" s="236" t="s">
        <v>203</v>
      </c>
      <c r="BT28" s="236"/>
      <c r="BV28" s="113">
        <v>956799.11</v>
      </c>
      <c r="BX28" s="235">
        <v>331202.78000000003</v>
      </c>
      <c r="BY28" s="236" t="s">
        <v>203</v>
      </c>
      <c r="BZ28" s="236"/>
      <c r="CB28" s="113">
        <v>962136.45</v>
      </c>
      <c r="CD28" s="235">
        <v>334514.99</v>
      </c>
      <c r="CE28" s="236" t="s">
        <v>203</v>
      </c>
      <c r="CF28" s="236"/>
      <c r="CH28" s="113">
        <v>963299.5299999998</v>
      </c>
      <c r="CJ28" s="235">
        <v>337797.39</v>
      </c>
      <c r="CK28" s="236" t="s">
        <v>203</v>
      </c>
      <c r="CL28" s="236"/>
      <c r="CN28" s="113">
        <v>967648.24</v>
      </c>
      <c r="CP28" s="235">
        <v>344043.8</v>
      </c>
      <c r="CQ28" s="236" t="s">
        <v>203</v>
      </c>
      <c r="CR28" s="236"/>
      <c r="CT28" s="113">
        <v>973952.18</v>
      </c>
      <c r="CV28" s="235">
        <v>350434.45</v>
      </c>
      <c r="CW28" s="236" t="s">
        <v>203</v>
      </c>
      <c r="CX28" s="236"/>
      <c r="CZ28" s="113">
        <v>980552.15</v>
      </c>
      <c r="DB28" s="235">
        <v>353829.32</v>
      </c>
      <c r="DC28" s="236" t="s">
        <v>203</v>
      </c>
      <c r="DD28" s="236"/>
      <c r="DF28" s="113">
        <v>987732.97</v>
      </c>
      <c r="DH28" s="235">
        <f>279038.07+78504.52</f>
        <v>357542.59</v>
      </c>
      <c r="DI28" s="236" t="s">
        <v>203</v>
      </c>
      <c r="DJ28" s="236"/>
      <c r="DL28" s="113"/>
      <c r="DQ28" s="113"/>
      <c r="DV28" s="113"/>
      <c r="EA28" s="113"/>
      <c r="EF28" s="113"/>
      <c r="EK28" s="113"/>
      <c r="EP28" s="113"/>
      <c r="EU28" s="113"/>
      <c r="EW28" s="237">
        <f>114.78+329.75</f>
        <v>444.53</v>
      </c>
      <c r="EX28" s="5" t="s">
        <v>526</v>
      </c>
      <c r="EZ28" s="113"/>
      <c r="FB28" s="237">
        <f>120.32+303.1</f>
        <v>423.42</v>
      </c>
      <c r="FC28" s="5" t="s">
        <v>526</v>
      </c>
      <c r="FF28" s="113"/>
      <c r="FH28" s="237">
        <f>125.15+133.38</f>
        <v>258.52999999999997</v>
      </c>
      <c r="FI28" s="5" t="s">
        <v>526</v>
      </c>
    </row>
    <row r="29" spans="1:165" x14ac:dyDescent="0.15">
      <c r="A29" s="5" t="s">
        <v>91</v>
      </c>
      <c r="B29" s="186"/>
      <c r="I29" s="186"/>
      <c r="P29" s="186"/>
      <c r="T29" s="95">
        <f>+T23-T28</f>
        <v>-229.82999999995809</v>
      </c>
      <c r="W29" s="186"/>
      <c r="AD29" s="186"/>
      <c r="EH29" s="237">
        <v>376.33</v>
      </c>
      <c r="EI29" s="5" t="s">
        <v>500</v>
      </c>
      <c r="EM29" s="237">
        <v>397.35</v>
      </c>
      <c r="EN29" s="5" t="s">
        <v>500</v>
      </c>
      <c r="ER29" s="237">
        <f>423.67+34.62+11.3</f>
        <v>469.59000000000003</v>
      </c>
      <c r="ES29" s="5" t="s">
        <v>520</v>
      </c>
      <c r="EW29" s="237">
        <f>469.82+32.2</f>
        <v>502.02</v>
      </c>
      <c r="EX29" s="5" t="s">
        <v>520</v>
      </c>
      <c r="FB29" s="237">
        <f>497.23+1.4+34.8</f>
        <v>533.42999999999995</v>
      </c>
      <c r="FC29" s="5" t="s">
        <v>537</v>
      </c>
      <c r="FH29" s="237">
        <f>497.23+1.4+34.8</f>
        <v>533.42999999999995</v>
      </c>
      <c r="FI29" s="5" t="s">
        <v>537</v>
      </c>
    </row>
    <row r="30" spans="1:165" x14ac:dyDescent="0.15">
      <c r="A30" s="5" t="s">
        <v>92</v>
      </c>
      <c r="B30" s="186"/>
      <c r="D30" s="113">
        <v>31970.82</v>
      </c>
      <c r="I30" s="186"/>
      <c r="K30" s="113">
        <v>34202.53</v>
      </c>
      <c r="P30" s="186"/>
      <c r="R30" s="5" t="s">
        <v>93</v>
      </c>
      <c r="W30" s="186"/>
      <c r="Y30" s="5" t="s">
        <v>93</v>
      </c>
      <c r="AD30" s="186"/>
      <c r="AF30" s="5" t="s">
        <v>93</v>
      </c>
      <c r="AH30" s="95">
        <f>AH21</f>
        <v>930134.55999999994</v>
      </c>
      <c r="AI30" s="5" t="s">
        <v>189</v>
      </c>
      <c r="AL30" s="5" t="s">
        <v>93</v>
      </c>
      <c r="AN30" s="95">
        <f>AN21</f>
        <v>939204.63</v>
      </c>
      <c r="AO30" s="5" t="s">
        <v>189</v>
      </c>
      <c r="AR30" s="5" t="s">
        <v>93</v>
      </c>
      <c r="AT30" s="95">
        <f>AT21</f>
        <v>940647.55999999994</v>
      </c>
      <c r="AU30" s="5" t="s">
        <v>189</v>
      </c>
      <c r="AX30" s="5" t="s">
        <v>93</v>
      </c>
      <c r="AZ30" s="95">
        <f>AZ21</f>
        <v>942918.92</v>
      </c>
      <c r="BA30" s="5" t="s">
        <v>189</v>
      </c>
      <c r="BD30" s="5" t="s">
        <v>93</v>
      </c>
      <c r="BF30" s="95">
        <f>BF21</f>
        <v>948218.39</v>
      </c>
      <c r="BG30" s="5" t="s">
        <v>189</v>
      </c>
      <c r="BJ30" s="5" t="s">
        <v>93</v>
      </c>
      <c r="BL30" s="95">
        <f>BL21</f>
        <v>949887.84</v>
      </c>
      <c r="BM30" s="5" t="s">
        <v>189</v>
      </c>
      <c r="BP30" s="5" t="s">
        <v>93</v>
      </c>
      <c r="BR30" s="95">
        <f>BR21</f>
        <v>952807.63</v>
      </c>
      <c r="BS30" s="5" t="s">
        <v>189</v>
      </c>
      <c r="BV30" s="5" t="s">
        <v>93</v>
      </c>
      <c r="BX30" s="95">
        <f>BX21</f>
        <v>956411.78</v>
      </c>
      <c r="BY30" s="5" t="s">
        <v>189</v>
      </c>
      <c r="CB30" s="5" t="s">
        <v>93</v>
      </c>
      <c r="CD30" s="95">
        <f>CD21</f>
        <v>961692.74</v>
      </c>
      <c r="CE30" s="5" t="s">
        <v>189</v>
      </c>
      <c r="CH30" s="5" t="s">
        <v>93</v>
      </c>
      <c r="CJ30" s="95">
        <f>CJ21</f>
        <v>962721.34000000008</v>
      </c>
      <c r="CK30" s="5" t="s">
        <v>189</v>
      </c>
      <c r="CN30" s="5" t="s">
        <v>93</v>
      </c>
      <c r="CP30" s="95">
        <f>CP21</f>
        <v>968069.95</v>
      </c>
      <c r="CQ30" s="5" t="s">
        <v>189</v>
      </c>
      <c r="CT30" s="5" t="s">
        <v>93</v>
      </c>
      <c r="CV30" s="95">
        <f>CV21</f>
        <v>976648.98</v>
      </c>
      <c r="CW30" s="5" t="s">
        <v>189</v>
      </c>
      <c r="CZ30" s="5" t="s">
        <v>93</v>
      </c>
      <c r="DB30" s="95">
        <f>DB21</f>
        <v>983524.47</v>
      </c>
      <c r="DC30" s="5" t="s">
        <v>189</v>
      </c>
      <c r="DF30" s="5" t="s">
        <v>93</v>
      </c>
      <c r="DH30" s="95">
        <f>DH21</f>
        <v>987495.47</v>
      </c>
      <c r="DI30" s="5" t="s">
        <v>189</v>
      </c>
      <c r="DN30" s="95">
        <f>DN21</f>
        <v>985296.84000000008</v>
      </c>
      <c r="DO30" s="5" t="s">
        <v>189</v>
      </c>
      <c r="DS30" s="95">
        <f>DS21</f>
        <v>988380.16999999993</v>
      </c>
      <c r="DT30" s="5" t="s">
        <v>189</v>
      </c>
      <c r="DX30" s="95">
        <f>DX21</f>
        <v>1003217.3200000001</v>
      </c>
      <c r="DY30" s="5" t="s">
        <v>189</v>
      </c>
      <c r="EC30" s="95">
        <f>EC21</f>
        <v>1013528.4199999999</v>
      </c>
      <c r="ED30" s="5" t="s">
        <v>189</v>
      </c>
      <c r="EH30" s="95"/>
      <c r="EM30" s="95"/>
      <c r="ER30" s="95"/>
      <c r="EW30" s="95"/>
      <c r="FB30" s="95"/>
      <c r="FH30" s="95"/>
    </row>
    <row r="31" spans="1:165" ht="11.25" thickBot="1" x14ac:dyDescent="0.2">
      <c r="A31" s="5" t="s">
        <v>359</v>
      </c>
      <c r="B31" s="186"/>
      <c r="D31" s="108"/>
      <c r="I31" s="186"/>
      <c r="K31" s="108"/>
      <c r="P31" s="186"/>
      <c r="R31" s="108"/>
      <c r="W31" s="186"/>
      <c r="Y31" s="108"/>
      <c r="AD31" s="186"/>
      <c r="AF31" s="108"/>
      <c r="AH31" s="5">
        <f>167.62+53.33</f>
        <v>220.95</v>
      </c>
      <c r="AI31" s="5" t="s">
        <v>190</v>
      </c>
      <c r="AL31" s="108"/>
      <c r="AN31" s="5">
        <f>170.98+59.07</f>
        <v>230.04999999999998</v>
      </c>
      <c r="AO31" s="5" t="s">
        <v>190</v>
      </c>
      <c r="AR31" s="108"/>
      <c r="AT31" s="29">
        <f>208.67+44.16</f>
        <v>252.82999999999998</v>
      </c>
      <c r="AU31" s="5" t="s">
        <v>190</v>
      </c>
      <c r="AX31" s="108"/>
      <c r="AZ31" s="29">
        <f>328.51+36.29+231.33</f>
        <v>596.13</v>
      </c>
      <c r="BA31" s="5" t="s">
        <v>274</v>
      </c>
      <c r="BD31" s="108"/>
      <c r="BF31" s="29">
        <f>218.22+340.97+37.2</f>
        <v>596.3900000000001</v>
      </c>
      <c r="BG31" s="5" t="s">
        <v>274</v>
      </c>
      <c r="BJ31" s="108"/>
      <c r="BL31" s="29">
        <v>594.21</v>
      </c>
      <c r="BM31" s="5" t="s">
        <v>274</v>
      </c>
      <c r="BP31" s="108"/>
      <c r="BR31" s="29">
        <f>243.06+384.42+67.04</f>
        <v>694.52</v>
      </c>
      <c r="BS31" s="5" t="s">
        <v>274</v>
      </c>
      <c r="BV31" s="108"/>
      <c r="BX31" s="29">
        <f>303.59+14.4+380.94+99.38</f>
        <v>798.31</v>
      </c>
      <c r="BY31" s="5" t="s">
        <v>324</v>
      </c>
      <c r="CB31" s="108"/>
      <c r="CD31" s="29">
        <f>307.3+309.57+385.24+98.22</f>
        <v>1100.33</v>
      </c>
      <c r="CE31" s="5" t="s">
        <v>324</v>
      </c>
      <c r="CH31" s="108"/>
      <c r="CJ31" s="29">
        <f>284.65+239.14+349.74+98.67</f>
        <v>972.19999999999993</v>
      </c>
      <c r="CK31" s="5" t="s">
        <v>324</v>
      </c>
      <c r="CN31" s="108"/>
      <c r="CP31" s="29">
        <f>361.88+340.67+130.41</f>
        <v>832.95999999999992</v>
      </c>
      <c r="CQ31" s="5" t="s">
        <v>343</v>
      </c>
      <c r="CT31" s="108"/>
      <c r="CV31" s="29">
        <f>321.31+324.88+131.29</f>
        <v>777.48</v>
      </c>
      <c r="CW31" s="5" t="s">
        <v>274</v>
      </c>
      <c r="CZ31" s="108"/>
      <c r="DB31" s="29">
        <f>288.62+357.54+130.53</f>
        <v>776.69</v>
      </c>
      <c r="DC31" s="5" t="s">
        <v>274</v>
      </c>
      <c r="DF31" s="108"/>
      <c r="DH31" s="29">
        <f>287.42+338.91+141.27</f>
        <v>767.6</v>
      </c>
      <c r="DI31" s="5" t="s">
        <v>274</v>
      </c>
      <c r="DN31" s="29">
        <f>203.76+281.68+155.46</f>
        <v>640.9</v>
      </c>
      <c r="DO31" s="5" t="s">
        <v>274</v>
      </c>
      <c r="DS31" s="29">
        <f>155.99+303.18+157.1</f>
        <v>616.27</v>
      </c>
      <c r="DT31" s="5" t="s">
        <v>274</v>
      </c>
      <c r="DX31" s="29">
        <f>142.09+300.3+166.3</f>
        <v>608.69000000000005</v>
      </c>
      <c r="DY31" s="5" t="s">
        <v>274</v>
      </c>
      <c r="EC31" s="29">
        <f>132.94+315.57+180.19</f>
        <v>628.70000000000005</v>
      </c>
      <c r="ED31" s="5" t="s">
        <v>274</v>
      </c>
      <c r="EH31" s="238">
        <f>149.86+334.68+157.34</f>
        <v>641.88</v>
      </c>
      <c r="EI31" s="5" t="s">
        <v>274</v>
      </c>
      <c r="EM31" s="238">
        <f>131.78+337.75+149.71</f>
        <v>619.24</v>
      </c>
      <c r="EN31" s="5" t="s">
        <v>274</v>
      </c>
      <c r="ER31" s="238">
        <f>116.04+336.81+157.49</f>
        <v>610.34</v>
      </c>
      <c r="ES31" s="5" t="s">
        <v>274</v>
      </c>
      <c r="EW31" s="238">
        <f>111+382.05+194.33</f>
        <v>687.38</v>
      </c>
      <c r="EX31" s="5" t="s">
        <v>274</v>
      </c>
      <c r="FB31" s="238">
        <f>142.7+1.11+373.47+238.58</f>
        <v>755.86</v>
      </c>
      <c r="FC31" s="5" t="s">
        <v>536</v>
      </c>
      <c r="FH31" s="238">
        <f>142.7+1.11+373.47+238.58</f>
        <v>755.86</v>
      </c>
      <c r="FI31" s="5" t="s">
        <v>536</v>
      </c>
    </row>
    <row r="32" spans="1:165" x14ac:dyDescent="0.15">
      <c r="A32" s="218"/>
      <c r="B32" s="186"/>
      <c r="D32" s="95">
        <f>SUM(D28:D31)</f>
        <v>865825.0199999999</v>
      </c>
      <c r="I32" s="186"/>
      <c r="K32" s="95">
        <f>SUM(K28:K31)</f>
        <v>882168.83000000007</v>
      </c>
      <c r="P32" s="186"/>
      <c r="R32" s="95">
        <f>SUM(R28:R31)</f>
        <v>899082.95</v>
      </c>
      <c r="W32" s="186"/>
      <c r="Y32" s="95">
        <f>SUM(Y28:Y31)</f>
        <v>917503.66999999934</v>
      </c>
      <c r="AD32" s="186"/>
      <c r="AF32" s="95">
        <f>SUM(AF28:AF31)</f>
        <v>933836.54</v>
      </c>
      <c r="AH32" s="239">
        <f>AH30-AH31</f>
        <v>929913.61</v>
      </c>
      <c r="AI32" s="240" t="s">
        <v>271</v>
      </c>
      <c r="AJ32" s="240"/>
      <c r="AL32" s="95">
        <f>SUM(AL28:AL31)</f>
        <v>943631.69</v>
      </c>
      <c r="AN32" s="239">
        <f>AN30-AN31</f>
        <v>938974.58</v>
      </c>
      <c r="AO32" s="240" t="s">
        <v>271</v>
      </c>
      <c r="AP32" s="240"/>
      <c r="AR32" s="95">
        <f>SUM(AR28:AR31)</f>
        <v>942605.34</v>
      </c>
      <c r="AT32" s="239">
        <f>AT30-AT31</f>
        <v>940394.73</v>
      </c>
      <c r="AU32" s="240" t="s">
        <v>271</v>
      </c>
      <c r="AV32" s="240"/>
      <c r="AX32" s="95">
        <f>SUM(AX28:AX31)</f>
        <v>940367.21</v>
      </c>
      <c r="AZ32" s="239">
        <f>AZ30-AZ31</f>
        <v>942322.79</v>
      </c>
      <c r="BA32" s="240" t="s">
        <v>271</v>
      </c>
      <c r="BB32" s="240"/>
      <c r="BD32" s="95">
        <f>SUM(BD28:BD31)</f>
        <v>945605.33</v>
      </c>
      <c r="BF32" s="239">
        <f>BF30-BF31</f>
        <v>947622</v>
      </c>
      <c r="BG32" s="240" t="s">
        <v>271</v>
      </c>
      <c r="BH32" s="240"/>
      <c r="BJ32" s="95">
        <f>SUM(BJ28:BJ31)</f>
        <v>950337.37</v>
      </c>
      <c r="BL32" s="239">
        <f>BL30-BL31</f>
        <v>949293.63</v>
      </c>
      <c r="BM32" s="240" t="s">
        <v>271</v>
      </c>
      <c r="BN32" s="240"/>
      <c r="BP32" s="95">
        <f>SUM(BP28:BP31)</f>
        <v>953183.12</v>
      </c>
      <c r="BR32" s="239">
        <f>BR30-BR31</f>
        <v>952113.11</v>
      </c>
      <c r="BS32" s="240" t="s">
        <v>271</v>
      </c>
      <c r="BT32" s="240"/>
      <c r="BV32" s="95">
        <f>SUM(BV28:BV31)</f>
        <v>956799.11</v>
      </c>
      <c r="BX32" s="239">
        <f>BX30-BX31</f>
        <v>955613.47</v>
      </c>
      <c r="BY32" s="240" t="s">
        <v>271</v>
      </c>
      <c r="BZ32" s="240"/>
      <c r="CB32" s="95">
        <f>SUM(CB28:CB31)</f>
        <v>962136.45</v>
      </c>
      <c r="CD32" s="239">
        <f>CD30-CD31</f>
        <v>960592.41</v>
      </c>
      <c r="CE32" s="240" t="s">
        <v>271</v>
      </c>
      <c r="CF32" s="240"/>
      <c r="CH32" s="95">
        <f>SUM(CH28:CH31)</f>
        <v>963299.5299999998</v>
      </c>
      <c r="CJ32" s="239">
        <f>CJ30-CJ31</f>
        <v>961749.14000000013</v>
      </c>
      <c r="CK32" s="240" t="s">
        <v>271</v>
      </c>
      <c r="CL32" s="240"/>
      <c r="CN32" s="95">
        <f>SUM(CN28:CN31)</f>
        <v>967648.24</v>
      </c>
      <c r="CP32" s="216">
        <f>CP30-CP31</f>
        <v>967236.99</v>
      </c>
      <c r="CQ32" s="216" t="s">
        <v>271</v>
      </c>
      <c r="CR32" s="216"/>
      <c r="CT32" s="95">
        <f>SUM(CT28:CT31)</f>
        <v>973952.18</v>
      </c>
      <c r="CV32" s="239">
        <f>CV30-CV31</f>
        <v>975871.5</v>
      </c>
      <c r="CW32" s="216" t="s">
        <v>271</v>
      </c>
      <c r="CX32" s="216"/>
      <c r="CZ32" s="95">
        <f>SUM(CZ28:CZ31)</f>
        <v>980552.15</v>
      </c>
      <c r="DB32" s="239">
        <f>DB30-DB31</f>
        <v>982747.78</v>
      </c>
      <c r="DC32" s="216" t="s">
        <v>271</v>
      </c>
      <c r="DD32" s="216"/>
      <c r="DF32" s="95">
        <f>SUM(DF28:DF31)</f>
        <v>987732.97</v>
      </c>
      <c r="DH32" s="95">
        <f>DH30-DH31</f>
        <v>986727.87</v>
      </c>
      <c r="DN32" s="95">
        <f>DN30-DN31</f>
        <v>984655.94000000006</v>
      </c>
      <c r="DS32" s="95">
        <f>DS30-DS31</f>
        <v>987763.89999999991</v>
      </c>
      <c r="DX32" s="95">
        <f>DX30-DX31</f>
        <v>1002608.6300000001</v>
      </c>
      <c r="EC32" s="95">
        <f>EC30-EC31+EC24</f>
        <v>1013524.45</v>
      </c>
      <c r="EH32" s="206">
        <f>EF23+EF26-EF22-915.5-167.82</f>
        <v>1036132.5299999999</v>
      </c>
      <c r="EI32" s="206"/>
      <c r="EM32" s="206">
        <f>EK23+EK26-EK22</f>
        <v>1059154.17</v>
      </c>
      <c r="EN32" s="206"/>
      <c r="ER32" s="206"/>
      <c r="ES32" s="206"/>
      <c r="EU32" s="229"/>
      <c r="EW32" s="206"/>
      <c r="EX32" s="206"/>
      <c r="EZ32" s="229"/>
      <c r="FB32" s="206"/>
      <c r="FC32" s="206"/>
      <c r="FF32" s="229"/>
      <c r="FH32" s="206"/>
      <c r="FI32" s="206"/>
    </row>
    <row r="33" spans="1:165" x14ac:dyDescent="0.15">
      <c r="A33" s="216" t="s">
        <v>88</v>
      </c>
      <c r="B33" s="186"/>
      <c r="I33" s="186"/>
      <c r="P33" s="186"/>
      <c r="W33" s="186"/>
      <c r="AD33" s="186"/>
      <c r="DH33" s="239">
        <v>986583.79</v>
      </c>
      <c r="DI33" s="216" t="s">
        <v>271</v>
      </c>
      <c r="DJ33" s="216"/>
      <c r="DN33" s="239">
        <f>DL21</f>
        <v>984285.3600000001</v>
      </c>
      <c r="DO33" s="216" t="s">
        <v>271</v>
      </c>
      <c r="DS33" s="239">
        <f>DQ21</f>
        <v>987757.43999999983</v>
      </c>
      <c r="DT33" s="216" t="s">
        <v>271</v>
      </c>
      <c r="DX33" s="239">
        <f>DV21</f>
        <v>1002609.2500000001</v>
      </c>
      <c r="DY33" s="216" t="s">
        <v>482</v>
      </c>
      <c r="EC33" s="206">
        <f>EA21+EA24+82.9-98</f>
        <v>1013524.93</v>
      </c>
      <c r="ED33" s="216" t="s">
        <v>482</v>
      </c>
      <c r="EH33" s="239">
        <f>EH21+EH19-EH31-EH29-915.5-167.82</f>
        <v>1036132.5800000002</v>
      </c>
      <c r="EI33" s="239" t="s">
        <v>482</v>
      </c>
      <c r="EK33" s="239">
        <f>EM23-EM22-EM31-EM29</f>
        <v>1060099.43</v>
      </c>
      <c r="EM33" s="239">
        <v>1058218.01</v>
      </c>
      <c r="EN33" s="239" t="s">
        <v>482</v>
      </c>
      <c r="EP33" s="239">
        <f>EP23-EP22-ER31-ER29</f>
        <v>1067359.5299999996</v>
      </c>
      <c r="ER33" s="239">
        <v>1067358.1280000005</v>
      </c>
      <c r="ES33" s="239" t="s">
        <v>482</v>
      </c>
      <c r="EU33" s="239">
        <f>EU23-EU22-EW31-EW29-EW28-EW27</f>
        <v>1067452.73</v>
      </c>
      <c r="EW33" s="239">
        <v>1069087.27</v>
      </c>
      <c r="EX33" s="239" t="s">
        <v>482</v>
      </c>
      <c r="EZ33" s="239">
        <f>EZ23-EZ22-FB31-FB29-FB28-FB27</f>
        <v>1076286.78</v>
      </c>
      <c r="FB33" s="239">
        <f>FB21+FB19-FB31-FB29</f>
        <v>1078447.06</v>
      </c>
      <c r="FC33" s="239" t="s">
        <v>482</v>
      </c>
      <c r="FF33" s="239">
        <f>FF23-FF22-FH31-FH29-FH28-FH27</f>
        <v>1035752.3399999999</v>
      </c>
      <c r="FH33" s="239">
        <f>FH21+FH19-FH31-FH29</f>
        <v>1036596.6599999999</v>
      </c>
      <c r="FI33" s="239" t="s">
        <v>482</v>
      </c>
    </row>
    <row r="34" spans="1:165" x14ac:dyDescent="0.15">
      <c r="B34" s="186"/>
      <c r="D34" s="95">
        <f>+D23-D32</f>
        <v>-29.019999999902211</v>
      </c>
      <c r="I34" s="186"/>
      <c r="K34" s="95">
        <f>+K23-K32</f>
        <v>-71.830000000074506</v>
      </c>
      <c r="P34" s="186"/>
      <c r="R34" s="95">
        <f>+R23-R32</f>
        <v>-229.82999999995809</v>
      </c>
      <c r="W34" s="186"/>
      <c r="Y34" s="95">
        <f>+Y23-Y32</f>
        <v>5521.4300000007497</v>
      </c>
      <c r="AD34" s="186"/>
      <c r="AF34" s="95">
        <f>+AF23-AF32</f>
        <v>2328.1199999999953</v>
      </c>
      <c r="AL34" s="95">
        <f>+AL23-AL32</f>
        <v>2331.7100000001956</v>
      </c>
      <c r="AR34" s="95">
        <f>+AR23-AR32</f>
        <v>5209.0500000000466</v>
      </c>
      <c r="AX34" s="95">
        <f>+AX23-AX32</f>
        <v>9881.4600000000792</v>
      </c>
      <c r="BD34" s="95">
        <f>+BD23-BD32</f>
        <v>10322.319999999949</v>
      </c>
      <c r="BJ34" s="95">
        <f>+BJ23-BJ32</f>
        <v>7756.7100000001956</v>
      </c>
      <c r="BP34" s="95">
        <f>+BP23-BP32</f>
        <v>8271.7599999998929</v>
      </c>
      <c r="BV34" s="95">
        <f>+BV23-BV32</f>
        <v>8575.25</v>
      </c>
      <c r="CB34" s="95">
        <f>+CB23-CB32</f>
        <v>8711.7400000001071</v>
      </c>
      <c r="CH34" s="95">
        <f>+CH23-CH32</f>
        <v>9260.7700000002515</v>
      </c>
      <c r="CN34" s="95">
        <f>+CN23-CN32</f>
        <v>6966.5100000000093</v>
      </c>
      <c r="CT34" s="95">
        <f>+CT23-CT32</f>
        <v>6138.6299999998882</v>
      </c>
      <c r="CZ34" s="95">
        <f>+CZ23-CZ32</f>
        <v>6676.9000000000233</v>
      </c>
      <c r="DF34" s="95">
        <f>+DF23-DF32</f>
        <v>3669.4500000000698</v>
      </c>
      <c r="DH34" s="239" t="s">
        <v>429</v>
      </c>
      <c r="DI34" s="239"/>
      <c r="DJ34" s="239"/>
      <c r="DL34" s="95"/>
      <c r="DN34" s="5" t="s">
        <v>429</v>
      </c>
      <c r="DQ34" s="95"/>
      <c r="DS34" s="5" t="s">
        <v>429</v>
      </c>
      <c r="DV34" s="95"/>
      <c r="DX34" s="5" t="s">
        <v>429</v>
      </c>
      <c r="EA34" s="95"/>
      <c r="EF34" s="95"/>
      <c r="EK34" s="95"/>
      <c r="EP34" s="95"/>
      <c r="EU34" s="95"/>
      <c r="EZ34" s="95"/>
      <c r="FF34" s="95"/>
    </row>
  </sheetData>
  <phoneticPr fontId="0" type="noConversion"/>
  <pageMargins left="0.5" right="0.5" top="1" bottom="1" header="0.5" footer="0.5"/>
  <pageSetup orientation="landscape" r:id="rId1"/>
  <headerFooter alignWithMargins="0">
    <oddHeader>&amp;A</oddHeader>
    <oddFooter>&amp;CPage &amp;P&amp;R&amp;D</oddFooter>
  </headerFooter>
  <colBreaks count="12" manualBreakCount="12">
    <brk id="16" max="1048575" man="1"/>
    <brk id="30" max="1048575" man="1"/>
    <brk id="42" max="1048575" man="1"/>
    <brk id="54" max="1048575" man="1"/>
    <brk id="66" max="1048575" man="1"/>
    <brk id="84" max="1048575" man="1"/>
    <brk id="96" max="1048575" man="1"/>
    <brk id="108" max="1048575" man="1"/>
    <brk id="119" max="1048575" man="1"/>
    <brk id="129" max="1048575" man="1"/>
    <brk id="134" max="1048575" man="1"/>
    <brk id="1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8"/>
  <sheetViews>
    <sheetView topLeftCell="A51" zoomScale="75" zoomScaleNormal="75" workbookViewId="0">
      <selection activeCell="D94" sqref="D94"/>
    </sheetView>
  </sheetViews>
  <sheetFormatPr defaultRowHeight="16.5" x14ac:dyDescent="0.3"/>
  <cols>
    <col min="1" max="1" width="42.42578125" style="244" customWidth="1"/>
    <col min="2" max="2" width="11.140625" style="244" customWidth="1"/>
    <col min="3" max="3" width="11.140625" style="517" customWidth="1"/>
    <col min="4" max="4" width="11.140625" style="244" customWidth="1"/>
    <col min="5" max="5" width="11.140625" style="517" customWidth="1"/>
    <col min="6" max="6" width="11.140625" style="244" customWidth="1"/>
    <col min="7" max="7" width="11.140625" style="517" customWidth="1"/>
    <col min="8" max="9" width="11.140625" style="518" customWidth="1"/>
    <col min="10" max="16384" width="9.140625" style="244"/>
  </cols>
  <sheetData>
    <row r="1" spans="1:9" s="783" customFormat="1" ht="20.25" x14ac:dyDescent="0.35">
      <c r="A1" s="887" t="s">
        <v>369</v>
      </c>
      <c r="B1" s="888"/>
      <c r="C1" s="888"/>
      <c r="D1" s="888"/>
      <c r="E1" s="888"/>
      <c r="F1" s="888"/>
      <c r="G1" s="888"/>
      <c r="H1" s="888"/>
      <c r="I1" s="889"/>
    </row>
    <row r="2" spans="1:9" s="783" customFormat="1" ht="21" thickBot="1" x14ac:dyDescent="0.4">
      <c r="A2" s="884" t="s">
        <v>547</v>
      </c>
      <c r="B2" s="885"/>
      <c r="C2" s="885"/>
      <c r="D2" s="885"/>
      <c r="E2" s="885"/>
      <c r="F2" s="885"/>
      <c r="G2" s="885"/>
      <c r="H2" s="885"/>
      <c r="I2" s="890"/>
    </row>
    <row r="3" spans="1:9" ht="17.25" thickBot="1" x14ac:dyDescent="0.35"/>
    <row r="4" spans="1:9" s="784" customFormat="1" ht="17.25" x14ac:dyDescent="0.3">
      <c r="A4" s="791" t="s">
        <v>63</v>
      </c>
      <c r="B4" s="792" t="s">
        <v>533</v>
      </c>
      <c r="C4" s="793"/>
      <c r="D4" s="792" t="s">
        <v>543</v>
      </c>
      <c r="E4" s="793"/>
      <c r="F4" s="794" t="s">
        <v>370</v>
      </c>
      <c r="G4" s="795"/>
      <c r="H4" s="796"/>
      <c r="I4" s="797"/>
    </row>
    <row r="5" spans="1:9" s="784" customFormat="1" ht="18" thickBot="1" x14ac:dyDescent="0.35">
      <c r="A5" s="798" t="s">
        <v>374</v>
      </c>
      <c r="B5" s="799" t="s">
        <v>6</v>
      </c>
      <c r="C5" s="800" t="s">
        <v>335</v>
      </c>
      <c r="D5" s="799" t="s">
        <v>6</v>
      </c>
      <c r="E5" s="800" t="s">
        <v>335</v>
      </c>
      <c r="F5" s="801" t="s">
        <v>6</v>
      </c>
      <c r="G5" s="802" t="s">
        <v>335</v>
      </c>
      <c r="H5" s="803" t="s">
        <v>94</v>
      </c>
      <c r="I5" s="804" t="s">
        <v>371</v>
      </c>
    </row>
    <row r="6" spans="1:9" x14ac:dyDescent="0.3">
      <c r="A6" s="519" t="s">
        <v>95</v>
      </c>
      <c r="B6" s="520">
        <v>1382.5300000000002</v>
      </c>
      <c r="C6" s="521">
        <v>146676.15540349935</v>
      </c>
      <c r="D6" s="520">
        <f>Table3WS1!F6</f>
        <v>1414.4</v>
      </c>
      <c r="E6" s="521">
        <f>Table3WS1!G6</f>
        <v>150748.18491940043</v>
      </c>
      <c r="F6" s="522">
        <f t="shared" ref="F6:G12" si="0">+D6-B6</f>
        <v>31.869999999999891</v>
      </c>
      <c r="G6" s="523">
        <f t="shared" si="0"/>
        <v>4072.0295159010857</v>
      </c>
      <c r="H6" s="524">
        <f t="shared" ref="H6:H13" si="1">IF(F6=0,0,F6/B6)</f>
        <v>2.3051941006705018E-2</v>
      </c>
      <c r="I6" s="525">
        <f t="shared" ref="I6:I13" si="2">IF(G6=0,0,G6/C6)</f>
        <v>2.7762041517239936E-2</v>
      </c>
    </row>
    <row r="7" spans="1:9" x14ac:dyDescent="0.3">
      <c r="A7" s="519" t="s">
        <v>96</v>
      </c>
      <c r="B7" s="520">
        <v>3589.5399999999995</v>
      </c>
      <c r="C7" s="521">
        <v>131034.80176847173</v>
      </c>
      <c r="D7" s="520">
        <f>Table3WS1!F11</f>
        <v>3614.11</v>
      </c>
      <c r="E7" s="521">
        <f>Table3WS1!G11</f>
        <v>136215.23511735947</v>
      </c>
      <c r="F7" s="522">
        <f t="shared" si="0"/>
        <v>24.570000000000618</v>
      </c>
      <c r="G7" s="523">
        <f t="shared" si="0"/>
        <v>5180.433348887731</v>
      </c>
      <c r="H7" s="524">
        <f t="shared" si="1"/>
        <v>6.8448882029453978E-3</v>
      </c>
      <c r="I7" s="525">
        <f t="shared" si="2"/>
        <v>3.9534789834239248E-2</v>
      </c>
    </row>
    <row r="8" spans="1:9" x14ac:dyDescent="0.3">
      <c r="A8" s="519" t="s">
        <v>97</v>
      </c>
      <c r="B8" s="520">
        <v>62854.920000000006</v>
      </c>
      <c r="C8" s="521">
        <v>76819.852381961507</v>
      </c>
      <c r="D8" s="520">
        <f>Table3WS1!F15</f>
        <v>62479.650000000009</v>
      </c>
      <c r="E8" s="521">
        <f>Table3WS1!G15</f>
        <v>79495.099084741989</v>
      </c>
      <c r="F8" s="522">
        <f t="shared" si="0"/>
        <v>-375.2699999999968</v>
      </c>
      <c r="G8" s="523">
        <f t="shared" si="0"/>
        <v>2675.2467027804814</v>
      </c>
      <c r="H8" s="524">
        <f t="shared" si="1"/>
        <v>-5.9704156810635785E-3</v>
      </c>
      <c r="I8" s="525">
        <f t="shared" si="2"/>
        <v>3.4824939385182559E-2</v>
      </c>
    </row>
    <row r="9" spans="1:9" x14ac:dyDescent="0.3">
      <c r="A9" s="519" t="s">
        <v>98</v>
      </c>
      <c r="B9" s="520">
        <v>9404.4600000000009</v>
      </c>
      <c r="C9" s="521">
        <v>81482.427463139815</v>
      </c>
      <c r="D9" s="520">
        <f>Table3WS1!F26</f>
        <v>9601.0400000000009</v>
      </c>
      <c r="E9" s="521">
        <f>Table3WS1!G26</f>
        <v>83757.26508899036</v>
      </c>
      <c r="F9" s="522">
        <f t="shared" si="0"/>
        <v>196.57999999999993</v>
      </c>
      <c r="G9" s="523">
        <f t="shared" si="0"/>
        <v>2274.837625850545</v>
      </c>
      <c r="H9" s="524">
        <f t="shared" si="1"/>
        <v>2.0902848223077124E-2</v>
      </c>
      <c r="I9" s="525">
        <f t="shared" si="2"/>
        <v>2.7918137648508479E-2</v>
      </c>
    </row>
    <row r="10" spans="1:9" x14ac:dyDescent="0.3">
      <c r="A10" s="519" t="s">
        <v>277</v>
      </c>
      <c r="B10" s="520">
        <v>158.70999999999998</v>
      </c>
      <c r="C10" s="521">
        <v>81927.568206162192</v>
      </c>
      <c r="D10" s="520">
        <f>Table3WS1!F29</f>
        <v>214.45999999999998</v>
      </c>
      <c r="E10" s="521">
        <f>Table3WS1!G29</f>
        <v>79687.789517858808</v>
      </c>
      <c r="F10" s="522">
        <f t="shared" si="0"/>
        <v>55.75</v>
      </c>
      <c r="G10" s="523">
        <f t="shared" si="0"/>
        <v>-2239.7786883033841</v>
      </c>
      <c r="H10" s="524">
        <f t="shared" si="1"/>
        <v>0.35126961124062761</v>
      </c>
      <c r="I10" s="525">
        <f t="shared" si="2"/>
        <v>-2.7338522762780097E-2</v>
      </c>
    </row>
    <row r="11" spans="1:9" x14ac:dyDescent="0.3">
      <c r="A11" s="519" t="s">
        <v>99</v>
      </c>
      <c r="B11" s="520">
        <v>59.98</v>
      </c>
      <c r="C11" s="521">
        <v>94862</v>
      </c>
      <c r="D11" s="520">
        <f>Table3WS1!$D$30</f>
        <v>65.53</v>
      </c>
      <c r="E11" s="521">
        <f>Table3WS1!$E$30</f>
        <v>93487</v>
      </c>
      <c r="F11" s="522">
        <f t="shared" si="0"/>
        <v>5.5500000000000043</v>
      </c>
      <c r="G11" s="523">
        <f t="shared" si="0"/>
        <v>-1375</v>
      </c>
      <c r="H11" s="524">
        <f t="shared" si="1"/>
        <v>9.2530843614538255E-2</v>
      </c>
      <c r="I11" s="525">
        <f t="shared" si="2"/>
        <v>-1.4494739727182644E-2</v>
      </c>
    </row>
    <row r="12" spans="1:9" x14ac:dyDescent="0.3">
      <c r="A12" s="252" t="s">
        <v>316</v>
      </c>
      <c r="B12" s="520">
        <v>327.21000000000004</v>
      </c>
      <c r="C12" s="521">
        <v>60190.47263225451</v>
      </c>
      <c r="D12" s="520">
        <f>Table3WS1!F20</f>
        <v>315.26</v>
      </c>
      <c r="E12" s="521">
        <f>Table3WS1!G20</f>
        <v>57261.053352788178</v>
      </c>
      <c r="F12" s="522">
        <f t="shared" si="0"/>
        <v>-11.950000000000045</v>
      </c>
      <c r="G12" s="523">
        <f t="shared" si="0"/>
        <v>-2929.4192794663322</v>
      </c>
      <c r="H12" s="524">
        <f t="shared" si="1"/>
        <v>-3.6520888725894818E-2</v>
      </c>
      <c r="I12" s="525">
        <f t="shared" si="2"/>
        <v>-4.8669152298640245E-2</v>
      </c>
    </row>
    <row r="13" spans="1:9" ht="17.25" thickBot="1" x14ac:dyDescent="0.35">
      <c r="A13" s="526" t="s">
        <v>38</v>
      </c>
      <c r="B13" s="527">
        <f>SUM(B6:B12)</f>
        <v>77777.35000000002</v>
      </c>
      <c r="C13" s="528">
        <f>SUMPRODUCT(B6:B12,C6:C12)/SUM(B6:B12)</f>
        <v>81081.834554532892</v>
      </c>
      <c r="D13" s="527">
        <f>Table3WS1!$D$32</f>
        <v>77704.450000000012</v>
      </c>
      <c r="E13" s="528">
        <f>Table3WS1!$E$32</f>
        <v>83878.929227476634</v>
      </c>
      <c r="F13" s="529">
        <f>+D13-B13</f>
        <v>-72.900000000008731</v>
      </c>
      <c r="G13" s="530">
        <f>+E13-C13</f>
        <v>2797.0946729437419</v>
      </c>
      <c r="H13" s="531">
        <f t="shared" si="1"/>
        <v>-9.372908693856079E-4</v>
      </c>
      <c r="I13" s="532">
        <f t="shared" si="2"/>
        <v>3.4497180389554592E-2</v>
      </c>
    </row>
    <row r="14" spans="1:9" ht="17.25" thickBot="1" x14ac:dyDescent="0.35">
      <c r="B14" s="533"/>
      <c r="C14" s="534"/>
      <c r="D14" s="533"/>
      <c r="E14" s="534"/>
      <c r="F14" s="533"/>
      <c r="G14" s="534"/>
      <c r="H14" s="535"/>
      <c r="I14" s="535"/>
    </row>
    <row r="15" spans="1:9" s="784" customFormat="1" ht="17.25" x14ac:dyDescent="0.3">
      <c r="A15" s="791" t="s">
        <v>63</v>
      </c>
      <c r="B15" s="792" t="s">
        <v>533</v>
      </c>
      <c r="C15" s="793"/>
      <c r="D15" s="792" t="s">
        <v>543</v>
      </c>
      <c r="E15" s="793"/>
      <c r="F15" s="805" t="s">
        <v>370</v>
      </c>
      <c r="G15" s="795"/>
      <c r="H15" s="796"/>
      <c r="I15" s="797"/>
    </row>
    <row r="16" spans="1:9" s="784" customFormat="1" ht="18" thickBot="1" x14ac:dyDescent="0.35">
      <c r="A16" s="798" t="s">
        <v>375</v>
      </c>
      <c r="B16" s="806" t="s">
        <v>6</v>
      </c>
      <c r="C16" s="800" t="s">
        <v>335</v>
      </c>
      <c r="D16" s="806" t="s">
        <v>6</v>
      </c>
      <c r="E16" s="800" t="s">
        <v>335</v>
      </c>
      <c r="F16" s="807" t="s">
        <v>6</v>
      </c>
      <c r="G16" s="802" t="s">
        <v>335</v>
      </c>
      <c r="H16" s="808" t="s">
        <v>94</v>
      </c>
      <c r="I16" s="804" t="s">
        <v>371</v>
      </c>
    </row>
    <row r="17" spans="1:9" x14ac:dyDescent="0.3">
      <c r="A17" s="519" t="s">
        <v>484</v>
      </c>
      <c r="B17" s="520">
        <v>61863.320000000007</v>
      </c>
      <c r="C17" s="521">
        <v>81527.910962424896</v>
      </c>
      <c r="D17" s="520">
        <f>+Table5_6ws1!F40+Table5_6ws1!F69+Table5_6ws1!F85+Table5_6ws1!F220+Table5_6ws1!F239+Table5_6ws1!F268+Table5_6ws1!F647</f>
        <v>61162.790000000008</v>
      </c>
      <c r="E17" s="521">
        <f>(+Table5_6ws1!G40+Table5_6ws1!G69+Table5_6ws1!G85+Table5_6ws1!G220+Table5_6ws1!G239+Table5_6ws1!G268+Table5_6ws1!G647)/D17</f>
        <v>84491.577433436265</v>
      </c>
      <c r="F17" s="522">
        <f t="shared" ref="F17:F27" si="3">+D17-B17</f>
        <v>-700.52999999999884</v>
      </c>
      <c r="G17" s="523">
        <f t="shared" ref="G17:G27" si="4">+E17-C17</f>
        <v>2963.6664710113691</v>
      </c>
      <c r="H17" s="524">
        <f t="shared" ref="H17:H28" si="5">IF(F17=0,0,F17/B17)</f>
        <v>-1.1323834543635853E-2</v>
      </c>
      <c r="I17" s="525">
        <f t="shared" ref="I17:I28" si="6">IF(G17=0,0,G17/C17)</f>
        <v>3.635155661448608E-2</v>
      </c>
    </row>
    <row r="18" spans="1:9" x14ac:dyDescent="0.3">
      <c r="A18" s="519" t="s">
        <v>466</v>
      </c>
      <c r="B18" s="520">
        <v>9820.61</v>
      </c>
      <c r="C18" s="521">
        <v>77452.437573633419</v>
      </c>
      <c r="D18" s="520">
        <f>+Table5_6ws1!F143+Table5_6ws1!F155</f>
        <v>10203.500000000002</v>
      </c>
      <c r="E18" s="521">
        <f>(+Table5_6ws1!G143+Table5_6ws1!G155)/D18</f>
        <v>79747.048760719321</v>
      </c>
      <c r="F18" s="522">
        <f t="shared" si="3"/>
        <v>382.89000000000124</v>
      </c>
      <c r="G18" s="523">
        <f t="shared" si="4"/>
        <v>2294.6111870859022</v>
      </c>
      <c r="H18" s="524">
        <f t="shared" si="5"/>
        <v>3.8988413143379204E-2</v>
      </c>
      <c r="I18" s="525">
        <f t="shared" si="6"/>
        <v>2.962606806150463E-2</v>
      </c>
    </row>
    <row r="19" spans="1:9" x14ac:dyDescent="0.3">
      <c r="A19" s="519" t="s">
        <v>467</v>
      </c>
      <c r="B19" s="520">
        <v>1032.52</v>
      </c>
      <c r="C19" s="521">
        <v>79539.172132258929</v>
      </c>
      <c r="D19" s="520">
        <f>+Table5_6ws1!F177+Table5_6ws1!F199</f>
        <v>1000.1600000000001</v>
      </c>
      <c r="E19" s="521">
        <f>(+Table5_6ws1!G177+Table5_6ws1!G199)/D19</f>
        <v>82436.05157174851</v>
      </c>
      <c r="F19" s="522">
        <f t="shared" si="3"/>
        <v>-32.3599999999999</v>
      </c>
      <c r="G19" s="523">
        <f t="shared" si="4"/>
        <v>2896.8794394895813</v>
      </c>
      <c r="H19" s="524">
        <f t="shared" si="5"/>
        <v>-3.1340797272691956E-2</v>
      </c>
      <c r="I19" s="525">
        <f t="shared" si="6"/>
        <v>3.6420789427787939E-2</v>
      </c>
    </row>
    <row r="20" spans="1:9" x14ac:dyDescent="0.3">
      <c r="A20" s="519" t="s">
        <v>368</v>
      </c>
      <c r="B20" s="520">
        <v>64.510000000000005</v>
      </c>
      <c r="C20" s="521">
        <v>84084.93938924199</v>
      </c>
      <c r="D20" s="520">
        <f>+Table5_6ws1!F192+Table5_6ws1!F379+Table5_6ws1!F410</f>
        <v>62.720000000000006</v>
      </c>
      <c r="E20" s="521">
        <f>(+Table5_6ws1!G192+Table5_6ws1!G379+Table5_6ws1!G410)/D20</f>
        <v>85831.094228316331</v>
      </c>
      <c r="F20" s="522">
        <f t="shared" si="3"/>
        <v>-1.7899999999999991</v>
      </c>
      <c r="G20" s="523">
        <f t="shared" si="4"/>
        <v>1746.154839074341</v>
      </c>
      <c r="H20" s="524">
        <f t="shared" si="5"/>
        <v>-2.7747636025422399E-2</v>
      </c>
      <c r="I20" s="525">
        <f t="shared" si="6"/>
        <v>2.0766558812525562E-2</v>
      </c>
    </row>
    <row r="21" spans="1:9" x14ac:dyDescent="0.3">
      <c r="A21" s="519" t="s">
        <v>100</v>
      </c>
      <c r="B21" s="520">
        <v>1990.0699999999997</v>
      </c>
      <c r="C21" s="521">
        <v>83440.071856768875</v>
      </c>
      <c r="D21" s="520">
        <f>+Table5_6ws1!F365</f>
        <v>1992.52</v>
      </c>
      <c r="E21" s="521">
        <f>+Table5_6ws1!G365/D21</f>
        <v>85385.920276835386</v>
      </c>
      <c r="F21" s="522">
        <f t="shared" si="3"/>
        <v>2.4500000000002728</v>
      </c>
      <c r="G21" s="523">
        <f t="shared" si="4"/>
        <v>1945.8484200665116</v>
      </c>
      <c r="H21" s="524">
        <f t="shared" si="5"/>
        <v>1.2311124734307201E-3</v>
      </c>
      <c r="I21" s="525">
        <f t="shared" si="6"/>
        <v>2.332031093413613E-2</v>
      </c>
    </row>
    <row r="22" spans="1:9" x14ac:dyDescent="0.3">
      <c r="A22" s="519" t="s">
        <v>309</v>
      </c>
      <c r="B22" s="520">
        <v>1063.1999999999998</v>
      </c>
      <c r="C22" s="521">
        <v>82867.595005643336</v>
      </c>
      <c r="D22" s="520">
        <f>+Table5_6ws1!F298</f>
        <v>1081.06</v>
      </c>
      <c r="E22" s="521">
        <f>+Table5_6ws1!G298/D22</f>
        <v>85401.894890200376</v>
      </c>
      <c r="F22" s="522">
        <f t="shared" si="3"/>
        <v>17.860000000000127</v>
      </c>
      <c r="G22" s="523">
        <f t="shared" si="4"/>
        <v>2534.2998845570401</v>
      </c>
      <c r="H22" s="524">
        <f t="shared" si="5"/>
        <v>1.6798344620015171E-2</v>
      </c>
      <c r="I22" s="525">
        <f t="shared" si="6"/>
        <v>3.0582520035539254E-2</v>
      </c>
    </row>
    <row r="23" spans="1:9" x14ac:dyDescent="0.3">
      <c r="A23" s="519" t="s">
        <v>310</v>
      </c>
      <c r="B23" s="520">
        <v>1069.17</v>
      </c>
      <c r="C23" s="521">
        <v>80898.206608864813</v>
      </c>
      <c r="D23" s="520">
        <f>+Table5_6ws1!F461</f>
        <v>1143.52</v>
      </c>
      <c r="E23" s="521">
        <f>+Table5_6ws1!G461/D23</f>
        <v>83123.595004897157</v>
      </c>
      <c r="F23" s="522">
        <f t="shared" si="3"/>
        <v>74.349999999999909</v>
      </c>
      <c r="G23" s="523">
        <f t="shared" si="4"/>
        <v>2225.3883960323437</v>
      </c>
      <c r="H23" s="524">
        <f t="shared" si="5"/>
        <v>6.9539923492054498E-2</v>
      </c>
      <c r="I23" s="525">
        <f t="shared" si="6"/>
        <v>2.7508500983116801E-2</v>
      </c>
    </row>
    <row r="24" spans="1:9" x14ac:dyDescent="0.3">
      <c r="A24" s="519" t="s">
        <v>101</v>
      </c>
      <c r="B24" s="520">
        <v>216.3</v>
      </c>
      <c r="C24" s="521">
        <v>84167.739944521483</v>
      </c>
      <c r="D24" s="520">
        <f>+Table5_6ws1!F526</f>
        <v>251.51</v>
      </c>
      <c r="E24" s="521">
        <f>+Table5_6ws1!G526/D24</f>
        <v>87091.809709355512</v>
      </c>
      <c r="F24" s="522">
        <f t="shared" si="3"/>
        <v>35.20999999999998</v>
      </c>
      <c r="G24" s="523">
        <f t="shared" si="4"/>
        <v>2924.0697648340283</v>
      </c>
      <c r="H24" s="524">
        <f t="shared" si="5"/>
        <v>0.1627831715210355</v>
      </c>
      <c r="I24" s="525">
        <f t="shared" si="6"/>
        <v>3.4740979937935915E-2</v>
      </c>
    </row>
    <row r="25" spans="1:9" x14ac:dyDescent="0.3">
      <c r="A25" s="519" t="s">
        <v>102</v>
      </c>
      <c r="B25" s="520">
        <v>652.76</v>
      </c>
      <c r="C25" s="521">
        <v>84330.297184263734</v>
      </c>
      <c r="D25" s="520">
        <f>+Table5_6ws1!F731</f>
        <v>800.54000000000008</v>
      </c>
      <c r="E25" s="521">
        <f>+Table5_6ws1!G732</f>
        <v>85236.743035950727</v>
      </c>
      <c r="F25" s="522">
        <f t="shared" si="3"/>
        <v>147.78000000000009</v>
      </c>
      <c r="G25" s="523">
        <f t="shared" si="4"/>
        <v>906.44585168699268</v>
      </c>
      <c r="H25" s="524">
        <f t="shared" si="5"/>
        <v>0.22639254856302482</v>
      </c>
      <c r="I25" s="525">
        <f t="shared" si="6"/>
        <v>1.0748756757092729E-2</v>
      </c>
    </row>
    <row r="26" spans="1:9" x14ac:dyDescent="0.3">
      <c r="A26" s="519" t="s">
        <v>311</v>
      </c>
      <c r="B26" s="520">
        <v>0.6</v>
      </c>
      <c r="C26" s="521">
        <v>151028</v>
      </c>
      <c r="D26" s="520">
        <f>+Table5_6ws1!F658</f>
        <v>0.95</v>
      </c>
      <c r="E26" s="521">
        <f>+Table5_6ws1!G658/D26</f>
        <v>150024</v>
      </c>
      <c r="F26" s="522">
        <f t="shared" si="3"/>
        <v>0.35</v>
      </c>
      <c r="G26" s="523">
        <f t="shared" si="4"/>
        <v>-1004</v>
      </c>
      <c r="H26" s="524">
        <f t="shared" si="5"/>
        <v>0.58333333333333337</v>
      </c>
      <c r="I26" s="525">
        <f t="shared" si="6"/>
        <v>-6.6477739227163175E-3</v>
      </c>
    </row>
    <row r="27" spans="1:9" x14ac:dyDescent="0.3">
      <c r="A27" s="519" t="s">
        <v>103</v>
      </c>
      <c r="B27" s="520">
        <v>4.43</v>
      </c>
      <c r="C27" s="521">
        <v>130279</v>
      </c>
      <c r="D27" s="520">
        <f>+Table5_6ws1!F672</f>
        <v>5.2</v>
      </c>
      <c r="E27" s="521">
        <f>+Table5_6ws1!G672/D27</f>
        <v>135584.85</v>
      </c>
      <c r="F27" s="522">
        <f t="shared" si="3"/>
        <v>0.77000000000000046</v>
      </c>
      <c r="G27" s="523">
        <f t="shared" si="4"/>
        <v>5305.8500000000058</v>
      </c>
      <c r="H27" s="524">
        <f t="shared" si="5"/>
        <v>0.17381489841986467</v>
      </c>
      <c r="I27" s="525">
        <f t="shared" si="6"/>
        <v>4.0726824737678413E-2</v>
      </c>
    </row>
    <row r="28" spans="1:9" ht="17.25" thickBot="1" x14ac:dyDescent="0.35">
      <c r="A28" s="536" t="s">
        <v>38</v>
      </c>
      <c r="B28" s="527">
        <f>SUM(B17:B27)</f>
        <v>77777.489999999991</v>
      </c>
      <c r="C28" s="528">
        <f>SUMPRODUCT(B17:B27,C17:C27)/SUM(B17:B27)</f>
        <v>81081.795764944356</v>
      </c>
      <c r="D28" s="527">
        <f>+Table5_6ws1!F694</f>
        <v>77704.450000000012</v>
      </c>
      <c r="E28" s="528">
        <f>+Table5_6ws1!G694</f>
        <v>83878.929227476634</v>
      </c>
      <c r="F28" s="529">
        <f>+D28-B28</f>
        <v>-73.039999999979045</v>
      </c>
      <c r="G28" s="530">
        <f>+E28-C28</f>
        <v>2797.1334625322779</v>
      </c>
      <c r="H28" s="531">
        <f t="shared" si="5"/>
        <v>-9.3908918891544399E-4</v>
      </c>
      <c r="I28" s="532">
        <f t="shared" si="6"/>
        <v>3.4497675293738574E-2</v>
      </c>
    </row>
    <row r="29" spans="1:9" ht="17.25" thickBot="1" x14ac:dyDescent="0.35">
      <c r="B29" s="537"/>
      <c r="C29" s="534"/>
      <c r="D29" s="537"/>
      <c r="E29" s="534"/>
      <c r="F29" s="328"/>
      <c r="G29" s="534"/>
      <c r="H29" s="538"/>
      <c r="I29" s="538"/>
    </row>
    <row r="30" spans="1:9" s="784" customFormat="1" ht="17.25" x14ac:dyDescent="0.3">
      <c r="A30" s="791" t="s">
        <v>373</v>
      </c>
      <c r="B30" s="792" t="s">
        <v>533</v>
      </c>
      <c r="C30" s="793"/>
      <c r="D30" s="792" t="s">
        <v>543</v>
      </c>
      <c r="E30" s="793"/>
      <c r="F30" s="794" t="s">
        <v>370</v>
      </c>
      <c r="G30" s="795"/>
      <c r="H30" s="796"/>
      <c r="I30" s="797"/>
    </row>
    <row r="31" spans="1:9" s="784" customFormat="1" ht="18" thickBot="1" x14ac:dyDescent="0.35">
      <c r="A31" s="798" t="s">
        <v>375</v>
      </c>
      <c r="B31" s="799" t="s">
        <v>6</v>
      </c>
      <c r="C31" s="800" t="s">
        <v>335</v>
      </c>
      <c r="D31" s="799" t="s">
        <v>6</v>
      </c>
      <c r="E31" s="800" t="s">
        <v>335</v>
      </c>
      <c r="F31" s="801" t="s">
        <v>6</v>
      </c>
      <c r="G31" s="802" t="s">
        <v>335</v>
      </c>
      <c r="H31" s="803" t="s">
        <v>94</v>
      </c>
      <c r="I31" s="804" t="s">
        <v>371</v>
      </c>
    </row>
    <row r="32" spans="1:9" x14ac:dyDescent="0.3">
      <c r="A32" s="519" t="str">
        <f t="shared" ref="A32:A42" si="7">A17</f>
        <v>Basic Education (01, 02, 03, 31, 34, 45, 97)</v>
      </c>
      <c r="B32" s="520">
        <v>4476.3099999999995</v>
      </c>
      <c r="C32" s="521">
        <v>135841.32380688557</v>
      </c>
      <c r="D32" s="520">
        <f>+Table5_6ws1!H40+Table5_6ws1!H69+Table5_6ws1!H85+Table5_6ws1!H220+Table5_6ws1!H239+Table5_6ws1!H268+Table5_6ws1!H647</f>
        <v>4486.2100000000009</v>
      </c>
      <c r="E32" s="521">
        <f>(+Table5_6ws1!I40+Table5_6ws1!I69+Table5_6ws1!I85+Table5_6ws1!I220+Table5_6ws1!I239+Table5_6ws1!I268+Table5_6ws1!I647)/D32</f>
        <v>140986.92133671846</v>
      </c>
      <c r="F32" s="522">
        <f t="shared" ref="F32:F42" si="8">+D32-B32</f>
        <v>9.9000000000014552</v>
      </c>
      <c r="G32" s="523">
        <f t="shared" ref="G32:G42" si="9">+E32-C32</f>
        <v>5145.5975298328849</v>
      </c>
      <c r="H32" s="524">
        <f>IF(F32=0,0,F32/B32)</f>
        <v>2.2116430720842514E-3</v>
      </c>
      <c r="I32" s="525">
        <f>IF(G32=0,0,G32/C32)</f>
        <v>3.787947132455774E-2</v>
      </c>
    </row>
    <row r="33" spans="1:9" x14ac:dyDescent="0.3">
      <c r="A33" s="519" t="str">
        <f t="shared" si="7"/>
        <v>Special Education, State (21, 22)</v>
      </c>
      <c r="B33" s="520">
        <v>286.03000000000003</v>
      </c>
      <c r="C33" s="521">
        <v>133044.3283571653</v>
      </c>
      <c r="D33" s="520">
        <f>+Table5_6ws1!H143+Table5_6ws1!H155</f>
        <v>298.79000000000002</v>
      </c>
      <c r="E33" s="521">
        <f>(+Table5_6ws1!I143+Table5_6ws1!I155)/D33</f>
        <v>137207.35151778843</v>
      </c>
      <c r="F33" s="522">
        <f t="shared" si="8"/>
        <v>12.759999999999991</v>
      </c>
      <c r="G33" s="523">
        <f t="shared" si="9"/>
        <v>4163.0231606231246</v>
      </c>
      <c r="H33" s="524">
        <f t="shared" ref="H33:H43" si="10">IF(F33=0,0,F33/B33)</f>
        <v>4.4610705170786247E-2</v>
      </c>
      <c r="I33" s="525">
        <f t="shared" ref="I33:I43" si="11">IF(G33=0,0,G33/C33)</f>
        <v>3.1290497024775418E-2</v>
      </c>
    </row>
    <row r="34" spans="1:9" x14ac:dyDescent="0.3">
      <c r="A34" s="519" t="str">
        <f t="shared" si="7"/>
        <v>Special Education, Federal (24, 25, 29)</v>
      </c>
      <c r="B34" s="520">
        <v>9.1000000000000014</v>
      </c>
      <c r="C34" s="521">
        <v>132820.20109890107</v>
      </c>
      <c r="D34" s="520">
        <f>+Table5_6ws1!H177+Table5_6ws1!H199</f>
        <v>14.46</v>
      </c>
      <c r="E34" s="521">
        <f>(+Table5_6ws1!I177+Table5_6ws1!I199)/D34</f>
        <v>138226.33609958505</v>
      </c>
      <c r="F34" s="522">
        <f t="shared" si="8"/>
        <v>5.3599999999999994</v>
      </c>
      <c r="G34" s="523">
        <f t="shared" si="9"/>
        <v>5406.1350006839784</v>
      </c>
      <c r="H34" s="524">
        <f t="shared" si="10"/>
        <v>0.58901098901098881</v>
      </c>
      <c r="I34" s="525">
        <f t="shared" si="11"/>
        <v>4.0702656342602901E-2</v>
      </c>
    </row>
    <row r="35" spans="1:9" x14ac:dyDescent="0.3">
      <c r="A35" s="519" t="str">
        <f t="shared" si="7"/>
        <v>Institutions, State (26, 56, 59)</v>
      </c>
      <c r="B35" s="520">
        <v>5.51</v>
      </c>
      <c r="C35" s="521">
        <v>142562.67150635211</v>
      </c>
      <c r="D35" s="520">
        <f>+Table5_6ws1!H192+Table5_6ws1!H379+Table5_6ws1!H410</f>
        <v>6.16</v>
      </c>
      <c r="E35" s="521">
        <f>(+Table5_6ws1!I192+Table5_6ws1!I379+Table5_6ws1!I410)/D35</f>
        <v>144382.87987012987</v>
      </c>
      <c r="F35" s="522">
        <f t="shared" si="8"/>
        <v>0.65000000000000036</v>
      </c>
      <c r="G35" s="523">
        <f t="shared" si="9"/>
        <v>1820.2083637777541</v>
      </c>
      <c r="H35" s="524">
        <f t="shared" si="10"/>
        <v>0.11796733212341205</v>
      </c>
      <c r="I35" s="525">
        <f t="shared" si="11"/>
        <v>1.276777675772337E-2</v>
      </c>
    </row>
    <row r="36" spans="1:9" x14ac:dyDescent="0.3">
      <c r="A36" s="519" t="str">
        <f t="shared" si="7"/>
        <v>Learning Assistance, State (55)</v>
      </c>
      <c r="B36" s="520">
        <v>52.110000000000007</v>
      </c>
      <c r="C36" s="521">
        <v>127132.35578583763</v>
      </c>
      <c r="D36" s="520">
        <f>+Table5_6ws1!H365</f>
        <v>54.92</v>
      </c>
      <c r="E36" s="521">
        <f>+Table5_6ws1!I365/D36</f>
        <v>128481.27203204659</v>
      </c>
      <c r="F36" s="522">
        <f t="shared" si="8"/>
        <v>2.8099999999999952</v>
      </c>
      <c r="G36" s="523">
        <f t="shared" si="9"/>
        <v>1348.9162462089589</v>
      </c>
      <c r="H36" s="524">
        <f t="shared" si="10"/>
        <v>5.3924390711955379E-2</v>
      </c>
      <c r="I36" s="525">
        <f t="shared" si="11"/>
        <v>1.0610329981466656E-2</v>
      </c>
    </row>
    <row r="37" spans="1:9" x14ac:dyDescent="0.3">
      <c r="A37" s="519" t="str">
        <f t="shared" si="7"/>
        <v>Disadvantaged, Federal (51)</v>
      </c>
      <c r="B37" s="520">
        <v>38.33</v>
      </c>
      <c r="C37" s="521">
        <v>126491.81946256198</v>
      </c>
      <c r="D37" s="520">
        <f>+Table5_6ws1!H298</f>
        <v>37.22</v>
      </c>
      <c r="E37" s="521">
        <f>+Table5_6ws1!I298/D37</f>
        <v>133839.15744223536</v>
      </c>
      <c r="F37" s="522">
        <f t="shared" si="8"/>
        <v>-1.1099999999999994</v>
      </c>
      <c r="G37" s="523">
        <f t="shared" si="9"/>
        <v>7347.3379796733789</v>
      </c>
      <c r="H37" s="524">
        <f t="shared" si="10"/>
        <v>-2.8959039916514467E-2</v>
      </c>
      <c r="I37" s="525">
        <f t="shared" si="11"/>
        <v>5.8085479447530473E-2</v>
      </c>
    </row>
    <row r="38" spans="1:9" x14ac:dyDescent="0.3">
      <c r="A38" s="519" t="str">
        <f t="shared" si="7"/>
        <v>Transitional Bilingual, State (65)</v>
      </c>
      <c r="B38" s="520">
        <v>32.880000000000003</v>
      </c>
      <c r="C38" s="521">
        <v>134610.24726277372</v>
      </c>
      <c r="D38" s="520">
        <f>+Table5_6ws1!H461</f>
        <v>35.35</v>
      </c>
      <c r="E38" s="521">
        <f>+Table5_6ws1!I461/D38</f>
        <v>139244.83988684582</v>
      </c>
      <c r="F38" s="522">
        <f t="shared" si="8"/>
        <v>2.4699999999999989</v>
      </c>
      <c r="G38" s="523">
        <f t="shared" si="9"/>
        <v>4634.5926240721019</v>
      </c>
      <c r="H38" s="524">
        <f t="shared" si="10"/>
        <v>7.5121654501216509E-2</v>
      </c>
      <c r="I38" s="525">
        <f t="shared" si="11"/>
        <v>3.4429716298082995E-2</v>
      </c>
    </row>
    <row r="39" spans="1:9" x14ac:dyDescent="0.3">
      <c r="A39" s="519" t="str">
        <f t="shared" si="7"/>
        <v>Highly Capable (74)</v>
      </c>
      <c r="B39" s="520">
        <v>10.11</v>
      </c>
      <c r="C39" s="521">
        <v>133754.19287833828</v>
      </c>
      <c r="D39" s="520">
        <f>+Table5_6ws1!H526</f>
        <v>11.64</v>
      </c>
      <c r="E39" s="521">
        <f>+Table5_6ws1!I526/D39</f>
        <v>140483.06958762885</v>
      </c>
      <c r="F39" s="522">
        <f t="shared" si="8"/>
        <v>1.5300000000000011</v>
      </c>
      <c r="G39" s="523">
        <f t="shared" si="9"/>
        <v>6728.8767092905764</v>
      </c>
      <c r="H39" s="524">
        <f t="shared" si="10"/>
        <v>0.15133531157270042</v>
      </c>
      <c r="I39" s="525">
        <f t="shared" si="11"/>
        <v>5.0307781494454591E-2</v>
      </c>
    </row>
    <row r="40" spans="1:9" x14ac:dyDescent="0.3">
      <c r="A40" s="519" t="str">
        <f t="shared" si="7"/>
        <v>Other, State and Federal</v>
      </c>
      <c r="B40" s="520">
        <v>56.7</v>
      </c>
      <c r="C40" s="521">
        <v>125373.46084656083</v>
      </c>
      <c r="D40" s="520">
        <f>+Table5_6ws1!H731</f>
        <v>77.61999999999999</v>
      </c>
      <c r="E40" s="521">
        <f>+Table5_6ws1!I732</f>
        <v>124862.78059778408</v>
      </c>
      <c r="F40" s="522">
        <f t="shared" si="8"/>
        <v>20.919999999999987</v>
      </c>
      <c r="G40" s="523">
        <f t="shared" si="9"/>
        <v>-510.68024877675634</v>
      </c>
      <c r="H40" s="524">
        <f t="shared" si="10"/>
        <v>0.36895943562610206</v>
      </c>
      <c r="I40" s="525">
        <f t="shared" si="11"/>
        <v>-4.0732723283578801E-3</v>
      </c>
    </row>
    <row r="41" spans="1:9" x14ac:dyDescent="0.3">
      <c r="A41" s="519" t="str">
        <f t="shared" si="7"/>
        <v>Food Services (98)</v>
      </c>
      <c r="B41" s="520">
        <v>0.6</v>
      </c>
      <c r="C41" s="521">
        <v>151028</v>
      </c>
      <c r="D41" s="520">
        <f>+Table5_6ws1!H658</f>
        <v>0.95</v>
      </c>
      <c r="E41" s="521">
        <f>+Table5_6ws1!I658/D41</f>
        <v>150024</v>
      </c>
      <c r="F41" s="522">
        <f t="shared" si="8"/>
        <v>0.35</v>
      </c>
      <c r="G41" s="523">
        <f t="shared" si="9"/>
        <v>-1004</v>
      </c>
      <c r="H41" s="524">
        <f t="shared" si="10"/>
        <v>0.58333333333333337</v>
      </c>
      <c r="I41" s="525">
        <f t="shared" si="11"/>
        <v>-6.6477739227163175E-3</v>
      </c>
    </row>
    <row r="42" spans="1:9" x14ac:dyDescent="0.3">
      <c r="A42" s="519" t="str">
        <f t="shared" si="7"/>
        <v>Pupil Transportation (99)</v>
      </c>
      <c r="B42" s="520">
        <v>4.43</v>
      </c>
      <c r="C42" s="521">
        <v>130279</v>
      </c>
      <c r="D42" s="520">
        <f>+Table5_6ws1!H672</f>
        <v>5.2</v>
      </c>
      <c r="E42" s="521">
        <f>+Table5_6ws1!I672/D42</f>
        <v>135584.85</v>
      </c>
      <c r="F42" s="522">
        <f t="shared" si="8"/>
        <v>0.77000000000000046</v>
      </c>
      <c r="G42" s="523">
        <f t="shared" si="9"/>
        <v>5305.8500000000058</v>
      </c>
      <c r="H42" s="524">
        <f t="shared" si="10"/>
        <v>0.17381489841986467</v>
      </c>
      <c r="I42" s="525">
        <f t="shared" si="11"/>
        <v>4.0726824737678413E-2</v>
      </c>
    </row>
    <row r="43" spans="1:9" ht="17.25" thickBot="1" x14ac:dyDescent="0.35">
      <c r="A43" s="536" t="s">
        <v>38</v>
      </c>
      <c r="B43" s="527">
        <f>SUM(B32:B42)</f>
        <v>4972.1099999999997</v>
      </c>
      <c r="C43" s="528">
        <f>SUMPRODUCT(B32:B42,C32:C42)/SUM(B32:B42)</f>
        <v>135384.111751349</v>
      </c>
      <c r="D43" s="527">
        <f>+Table5_6ws1!H694</f>
        <v>5028.51</v>
      </c>
      <c r="E43" s="528">
        <f>+Table5_6ws1!I694</f>
        <v>140303.00747935273</v>
      </c>
      <c r="F43" s="529">
        <f>+D43-B43</f>
        <v>56.400000000000546</v>
      </c>
      <c r="G43" s="530">
        <f>+E43-C43</f>
        <v>4918.8957280037284</v>
      </c>
      <c r="H43" s="531">
        <f t="shared" si="10"/>
        <v>1.1343272775542083E-2</v>
      </c>
      <c r="I43" s="532">
        <f t="shared" si="11"/>
        <v>3.6332887695403555E-2</v>
      </c>
    </row>
    <row r="44" spans="1:9" ht="17.25" thickBot="1" x14ac:dyDescent="0.35">
      <c r="B44" s="328"/>
      <c r="C44" s="534"/>
      <c r="D44" s="533"/>
      <c r="E44" s="534"/>
      <c r="F44" s="328"/>
      <c r="G44" s="534"/>
      <c r="H44" s="538"/>
      <c r="I44" s="538"/>
    </row>
    <row r="45" spans="1:9" s="784" customFormat="1" ht="17.25" x14ac:dyDescent="0.3">
      <c r="A45" s="791" t="s">
        <v>372</v>
      </c>
      <c r="B45" s="792" t="s">
        <v>533</v>
      </c>
      <c r="C45" s="793"/>
      <c r="D45" s="792" t="s">
        <v>543</v>
      </c>
      <c r="E45" s="793"/>
      <c r="F45" s="794" t="s">
        <v>370</v>
      </c>
      <c r="G45" s="795"/>
      <c r="H45" s="796"/>
      <c r="I45" s="797"/>
    </row>
    <row r="46" spans="1:9" s="784" customFormat="1" ht="18" thickBot="1" x14ac:dyDescent="0.35">
      <c r="A46" s="798" t="s">
        <v>375</v>
      </c>
      <c r="B46" s="799" t="s">
        <v>6</v>
      </c>
      <c r="C46" s="800" t="s">
        <v>335</v>
      </c>
      <c r="D46" s="799" t="s">
        <v>6</v>
      </c>
      <c r="E46" s="800" t="s">
        <v>335</v>
      </c>
      <c r="F46" s="801" t="s">
        <v>6</v>
      </c>
      <c r="G46" s="802" t="s">
        <v>335</v>
      </c>
      <c r="H46" s="803" t="s">
        <v>94</v>
      </c>
      <c r="I46" s="804" t="s">
        <v>371</v>
      </c>
    </row>
    <row r="47" spans="1:9" x14ac:dyDescent="0.3">
      <c r="A47" s="519" t="str">
        <f t="shared" ref="A47:A57" si="12">A17</f>
        <v>Basic Education (01, 02, 03, 31, 34, 45, 97)</v>
      </c>
      <c r="B47" s="520">
        <v>57198.610000000008</v>
      </c>
      <c r="C47" s="521">
        <v>77265.585720527117</v>
      </c>
      <c r="D47" s="520">
        <f>+Table5_6ws1!J40+Table5_6ws1!J69+Table5_6ws1!J85+Table5_6ws1!J220+Table5_6ws1!J239+Table5_6ws1!J268+Table5_6ws1!J647</f>
        <v>56442.490000000005</v>
      </c>
      <c r="E47" s="521">
        <f>(+Table5_6ws1!K40+Table5_6ws1!K69+Table5_6ws1!K85+Table5_6ws1!K220+Table5_6ws1!K239+Table5_6ws1!K268+Table5_6ws1!K647)/D47</f>
        <v>80004.221208880059</v>
      </c>
      <c r="F47" s="522">
        <f t="shared" ref="F47:F55" si="13">+D47-B47</f>
        <v>-756.12000000000262</v>
      </c>
      <c r="G47" s="523">
        <f t="shared" ref="G47:G55" si="14">+E47-C47</f>
        <v>2738.635488352942</v>
      </c>
      <c r="H47" s="524">
        <f t="shared" ref="H47:I58" si="15">IF(F47=0,0,F47/B47)</f>
        <v>-1.321920235474258E-2</v>
      </c>
      <c r="I47" s="525">
        <f t="shared" si="15"/>
        <v>3.5444440921715163E-2</v>
      </c>
    </row>
    <row r="48" spans="1:9" x14ac:dyDescent="0.3">
      <c r="A48" s="519" t="str">
        <f t="shared" si="12"/>
        <v>Special Education, State (21, 22)</v>
      </c>
      <c r="B48" s="520">
        <v>9526.2200000000012</v>
      </c>
      <c r="C48" s="521">
        <v>75784.471609935528</v>
      </c>
      <c r="D48" s="520">
        <f>+Table5_6ws1!J143+Table5_6ws1!J155</f>
        <v>9881.9800000000014</v>
      </c>
      <c r="E48" s="521">
        <f>(+Table5_6ws1!K143+Table5_6ws1!K155)/D48</f>
        <v>78042.075121584916</v>
      </c>
      <c r="F48" s="522">
        <f t="shared" si="13"/>
        <v>355.76000000000022</v>
      </c>
      <c r="G48" s="523">
        <f t="shared" si="14"/>
        <v>2257.6035116493877</v>
      </c>
      <c r="H48" s="524">
        <f t="shared" si="15"/>
        <v>3.7345347892448442E-2</v>
      </c>
      <c r="I48" s="525">
        <f t="shared" si="15"/>
        <v>2.9789790226015252E-2</v>
      </c>
    </row>
    <row r="49" spans="1:9" x14ac:dyDescent="0.3">
      <c r="A49" s="519" t="str">
        <f t="shared" si="12"/>
        <v>Special Education, Federal (24, 25, 29)</v>
      </c>
      <c r="B49" s="520">
        <v>1023.42</v>
      </c>
      <c r="C49" s="521">
        <v>79065.410271442801</v>
      </c>
      <c r="D49" s="520">
        <f>+Table5_6ws1!J177+Table5_6ws1!J199</f>
        <v>985.69999999999993</v>
      </c>
      <c r="E49" s="521">
        <f>(+Table5_6ws1!K177+Table5_6ws1!K199)/D49</f>
        <v>81617.620493050621</v>
      </c>
      <c r="F49" s="522">
        <f t="shared" si="13"/>
        <v>-37.720000000000027</v>
      </c>
      <c r="G49" s="523">
        <f t="shared" si="14"/>
        <v>2552.2102216078201</v>
      </c>
      <c r="H49" s="524">
        <f t="shared" si="15"/>
        <v>-3.6856813429481571E-2</v>
      </c>
      <c r="I49" s="525">
        <f t="shared" si="15"/>
        <v>3.2279731589904097E-2</v>
      </c>
    </row>
    <row r="50" spans="1:9" x14ac:dyDescent="0.3">
      <c r="A50" s="519" t="str">
        <f t="shared" si="12"/>
        <v>Institutions, State (26, 56, 59)</v>
      </c>
      <c r="B50" s="520">
        <v>59</v>
      </c>
      <c r="C50" s="521">
        <v>78623.713898305083</v>
      </c>
      <c r="D50" s="520">
        <f>+Table5_6ws1!J192+Table5_6ws1!J379+Table5_6ws1!J410</f>
        <v>56.56</v>
      </c>
      <c r="E50" s="521">
        <f>(+Table5_6ws1!K192+Table5_6ws1!K379+Table5_6ws1!K410)/D50</f>
        <v>79454.167079207924</v>
      </c>
      <c r="F50" s="522">
        <f t="shared" si="13"/>
        <v>-2.4399999999999977</v>
      </c>
      <c r="G50" s="523">
        <f t="shared" si="14"/>
        <v>830.45318090284127</v>
      </c>
      <c r="H50" s="524">
        <f t="shared" si="15"/>
        <v>-4.1355932203389789E-2</v>
      </c>
      <c r="I50" s="525">
        <f t="shared" si="15"/>
        <v>1.0562375391945758E-2</v>
      </c>
    </row>
    <row r="51" spans="1:9" x14ac:dyDescent="0.3">
      <c r="A51" s="519" t="str">
        <f t="shared" si="12"/>
        <v>Learning Assistance, State (55)</v>
      </c>
      <c r="B51" s="520">
        <v>1937.3799999999999</v>
      </c>
      <c r="C51" s="521">
        <v>82263.829759778673</v>
      </c>
      <c r="D51" s="520">
        <f>+Table5_6ws1!J365</f>
        <v>1935.3</v>
      </c>
      <c r="E51" s="521">
        <f>+Table5_6ws1!K365/D51</f>
        <v>84185.165147522363</v>
      </c>
      <c r="F51" s="522">
        <f t="shared" si="13"/>
        <v>-2.0799999999999272</v>
      </c>
      <c r="G51" s="523">
        <f t="shared" si="14"/>
        <v>1921.3353877436894</v>
      </c>
      <c r="H51" s="524">
        <f t="shared" si="15"/>
        <v>-1.0736148819539416E-3</v>
      </c>
      <c r="I51" s="525">
        <f t="shared" si="15"/>
        <v>2.335577365355156E-2</v>
      </c>
    </row>
    <row r="52" spans="1:9" x14ac:dyDescent="0.3">
      <c r="A52" s="519" t="str">
        <f t="shared" si="12"/>
        <v>Disadvantaged, Federal (51)</v>
      </c>
      <c r="B52" s="520">
        <v>1023.87</v>
      </c>
      <c r="C52" s="521">
        <v>81271.192211901885</v>
      </c>
      <c r="D52" s="520">
        <f>+Table5_6ws1!J298</f>
        <v>1043.6399999999999</v>
      </c>
      <c r="E52" s="521">
        <f>+Table5_6ws1!K298/D52</f>
        <v>83681.463004484307</v>
      </c>
      <c r="F52" s="522">
        <f t="shared" si="13"/>
        <v>19.769999999999868</v>
      </c>
      <c r="G52" s="523">
        <f t="shared" si="14"/>
        <v>2410.2707925824216</v>
      </c>
      <c r="H52" s="524">
        <f t="shared" si="15"/>
        <v>1.9309091974566955E-2</v>
      </c>
      <c r="I52" s="525">
        <f t="shared" si="15"/>
        <v>2.9657135904909804E-2</v>
      </c>
    </row>
    <row r="53" spans="1:9" x14ac:dyDescent="0.3">
      <c r="A53" s="519" t="str">
        <f t="shared" si="12"/>
        <v>Transitional Bilingual, State (65)</v>
      </c>
      <c r="B53" s="520">
        <v>1036.2900000000002</v>
      </c>
      <c r="C53" s="521">
        <v>79194.000357042896</v>
      </c>
      <c r="D53" s="520">
        <f>+Table5_6ws1!J461</f>
        <v>1106.8800000000001</v>
      </c>
      <c r="E53" s="521">
        <f>+Table5_6ws1!K461/D53</f>
        <v>81366.35630782017</v>
      </c>
      <c r="F53" s="522">
        <f>+D53-B53</f>
        <v>70.589999999999918</v>
      </c>
      <c r="G53" s="523">
        <f>+E53-C53</f>
        <v>2172.3559507772734</v>
      </c>
      <c r="H53" s="524">
        <f>IF(F53=0,0,F53/B53)</f>
        <v>6.8117997857742432E-2</v>
      </c>
      <c r="I53" s="525">
        <f>IF(G53=0,0,G53/C53)</f>
        <v>2.7430814720601257E-2</v>
      </c>
    </row>
    <row r="54" spans="1:9" x14ac:dyDescent="0.3">
      <c r="A54" s="519" t="str">
        <f t="shared" si="12"/>
        <v>Highly Capable (74)</v>
      </c>
      <c r="B54" s="520">
        <v>206.19</v>
      </c>
      <c r="C54" s="521">
        <v>81736.394878510124</v>
      </c>
      <c r="D54" s="520">
        <f>+Table5_6ws1!J526</f>
        <v>239.86999999999998</v>
      </c>
      <c r="E54" s="521">
        <f>+Table5_6ws1!K526/D54</f>
        <v>84500.930212198291</v>
      </c>
      <c r="F54" s="522">
        <f t="shared" si="13"/>
        <v>33.679999999999978</v>
      </c>
      <c r="G54" s="523">
        <f t="shared" si="14"/>
        <v>2764.5353336881672</v>
      </c>
      <c r="H54" s="524">
        <f t="shared" si="15"/>
        <v>0.16334448809350588</v>
      </c>
      <c r="I54" s="525">
        <f t="shared" si="15"/>
        <v>3.3822574849273299E-2</v>
      </c>
    </row>
    <row r="55" spans="1:9" x14ac:dyDescent="0.3">
      <c r="A55" s="519" t="str">
        <f t="shared" si="12"/>
        <v>Other, State and Federal</v>
      </c>
      <c r="B55" s="520">
        <v>575.69999999999993</v>
      </c>
      <c r="C55" s="521">
        <v>79924.157790515907</v>
      </c>
      <c r="D55" s="520">
        <f>+Table5_6ws1!J731</f>
        <v>703.53999999999985</v>
      </c>
      <c r="E55" s="521">
        <f>+Table5_6ws1!K732</f>
        <v>80532.184637689425</v>
      </c>
      <c r="F55" s="522">
        <f t="shared" si="13"/>
        <v>127.83999999999992</v>
      </c>
      <c r="G55" s="523">
        <f t="shared" si="14"/>
        <v>608.02684717351804</v>
      </c>
      <c r="H55" s="524">
        <f t="shared" si="15"/>
        <v>0.22206010074691668</v>
      </c>
      <c r="I55" s="525">
        <f t="shared" si="15"/>
        <v>7.6075477550502099E-3</v>
      </c>
    </row>
    <row r="56" spans="1:9" x14ac:dyDescent="0.3">
      <c r="A56" s="519" t="str">
        <f t="shared" si="12"/>
        <v>Food Services (98)</v>
      </c>
      <c r="B56" s="520">
        <v>0</v>
      </c>
      <c r="C56" s="521">
        <v>0</v>
      </c>
      <c r="D56" s="520">
        <f>+Table5_6ws1!J658</f>
        <v>0</v>
      </c>
      <c r="E56" s="521">
        <f>+Table5_6ws1!K658</f>
        <v>0</v>
      </c>
      <c r="F56" s="522">
        <f t="shared" ref="F56:G58" si="16">+D56-B56</f>
        <v>0</v>
      </c>
      <c r="G56" s="523">
        <f t="shared" si="16"/>
        <v>0</v>
      </c>
      <c r="H56" s="524">
        <f t="shared" si="15"/>
        <v>0</v>
      </c>
      <c r="I56" s="525">
        <f t="shared" si="15"/>
        <v>0</v>
      </c>
    </row>
    <row r="57" spans="1:9" x14ac:dyDescent="0.3">
      <c r="A57" s="519" t="str">
        <f t="shared" si="12"/>
        <v>Pupil Transportation (99)</v>
      </c>
      <c r="B57" s="520">
        <v>0</v>
      </c>
      <c r="C57" s="521">
        <v>0</v>
      </c>
      <c r="D57" s="520">
        <f>+Table5_6ws1!J672</f>
        <v>0</v>
      </c>
      <c r="E57" s="521">
        <f>+Table5_6ws1!K672</f>
        <v>0</v>
      </c>
      <c r="F57" s="522">
        <f t="shared" si="16"/>
        <v>0</v>
      </c>
      <c r="G57" s="523">
        <f t="shared" si="16"/>
        <v>0</v>
      </c>
      <c r="H57" s="524">
        <v>0</v>
      </c>
      <c r="I57" s="525">
        <v>0</v>
      </c>
    </row>
    <row r="58" spans="1:9" ht="17.25" thickBot="1" x14ac:dyDescent="0.35">
      <c r="A58" s="536" t="s">
        <v>38</v>
      </c>
      <c r="B58" s="527">
        <f>SUM(B47:B57)</f>
        <v>72586.680000000008</v>
      </c>
      <c r="C58" s="528">
        <f>SUMPRODUCT(B47:B57,C47:C57)/SUM(B47:B57)</f>
        <v>77348.909250154436</v>
      </c>
      <c r="D58" s="527">
        <f>+Table5_6ws1!J694</f>
        <v>72395.950000000012</v>
      </c>
      <c r="E58" s="528">
        <f>+Table5_6ws1!K694</f>
        <v>79963.519224763251</v>
      </c>
      <c r="F58" s="529">
        <f t="shared" si="16"/>
        <v>-190.72999999999593</v>
      </c>
      <c r="G58" s="530">
        <f t="shared" si="16"/>
        <v>2614.6099746088148</v>
      </c>
      <c r="H58" s="531">
        <f>IF(F58=0,0,F58/B58)</f>
        <v>-2.6276170779541909E-3</v>
      </c>
      <c r="I58" s="532">
        <f t="shared" si="15"/>
        <v>3.3802803426133565E-2</v>
      </c>
    </row>
    <row r="59" spans="1:9" x14ac:dyDescent="0.3">
      <c r="B59" s="328"/>
      <c r="C59" s="534"/>
      <c r="D59" s="533"/>
      <c r="E59" s="534"/>
      <c r="F59" s="328"/>
      <c r="G59" s="534"/>
      <c r="H59" s="538"/>
      <c r="I59" s="538"/>
    </row>
    <row r="60" spans="1:9" x14ac:dyDescent="0.3">
      <c r="A60" s="244" t="s">
        <v>594</v>
      </c>
      <c r="B60" s="328"/>
      <c r="C60" s="534"/>
      <c r="D60" s="328"/>
      <c r="E60" s="534"/>
      <c r="F60" s="328"/>
      <c r="G60" s="534"/>
      <c r="H60" s="538"/>
      <c r="I60" s="538"/>
    </row>
    <row r="61" spans="1:9" x14ac:dyDescent="0.3">
      <c r="A61" s="244" t="s">
        <v>596</v>
      </c>
      <c r="B61" s="328"/>
      <c r="C61" s="534"/>
      <c r="D61" s="328"/>
      <c r="E61" s="534"/>
      <c r="F61" s="328"/>
      <c r="G61" s="534"/>
      <c r="H61" s="538"/>
      <c r="I61" s="538"/>
    </row>
    <row r="62" spans="1:9" x14ac:dyDescent="0.3">
      <c r="A62" s="244" t="s">
        <v>595</v>
      </c>
      <c r="B62" s="328"/>
      <c r="C62" s="534"/>
      <c r="D62" s="328"/>
      <c r="E62" s="534"/>
      <c r="F62" s="328"/>
      <c r="G62" s="534"/>
      <c r="H62" s="538"/>
      <c r="I62" s="538"/>
    </row>
    <row r="63" spans="1:9" ht="17.25" thickBot="1" x14ac:dyDescent="0.35">
      <c r="B63" s="328"/>
      <c r="C63" s="534"/>
      <c r="D63" s="328"/>
      <c r="E63" s="534"/>
      <c r="F63" s="328"/>
      <c r="G63" s="534"/>
      <c r="H63" s="538"/>
      <c r="I63" s="538"/>
    </row>
    <row r="64" spans="1:9" s="783" customFormat="1" ht="20.25" x14ac:dyDescent="0.35">
      <c r="A64" s="887" t="s">
        <v>369</v>
      </c>
      <c r="B64" s="888"/>
      <c r="C64" s="888"/>
      <c r="D64" s="888"/>
      <c r="E64" s="888"/>
      <c r="F64" s="888"/>
      <c r="G64" s="888"/>
      <c r="H64" s="888"/>
      <c r="I64" s="889"/>
    </row>
    <row r="65" spans="1:9" s="783" customFormat="1" ht="21" thickBot="1" x14ac:dyDescent="0.4">
      <c r="A65" s="884" t="s">
        <v>600</v>
      </c>
      <c r="B65" s="885"/>
      <c r="C65" s="885"/>
      <c r="D65" s="885"/>
      <c r="E65" s="885"/>
      <c r="F65" s="885"/>
      <c r="G65" s="885"/>
      <c r="H65" s="885"/>
      <c r="I65" s="890"/>
    </row>
    <row r="66" spans="1:9" ht="17.25" thickBot="1" x14ac:dyDescent="0.35">
      <c r="B66" s="328"/>
      <c r="C66" s="534"/>
      <c r="D66" s="328"/>
      <c r="E66" s="534"/>
      <c r="F66" s="328"/>
      <c r="G66" s="534"/>
      <c r="H66" s="538"/>
      <c r="I66" s="538"/>
    </row>
    <row r="67" spans="1:9" s="784" customFormat="1" ht="17.25" x14ac:dyDescent="0.3">
      <c r="A67" s="791" t="s">
        <v>125</v>
      </c>
      <c r="B67" s="792" t="s">
        <v>533</v>
      </c>
      <c r="C67" s="793"/>
      <c r="D67" s="792" t="s">
        <v>543</v>
      </c>
      <c r="E67" s="793"/>
      <c r="F67" s="794" t="s">
        <v>370</v>
      </c>
      <c r="G67" s="795"/>
      <c r="H67" s="796"/>
      <c r="I67" s="797"/>
    </row>
    <row r="68" spans="1:9" s="784" customFormat="1" ht="18" thickBot="1" x14ac:dyDescent="0.35">
      <c r="A68" s="798" t="s">
        <v>374</v>
      </c>
      <c r="B68" s="799" t="s">
        <v>6</v>
      </c>
      <c r="C68" s="800" t="s">
        <v>335</v>
      </c>
      <c r="D68" s="799" t="s">
        <v>6</v>
      </c>
      <c r="E68" s="800" t="s">
        <v>335</v>
      </c>
      <c r="F68" s="801" t="s">
        <v>6</v>
      </c>
      <c r="G68" s="802" t="s">
        <v>335</v>
      </c>
      <c r="H68" s="803" t="s">
        <v>94</v>
      </c>
      <c r="I68" s="804" t="s">
        <v>371</v>
      </c>
    </row>
    <row r="69" spans="1:9" x14ac:dyDescent="0.3">
      <c r="A69" s="519" t="s">
        <v>104</v>
      </c>
      <c r="B69" s="520">
        <v>1799.78</v>
      </c>
      <c r="C69" s="521">
        <v>106388</v>
      </c>
      <c r="D69" s="520">
        <f>Table3WS1!$D$45</f>
        <v>1782.36</v>
      </c>
      <c r="E69" s="521">
        <f>Table3WS1!$E$45</f>
        <v>110681</v>
      </c>
      <c r="F69" s="522">
        <f t="shared" ref="F69:F78" si="17">+D69-B69</f>
        <v>-17.420000000000073</v>
      </c>
      <c r="G69" s="523">
        <f t="shared" ref="G69:G78" si="18">+E69-C69</f>
        <v>4293</v>
      </c>
      <c r="H69" s="524">
        <f t="shared" ref="H69:H78" si="19">IF(F69=0,0,F69/B69)</f>
        <v>-9.6789607618709365E-3</v>
      </c>
      <c r="I69" s="525">
        <f t="shared" ref="I69:I78" si="20">IF(G69=0,0,G69/C69)</f>
        <v>4.0352295371658457E-2</v>
      </c>
    </row>
    <row r="70" spans="1:9" x14ac:dyDescent="0.3">
      <c r="A70" s="519" t="s">
        <v>105</v>
      </c>
      <c r="B70" s="520">
        <v>16242.87</v>
      </c>
      <c r="C70" s="521">
        <v>44629</v>
      </c>
      <c r="D70" s="520">
        <f>Table3WS1!D37</f>
        <v>14573.38</v>
      </c>
      <c r="E70" s="521">
        <f>Table3WS1!E37</f>
        <v>46969</v>
      </c>
      <c r="F70" s="522">
        <f t="shared" si="17"/>
        <v>-1669.4900000000016</v>
      </c>
      <c r="G70" s="523">
        <f t="shared" si="18"/>
        <v>2340</v>
      </c>
      <c r="H70" s="524">
        <f t="shared" si="19"/>
        <v>-0.1027829441471859</v>
      </c>
      <c r="I70" s="525">
        <f t="shared" si="20"/>
        <v>5.2432274978153219E-2</v>
      </c>
    </row>
    <row r="71" spans="1:9" x14ac:dyDescent="0.3">
      <c r="A71" s="519" t="s">
        <v>106</v>
      </c>
      <c r="B71" s="520">
        <v>1683.69</v>
      </c>
      <c r="C71" s="521">
        <v>66096</v>
      </c>
      <c r="D71" s="520">
        <f>Table3WS1!D38</f>
        <v>1613.87</v>
      </c>
      <c r="E71" s="521">
        <f>Table3WS1!E38</f>
        <v>69333</v>
      </c>
      <c r="F71" s="522">
        <f t="shared" si="17"/>
        <v>-69.820000000000164</v>
      </c>
      <c r="G71" s="523">
        <f t="shared" si="18"/>
        <v>3237</v>
      </c>
      <c r="H71" s="524">
        <f t="shared" si="19"/>
        <v>-4.1468441340151783E-2</v>
      </c>
      <c r="I71" s="525">
        <f t="shared" si="20"/>
        <v>4.8974219317356571E-2</v>
      </c>
    </row>
    <row r="72" spans="1:9" x14ac:dyDescent="0.3">
      <c r="A72" s="519" t="s">
        <v>107</v>
      </c>
      <c r="B72" s="520">
        <v>236.74</v>
      </c>
      <c r="C72" s="521">
        <v>56418</v>
      </c>
      <c r="D72" s="520">
        <f>Table3WS1!D39</f>
        <v>227.32</v>
      </c>
      <c r="E72" s="521">
        <f>Table3WS1!E39</f>
        <v>59429</v>
      </c>
      <c r="F72" s="522">
        <f t="shared" si="17"/>
        <v>-9.4200000000000159</v>
      </c>
      <c r="G72" s="523">
        <f t="shared" si="18"/>
        <v>3011</v>
      </c>
      <c r="H72" s="524">
        <f t="shared" si="19"/>
        <v>-3.97904874545916E-2</v>
      </c>
      <c r="I72" s="525">
        <f t="shared" si="20"/>
        <v>5.3369492006097342E-2</v>
      </c>
    </row>
    <row r="73" spans="1:9" x14ac:dyDescent="0.3">
      <c r="A73" s="519" t="s">
        <v>108</v>
      </c>
      <c r="B73" s="520">
        <v>8216.4599999999991</v>
      </c>
      <c r="C73" s="521">
        <v>54757</v>
      </c>
      <c r="D73" s="520">
        <f>Table3WS1!D40</f>
        <v>7910.09</v>
      </c>
      <c r="E73" s="521">
        <f>Table3WS1!E40</f>
        <v>57169</v>
      </c>
      <c r="F73" s="522">
        <f t="shared" si="17"/>
        <v>-306.36999999999898</v>
      </c>
      <c r="G73" s="523">
        <f t="shared" si="18"/>
        <v>2412</v>
      </c>
      <c r="H73" s="524">
        <f t="shared" si="19"/>
        <v>-3.7287347592515389E-2</v>
      </c>
      <c r="I73" s="525">
        <f t="shared" si="20"/>
        <v>4.4049162664134264E-2</v>
      </c>
    </row>
    <row r="74" spans="1:9" x14ac:dyDescent="0.3">
      <c r="A74" s="519" t="s">
        <v>109</v>
      </c>
      <c r="B74" s="520">
        <v>3538.43</v>
      </c>
      <c r="C74" s="521">
        <v>52065</v>
      </c>
      <c r="D74" s="520">
        <f>Table3WS1!D41</f>
        <v>2457.0300000000002</v>
      </c>
      <c r="E74" s="521">
        <f>Table3WS1!E41</f>
        <v>54769</v>
      </c>
      <c r="F74" s="522">
        <f t="shared" si="17"/>
        <v>-1081.3999999999996</v>
      </c>
      <c r="G74" s="523">
        <f t="shared" si="18"/>
        <v>2704</v>
      </c>
      <c r="H74" s="524">
        <f t="shared" si="19"/>
        <v>-0.30561576744488367</v>
      </c>
      <c r="I74" s="525">
        <f t="shared" si="20"/>
        <v>5.1935081148564294E-2</v>
      </c>
    </row>
    <row r="75" spans="1:9" x14ac:dyDescent="0.3">
      <c r="A75" s="519" t="s">
        <v>110</v>
      </c>
      <c r="B75" s="520">
        <v>2377.2800000000002</v>
      </c>
      <c r="C75" s="521">
        <v>73662</v>
      </c>
      <c r="D75" s="520">
        <f>Table3WS1!D42</f>
        <v>2309.4899999999998</v>
      </c>
      <c r="E75" s="521">
        <f>Table3WS1!E42</f>
        <v>77833</v>
      </c>
      <c r="F75" s="522">
        <f t="shared" si="17"/>
        <v>-67.790000000000418</v>
      </c>
      <c r="G75" s="523">
        <f t="shared" si="18"/>
        <v>4171</v>
      </c>
      <c r="H75" s="524">
        <f t="shared" si="19"/>
        <v>-2.8515782743303443E-2</v>
      </c>
      <c r="I75" s="525">
        <f t="shared" si="20"/>
        <v>5.6623496511091199E-2</v>
      </c>
    </row>
    <row r="76" spans="1:9" x14ac:dyDescent="0.3">
      <c r="A76" s="519" t="s">
        <v>111</v>
      </c>
      <c r="B76" s="520">
        <v>8878.86</v>
      </c>
      <c r="C76" s="521">
        <v>46644</v>
      </c>
      <c r="D76" s="520">
        <f>Table3WS1!D43</f>
        <v>8396.99</v>
      </c>
      <c r="E76" s="521">
        <f>Table3WS1!E43</f>
        <v>48623</v>
      </c>
      <c r="F76" s="522">
        <f t="shared" si="17"/>
        <v>-481.8700000000008</v>
      </c>
      <c r="G76" s="523">
        <f t="shared" si="18"/>
        <v>1979</v>
      </c>
      <c r="H76" s="524">
        <f t="shared" si="19"/>
        <v>-5.4271606940530744E-2</v>
      </c>
      <c r="I76" s="525">
        <f t="shared" si="20"/>
        <v>4.2427750621730556E-2</v>
      </c>
    </row>
    <row r="77" spans="1:9" x14ac:dyDescent="0.3">
      <c r="A77" s="519" t="s">
        <v>112</v>
      </c>
      <c r="B77" s="520">
        <v>1766.8</v>
      </c>
      <c r="C77" s="521">
        <v>72197</v>
      </c>
      <c r="D77" s="520">
        <f>Table3WS1!D44</f>
        <v>1708.32</v>
      </c>
      <c r="E77" s="521">
        <f>Table3WS1!E44</f>
        <v>75092</v>
      </c>
      <c r="F77" s="522">
        <f t="shared" si="17"/>
        <v>-58.480000000000018</v>
      </c>
      <c r="G77" s="523">
        <f t="shared" si="18"/>
        <v>2895</v>
      </c>
      <c r="H77" s="524">
        <f t="shared" si="19"/>
        <v>-3.3099388725379229E-2</v>
      </c>
      <c r="I77" s="525">
        <f t="shared" si="20"/>
        <v>4.0098619056193469E-2</v>
      </c>
    </row>
    <row r="78" spans="1:9" x14ac:dyDescent="0.3">
      <c r="A78" s="519" t="s">
        <v>113</v>
      </c>
      <c r="B78" s="520">
        <v>2.1800000000000002</v>
      </c>
      <c r="C78" s="521">
        <v>72438</v>
      </c>
      <c r="D78" s="520">
        <f>Table3WS1!$D$36</f>
        <v>8.52</v>
      </c>
      <c r="E78" s="521">
        <f>Table3WS1!$E$36</f>
        <v>53507</v>
      </c>
      <c r="F78" s="522">
        <f t="shared" si="17"/>
        <v>6.34</v>
      </c>
      <c r="G78" s="523">
        <f t="shared" si="18"/>
        <v>-18931</v>
      </c>
      <c r="H78" s="524">
        <f t="shared" si="19"/>
        <v>2.9082568807339446</v>
      </c>
      <c r="I78" s="525">
        <f t="shared" si="20"/>
        <v>-0.26134073276457109</v>
      </c>
    </row>
    <row r="79" spans="1:9" ht="17.25" thickBot="1" x14ac:dyDescent="0.35">
      <c r="A79" s="536" t="s">
        <v>38</v>
      </c>
      <c r="B79" s="527">
        <f>SUM(B69:B78)</f>
        <v>44743.090000000004</v>
      </c>
      <c r="C79" s="528">
        <f>SUMPRODUCT(B69:B78,C69:C78)/SUM(B69:B78)</f>
        <v>53463.741311563419</v>
      </c>
      <c r="D79" s="527">
        <f>Table3WS1!$D$47</f>
        <v>40987.369999999995</v>
      </c>
      <c r="E79" s="528">
        <f>Table3WS1!$E$47</f>
        <v>56376.726725086301</v>
      </c>
      <c r="F79" s="529">
        <f>+D79-B79</f>
        <v>-3755.7200000000084</v>
      </c>
      <c r="G79" s="530">
        <f>+E79-C79</f>
        <v>2912.9854135228816</v>
      </c>
      <c r="H79" s="531">
        <f>+F79/B79</f>
        <v>-8.3939665320388199E-2</v>
      </c>
      <c r="I79" s="532">
        <f>+G79/C79</f>
        <v>5.4485251912081312E-2</v>
      </c>
    </row>
    <row r="80" spans="1:9" ht="17.25" thickBot="1" x14ac:dyDescent="0.35">
      <c r="B80" s="328"/>
      <c r="C80" s="534"/>
      <c r="D80" s="533"/>
      <c r="E80" s="328"/>
      <c r="F80" s="328"/>
      <c r="G80" s="534"/>
      <c r="H80" s="538"/>
      <c r="I80" s="538"/>
    </row>
    <row r="81" spans="1:9" s="784" customFormat="1" ht="17.25" x14ac:dyDescent="0.3">
      <c r="A81" s="791" t="s">
        <v>125</v>
      </c>
      <c r="B81" s="792" t="s">
        <v>533</v>
      </c>
      <c r="C81" s="793"/>
      <c r="D81" s="792" t="s">
        <v>543</v>
      </c>
      <c r="E81" s="793"/>
      <c r="F81" s="794" t="s">
        <v>370</v>
      </c>
      <c r="G81" s="795"/>
      <c r="H81" s="796"/>
      <c r="I81" s="797"/>
    </row>
    <row r="82" spans="1:9" s="784" customFormat="1" ht="18" thickBot="1" x14ac:dyDescent="0.35">
      <c r="A82" s="798" t="s">
        <v>375</v>
      </c>
      <c r="B82" s="799" t="s">
        <v>6</v>
      </c>
      <c r="C82" s="800" t="s">
        <v>335</v>
      </c>
      <c r="D82" s="799" t="s">
        <v>6</v>
      </c>
      <c r="E82" s="800" t="s">
        <v>335</v>
      </c>
      <c r="F82" s="801" t="s">
        <v>6</v>
      </c>
      <c r="G82" s="802" t="s">
        <v>335</v>
      </c>
      <c r="H82" s="803" t="s">
        <v>94</v>
      </c>
      <c r="I82" s="804" t="s">
        <v>371</v>
      </c>
    </row>
    <row r="83" spans="1:9" x14ac:dyDescent="0.3">
      <c r="A83" s="519" t="str">
        <f>A17</f>
        <v>Basic Education (01, 02, 03, 31, 34, 45, 97)</v>
      </c>
      <c r="B83" s="520">
        <v>22767.690000000002</v>
      </c>
      <c r="C83" s="521">
        <v>57667.371067947606</v>
      </c>
      <c r="D83" s="520">
        <f>+Table5_6ws1!P40+Table5_6ws1!P69+Table5_6ws1!P85+Table5_6ws1!P220+Table5_6ws1!P239+Table5_6ws1!P268+Table5_6ws1!P647</f>
        <v>21355.770000000004</v>
      </c>
      <c r="E83" s="521">
        <f>(+Table5_6ws1!Q40+Table5_6ws1!Q69+Table5_6ws1!Q85+Table5_6ws1!Q220+Table5_6ws1!Q239+Table5_6ws1!Q268+Table5_6ws1!Q647)/D83</f>
        <v>60720.64680505549</v>
      </c>
      <c r="F83" s="522">
        <f t="shared" ref="F83:F94" si="21">+D83-B83</f>
        <v>-1411.9199999999983</v>
      </c>
      <c r="G83" s="523">
        <f t="shared" ref="G83:G94" si="22">+E83-C83</f>
        <v>3053.2757371078842</v>
      </c>
      <c r="H83" s="524">
        <f t="shared" ref="H83:H94" si="23">IF(F83=0,0,F83/B83)</f>
        <v>-6.2014196433630209E-2</v>
      </c>
      <c r="I83" s="525">
        <f t="shared" ref="I83:I94" si="24">IF(G83=0,0,G83/C83)</f>
        <v>5.2946331357992857E-2</v>
      </c>
    </row>
    <row r="84" spans="1:9" x14ac:dyDescent="0.3">
      <c r="A84" s="519" t="str">
        <f t="shared" ref="A84:A93" si="25">A18</f>
        <v>Special Education, State (21, 22)</v>
      </c>
      <c r="B84" s="520">
        <v>8183.1299999999992</v>
      </c>
      <c r="C84" s="521">
        <v>46617.387503314741</v>
      </c>
      <c r="D84" s="520">
        <f>+Table5_6ws1!P143+Table5_6ws1!P155</f>
        <v>7711.5599999999995</v>
      </c>
      <c r="E84" s="521">
        <f>(+Table5_6ws1!Q143+Table5_6ws1!Q155)/D84</f>
        <v>48965.505551405935</v>
      </c>
      <c r="F84" s="522">
        <f t="shared" si="21"/>
        <v>-471.56999999999971</v>
      </c>
      <c r="G84" s="523">
        <f t="shared" si="22"/>
        <v>2348.1180480911935</v>
      </c>
      <c r="H84" s="524">
        <f t="shared" si="23"/>
        <v>-5.7627093789295751E-2</v>
      </c>
      <c r="I84" s="525">
        <f t="shared" si="24"/>
        <v>5.037000513862408E-2</v>
      </c>
    </row>
    <row r="85" spans="1:9" x14ac:dyDescent="0.3">
      <c r="A85" s="519" t="str">
        <f t="shared" si="25"/>
        <v>Special Education, Federal (24, 25, 29)</v>
      </c>
      <c r="B85" s="520">
        <v>972.57</v>
      </c>
      <c r="C85" s="521">
        <v>43653.735402079023</v>
      </c>
      <c r="D85" s="520">
        <f>+Table5_6ws1!P177+Table5_6ws1!P199</f>
        <v>811.67</v>
      </c>
      <c r="E85" s="521">
        <f>(+Table5_6ws1!Q177+Table5_6ws1!Q199)/D85</f>
        <v>45722.070200943745</v>
      </c>
      <c r="F85" s="522">
        <f t="shared" si="21"/>
        <v>-160.90000000000009</v>
      </c>
      <c r="G85" s="523">
        <f t="shared" si="22"/>
        <v>2068.334798864722</v>
      </c>
      <c r="H85" s="524">
        <f t="shared" si="23"/>
        <v>-0.16543796333425881</v>
      </c>
      <c r="I85" s="525">
        <f t="shared" si="24"/>
        <v>4.7380476832372447E-2</v>
      </c>
    </row>
    <row r="86" spans="1:9" x14ac:dyDescent="0.3">
      <c r="A86" s="519" t="str">
        <f t="shared" si="25"/>
        <v>Institutions, State (26, 56, 59)</v>
      </c>
      <c r="B86" s="520">
        <v>20.5</v>
      </c>
      <c r="C86" s="521">
        <v>50018.939512195109</v>
      </c>
      <c r="D86" s="520">
        <f>+Table5_6ws1!P192+Table5_6ws1!P379+Table5_6ws1!P410</f>
        <v>15.16</v>
      </c>
      <c r="E86" s="521">
        <f>(+Table5_6ws1!Q192+Table5_6ws1!Q379+Table5_6ws1!Q410)/D86</f>
        <v>51139.265171503961</v>
      </c>
      <c r="F86" s="522">
        <f t="shared" si="21"/>
        <v>-5.34</v>
      </c>
      <c r="G86" s="523">
        <f t="shared" si="22"/>
        <v>1120.3256593088518</v>
      </c>
      <c r="H86" s="524">
        <f t="shared" si="23"/>
        <v>-0.26048780487804879</v>
      </c>
      <c r="I86" s="525">
        <f t="shared" si="24"/>
        <v>2.2398029031297343E-2</v>
      </c>
    </row>
    <row r="87" spans="1:9" x14ac:dyDescent="0.3">
      <c r="A87" s="519" t="str">
        <f t="shared" si="25"/>
        <v>Learning Assistance, State (55)</v>
      </c>
      <c r="B87" s="520">
        <v>1454.5000000000002</v>
      </c>
      <c r="C87" s="521">
        <v>43772.34432451013</v>
      </c>
      <c r="D87" s="520">
        <f>+Table5_6ws1!P365</f>
        <v>1327.85</v>
      </c>
      <c r="E87" s="521">
        <f>+Table5_6ws1!Q365/D87</f>
        <v>46008.098279173108</v>
      </c>
      <c r="F87" s="522">
        <f t="shared" si="21"/>
        <v>-126.65000000000032</v>
      </c>
      <c r="G87" s="523">
        <f t="shared" si="22"/>
        <v>2235.7539546629778</v>
      </c>
      <c r="H87" s="524">
        <f t="shared" si="23"/>
        <v>-8.7074596081127734E-2</v>
      </c>
      <c r="I87" s="525">
        <f t="shared" si="24"/>
        <v>5.1076861181754828E-2</v>
      </c>
    </row>
    <row r="88" spans="1:9" x14ac:dyDescent="0.3">
      <c r="A88" s="519" t="str">
        <f t="shared" si="25"/>
        <v>Disadvantaged, Federal (51)</v>
      </c>
      <c r="B88" s="520">
        <v>748.82</v>
      </c>
      <c r="C88" s="521">
        <v>45009.777022515416</v>
      </c>
      <c r="D88" s="520">
        <f>+Table5_6ws1!P298</f>
        <v>641.55000000000007</v>
      </c>
      <c r="E88" s="521">
        <f>+Table5_6ws1!Q298/D88</f>
        <v>47748.977071155787</v>
      </c>
      <c r="F88" s="522">
        <f t="shared" si="21"/>
        <v>-107.26999999999998</v>
      </c>
      <c r="G88" s="523">
        <f t="shared" si="22"/>
        <v>2739.2000486403704</v>
      </c>
      <c r="H88" s="524">
        <f t="shared" si="23"/>
        <v>-0.14325204989182977</v>
      </c>
      <c r="I88" s="525">
        <f t="shared" si="24"/>
        <v>6.0857889770707586E-2</v>
      </c>
    </row>
    <row r="89" spans="1:9" x14ac:dyDescent="0.3">
      <c r="A89" s="519" t="str">
        <f t="shared" si="25"/>
        <v>Transitional Bilingual, State (65)</v>
      </c>
      <c r="B89" s="520">
        <v>882.17</v>
      </c>
      <c r="C89" s="521">
        <v>48015.514957434505</v>
      </c>
      <c r="D89" s="520">
        <f>+Table5_6ws1!P461</f>
        <v>845.62999999999988</v>
      </c>
      <c r="E89" s="521">
        <f>+Table5_6ws1!Q461/D89</f>
        <v>49989.44038172724</v>
      </c>
      <c r="F89" s="522">
        <f t="shared" si="21"/>
        <v>-36.540000000000077</v>
      </c>
      <c r="G89" s="523">
        <f t="shared" si="22"/>
        <v>1973.9254242927345</v>
      </c>
      <c r="H89" s="524">
        <f t="shared" si="23"/>
        <v>-4.1420587868551503E-2</v>
      </c>
      <c r="I89" s="525">
        <f t="shared" si="24"/>
        <v>4.1110158373655031E-2</v>
      </c>
    </row>
    <row r="90" spans="1:9" x14ac:dyDescent="0.3">
      <c r="A90" s="519" t="str">
        <f t="shared" si="25"/>
        <v>Highly Capable (74)</v>
      </c>
      <c r="B90" s="520">
        <v>25.75</v>
      </c>
      <c r="C90" s="521">
        <v>55816.206601941747</v>
      </c>
      <c r="D90" s="520">
        <f>+Table5_6ws1!P526</f>
        <v>26.9</v>
      </c>
      <c r="E90" s="521">
        <f>+Table5_6ws1!Q526/D90</f>
        <v>59682.835687732353</v>
      </c>
      <c r="F90" s="522">
        <f t="shared" si="21"/>
        <v>1.1499999999999986</v>
      </c>
      <c r="G90" s="523">
        <f t="shared" si="22"/>
        <v>3866.629085790606</v>
      </c>
      <c r="H90" s="524">
        <f t="shared" si="23"/>
        <v>4.466019417475723E-2</v>
      </c>
      <c r="I90" s="525">
        <f t="shared" si="24"/>
        <v>6.9274307968755666E-2</v>
      </c>
    </row>
    <row r="91" spans="1:9" x14ac:dyDescent="0.3">
      <c r="A91" s="519" t="str">
        <f t="shared" si="25"/>
        <v>Other, State and Federal</v>
      </c>
      <c r="B91" s="520">
        <v>2229.0700000000002</v>
      </c>
      <c r="C91" s="521">
        <v>61270.693751205668</v>
      </c>
      <c r="D91" s="520">
        <f>+Table5_6ws1!P731</f>
        <v>2380.3099999999995</v>
      </c>
      <c r="E91" s="521">
        <f>+Table5_6ws1!Q732</f>
        <v>63582.861181946886</v>
      </c>
      <c r="F91" s="522">
        <f t="shared" si="21"/>
        <v>151.23999999999933</v>
      </c>
      <c r="G91" s="523">
        <f t="shared" si="22"/>
        <v>2312.1674307412177</v>
      </c>
      <c r="H91" s="524">
        <f t="shared" si="23"/>
        <v>6.78489235421047E-2</v>
      </c>
      <c r="I91" s="525">
        <f t="shared" si="24"/>
        <v>3.7736922649022876E-2</v>
      </c>
    </row>
    <row r="92" spans="1:9" x14ac:dyDescent="0.3">
      <c r="A92" s="519" t="str">
        <f t="shared" si="25"/>
        <v>Food Services (98)</v>
      </c>
      <c r="B92" s="520">
        <v>2936.94</v>
      </c>
      <c r="C92" s="521">
        <v>43540.298416038459</v>
      </c>
      <c r="D92" s="520">
        <f>+Table5_6ws1!P658</f>
        <v>2549.5499999999997</v>
      </c>
      <c r="E92" s="521">
        <f>+Table5_6ws1!Q658/D92</f>
        <v>45864.698080053342</v>
      </c>
      <c r="F92" s="522">
        <f t="shared" si="21"/>
        <v>-387.39000000000033</v>
      </c>
      <c r="G92" s="523">
        <f t="shared" si="22"/>
        <v>2324.3996640148835</v>
      </c>
      <c r="H92" s="524">
        <f t="shared" si="23"/>
        <v>-0.13190259249422881</v>
      </c>
      <c r="I92" s="525">
        <f t="shared" si="24"/>
        <v>5.3385019133416645E-2</v>
      </c>
    </row>
    <row r="93" spans="1:9" x14ac:dyDescent="0.3">
      <c r="A93" s="519" t="str">
        <f t="shared" si="25"/>
        <v>Pupil Transportation (99)</v>
      </c>
      <c r="B93" s="520">
        <v>4521.8999999999996</v>
      </c>
      <c r="C93" s="521">
        <v>54976.993827815742</v>
      </c>
      <c r="D93" s="520">
        <f>+Table5_6ws1!P672</f>
        <v>3321.4300000000003</v>
      </c>
      <c r="E93" s="521">
        <f>+Table5_6ws1!Q672/D93</f>
        <v>58595.249675591527</v>
      </c>
      <c r="F93" s="522">
        <f t="shared" si="21"/>
        <v>-1200.4699999999993</v>
      </c>
      <c r="G93" s="523">
        <f t="shared" si="22"/>
        <v>3618.2558477757848</v>
      </c>
      <c r="H93" s="524">
        <f t="shared" si="23"/>
        <v>-0.26547911276233427</v>
      </c>
      <c r="I93" s="525">
        <f t="shared" si="24"/>
        <v>6.5813999563306774E-2</v>
      </c>
    </row>
    <row r="94" spans="1:9" ht="17.25" thickBot="1" x14ac:dyDescent="0.35">
      <c r="A94" s="536" t="s">
        <v>38</v>
      </c>
      <c r="B94" s="527">
        <f>SUM(B83:B93)</f>
        <v>44743.040000000001</v>
      </c>
      <c r="C94" s="528">
        <f>SUMPRODUCT(B83:B93,C83:C93)/SUM(B83:B93)</f>
        <v>53463.717696204811</v>
      </c>
      <c r="D94" s="527">
        <f>+Table5_6ws1!P694</f>
        <v>40987.369999999995</v>
      </c>
      <c r="E94" s="528">
        <f>+Table5_6ws1!Q694</f>
        <v>56376.726725086301</v>
      </c>
      <c r="F94" s="529">
        <f t="shared" si="21"/>
        <v>-3755.6700000000055</v>
      </c>
      <c r="G94" s="530">
        <f t="shared" si="22"/>
        <v>2913.0090288814899</v>
      </c>
      <c r="H94" s="531">
        <f t="shared" si="23"/>
        <v>-8.3938641630072641E-2</v>
      </c>
      <c r="I94" s="532">
        <f t="shared" si="24"/>
        <v>5.4485717686786929E-2</v>
      </c>
    </row>
    <row r="95" spans="1:9" x14ac:dyDescent="0.3">
      <c r="D95" s="539"/>
    </row>
    <row r="96" spans="1:9" x14ac:dyDescent="0.3">
      <c r="A96" s="244" t="s">
        <v>594</v>
      </c>
    </row>
    <row r="97" spans="1:1" x14ac:dyDescent="0.3">
      <c r="A97" s="244" t="s">
        <v>596</v>
      </c>
    </row>
    <row r="98" spans="1:1" x14ac:dyDescent="0.3">
      <c r="A98" s="244" t="s">
        <v>595</v>
      </c>
    </row>
  </sheetData>
  <mergeCells count="4">
    <mergeCell ref="A1:I1"/>
    <mergeCell ref="A2:I2"/>
    <mergeCell ref="A64:I64"/>
    <mergeCell ref="A65:I65"/>
  </mergeCells>
  <phoneticPr fontId="0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52"/>
  <sheetViews>
    <sheetView showZeros="0" zoomScaleNormal="100" workbookViewId="0">
      <pane xSplit="5" ySplit="5" topLeftCell="F715" activePane="bottomRight" state="frozen"/>
      <selection pane="topRight" activeCell="F1" sqref="F1"/>
      <selection pane="bottomLeft" activeCell="A6" sqref="A6"/>
      <selection pane="bottomRight" activeCell="B107" sqref="B107"/>
    </sheetView>
  </sheetViews>
  <sheetFormatPr defaultRowHeight="14.25" x14ac:dyDescent="0.25"/>
  <cols>
    <col min="1" max="1" width="3.42578125" style="618" customWidth="1"/>
    <col min="2" max="2" width="2.7109375" style="568" customWidth="1"/>
    <col min="3" max="3" width="18.28515625" style="568" customWidth="1"/>
    <col min="4" max="4" width="12.85546875" style="568" customWidth="1"/>
    <col min="5" max="5" width="10" style="568" bestFit="1" customWidth="1"/>
    <col min="6" max="6" width="11.140625" style="568" customWidth="1"/>
    <col min="7" max="7" width="13.5703125" style="619" customWidth="1"/>
    <col min="8" max="8" width="11.140625" style="568" customWidth="1"/>
    <col min="9" max="9" width="12" style="619" customWidth="1"/>
    <col min="10" max="10" width="11.140625" style="568" customWidth="1"/>
    <col min="11" max="11" width="13.5703125" style="619" customWidth="1"/>
    <col min="12" max="12" width="11.140625" style="568" customWidth="1"/>
    <col min="13" max="13" width="11" style="620" customWidth="1"/>
    <col min="14" max="14" width="11.140625" style="568" customWidth="1"/>
    <col min="15" max="15" width="13.5703125" style="621" customWidth="1"/>
    <col min="16" max="16" width="11.140625" style="568" customWidth="1"/>
    <col min="17" max="17" width="13.5703125" style="619" customWidth="1"/>
    <col min="18" max="16384" width="9.140625" style="568"/>
  </cols>
  <sheetData>
    <row r="1" spans="1:18" x14ac:dyDescent="0.25">
      <c r="A1" s="241"/>
      <c r="B1" s="241" t="s">
        <v>173</v>
      </c>
      <c r="C1" s="241"/>
      <c r="D1" s="564"/>
      <c r="E1" s="565"/>
      <c r="F1" s="241"/>
      <c r="G1" s="241"/>
      <c r="H1" s="241"/>
      <c r="I1" s="241"/>
      <c r="J1" s="241"/>
      <c r="K1" s="241"/>
      <c r="L1" s="566"/>
      <c r="M1" s="241"/>
      <c r="N1" s="567"/>
      <c r="O1" s="241"/>
      <c r="P1" s="241"/>
      <c r="Q1" s="241"/>
    </row>
    <row r="2" spans="1:18" x14ac:dyDescent="0.25">
      <c r="A2" s="241"/>
      <c r="B2" s="241" t="s">
        <v>550</v>
      </c>
      <c r="C2" s="241"/>
      <c r="D2" s="564"/>
      <c r="E2" s="565"/>
      <c r="F2" s="622" t="s">
        <v>114</v>
      </c>
      <c r="G2" s="623"/>
      <c r="H2" s="622" t="s">
        <v>115</v>
      </c>
      <c r="I2" s="623"/>
      <c r="J2" s="622" t="s">
        <v>116</v>
      </c>
      <c r="K2" s="623"/>
      <c r="L2" s="624" t="s">
        <v>117</v>
      </c>
      <c r="M2" s="625"/>
      <c r="N2" s="622" t="s">
        <v>118</v>
      </c>
      <c r="O2" s="623"/>
      <c r="P2" s="622" t="s">
        <v>119</v>
      </c>
      <c r="Q2" s="623"/>
    </row>
    <row r="3" spans="1:18" x14ac:dyDescent="0.25">
      <c r="A3" s="241"/>
      <c r="B3" s="241"/>
      <c r="C3" s="241"/>
      <c r="D3" s="564"/>
      <c r="E3" s="629"/>
      <c r="F3" s="630" t="s">
        <v>120</v>
      </c>
      <c r="G3" s="643"/>
      <c r="H3" s="644" t="s">
        <v>121</v>
      </c>
      <c r="I3" s="659"/>
      <c r="J3" s="660" t="s">
        <v>122</v>
      </c>
      <c r="K3" s="674"/>
      <c r="L3" s="675" t="s">
        <v>123</v>
      </c>
      <c r="M3" s="688"/>
      <c r="N3" s="729" t="s">
        <v>124</v>
      </c>
      <c r="O3" s="730"/>
      <c r="P3" s="695" t="s">
        <v>125</v>
      </c>
      <c r="Q3" s="703"/>
      <c r="R3" s="704"/>
    </row>
    <row r="4" spans="1:18" x14ac:dyDescent="0.25">
      <c r="A4" s="241"/>
      <c r="B4" s="241"/>
      <c r="C4" s="241"/>
      <c r="D4" s="569" t="s">
        <v>6</v>
      </c>
      <c r="E4" s="631" t="s">
        <v>199</v>
      </c>
      <c r="F4" s="632" t="s">
        <v>6</v>
      </c>
      <c r="G4" s="645" t="s">
        <v>126</v>
      </c>
      <c r="H4" s="646" t="s">
        <v>6</v>
      </c>
      <c r="I4" s="661" t="s">
        <v>126</v>
      </c>
      <c r="J4" s="662" t="s">
        <v>6</v>
      </c>
      <c r="K4" s="676" t="s">
        <v>126</v>
      </c>
      <c r="L4" s="677" t="s">
        <v>6</v>
      </c>
      <c r="M4" s="689" t="s">
        <v>126</v>
      </c>
      <c r="N4" s="731" t="s">
        <v>6</v>
      </c>
      <c r="O4" s="732" t="s">
        <v>126</v>
      </c>
      <c r="P4" s="696" t="s">
        <v>6</v>
      </c>
      <c r="Q4" s="705" t="s">
        <v>126</v>
      </c>
      <c r="R4" s="704"/>
    </row>
    <row r="5" spans="1:18" x14ac:dyDescent="0.25">
      <c r="A5" s="241"/>
      <c r="B5" s="241"/>
      <c r="C5" s="241"/>
      <c r="D5" s="569"/>
      <c r="E5" s="631"/>
      <c r="F5" s="633" t="s">
        <v>207</v>
      </c>
      <c r="G5" s="647"/>
      <c r="H5" s="648" t="s">
        <v>208</v>
      </c>
      <c r="I5" s="663"/>
      <c r="J5" s="664" t="s">
        <v>206</v>
      </c>
      <c r="K5" s="678"/>
      <c r="L5" s="679"/>
      <c r="M5" s="690"/>
      <c r="N5" s="733" t="s">
        <v>209</v>
      </c>
      <c r="O5" s="734"/>
      <c r="P5" s="697" t="s">
        <v>267</v>
      </c>
      <c r="Q5" s="706"/>
      <c r="R5" s="704"/>
    </row>
    <row r="6" spans="1:18" x14ac:dyDescent="0.25">
      <c r="A6" s="552" t="s">
        <v>37</v>
      </c>
      <c r="B6" s="552" t="s">
        <v>127</v>
      </c>
      <c r="C6" s="545"/>
      <c r="D6" s="550"/>
      <c r="E6" s="546"/>
      <c r="F6" s="635"/>
      <c r="G6" s="649"/>
      <c r="H6" s="650"/>
      <c r="I6" s="665"/>
      <c r="J6" s="666"/>
      <c r="K6" s="680"/>
      <c r="L6" s="681"/>
      <c r="M6" s="691"/>
      <c r="N6" s="735"/>
      <c r="O6" s="736"/>
      <c r="P6" s="698"/>
      <c r="Q6" s="707"/>
      <c r="R6" s="704"/>
    </row>
    <row r="7" spans="1:18" x14ac:dyDescent="0.25">
      <c r="A7" s="552"/>
      <c r="B7" s="552" t="s">
        <v>390</v>
      </c>
      <c r="C7" s="545" t="s">
        <v>152</v>
      </c>
      <c r="D7" s="550">
        <v>2.5</v>
      </c>
      <c r="E7" s="546">
        <v>135028</v>
      </c>
      <c r="F7" s="635"/>
      <c r="G7" s="649"/>
      <c r="H7" s="650"/>
      <c r="I7" s="665"/>
      <c r="J7" s="666"/>
      <c r="K7" s="680"/>
      <c r="L7" s="681"/>
      <c r="M7" s="691"/>
      <c r="N7" s="735"/>
      <c r="O7" s="736"/>
      <c r="P7" s="698"/>
      <c r="Q7" s="707"/>
      <c r="R7" s="704"/>
    </row>
    <row r="8" spans="1:18" x14ac:dyDescent="0.25">
      <c r="A8" s="552"/>
      <c r="B8" s="552" t="s">
        <v>391</v>
      </c>
      <c r="C8" s="545" t="s">
        <v>128</v>
      </c>
      <c r="D8" s="550">
        <v>76.290000000000006</v>
      </c>
      <c r="E8" s="546">
        <v>180699</v>
      </c>
      <c r="F8" s="635"/>
      <c r="G8" s="649"/>
      <c r="H8" s="650"/>
      <c r="I8" s="665"/>
      <c r="J8" s="666"/>
      <c r="K8" s="680"/>
      <c r="L8" s="681"/>
      <c r="M8" s="691"/>
      <c r="N8" s="735"/>
      <c r="O8" s="736"/>
      <c r="P8" s="698"/>
      <c r="Q8" s="707"/>
      <c r="R8" s="704"/>
    </row>
    <row r="9" spans="1:18" x14ac:dyDescent="0.25">
      <c r="A9" s="552"/>
      <c r="B9" s="552" t="s">
        <v>392</v>
      </c>
      <c r="C9" s="545" t="s">
        <v>129</v>
      </c>
      <c r="D9" s="550">
        <v>385.98</v>
      </c>
      <c r="E9" s="546">
        <v>149640</v>
      </c>
      <c r="F9" s="635"/>
      <c r="G9" s="649"/>
      <c r="H9" s="650"/>
      <c r="I9" s="665"/>
      <c r="J9" s="666"/>
      <c r="K9" s="680"/>
      <c r="L9" s="681"/>
      <c r="M9" s="691"/>
      <c r="N9" s="735"/>
      <c r="O9" s="736"/>
      <c r="P9" s="698"/>
      <c r="Q9" s="707"/>
      <c r="R9" s="704"/>
    </row>
    <row r="10" spans="1:18" x14ac:dyDescent="0.25">
      <c r="A10" s="552"/>
      <c r="B10" s="552" t="s">
        <v>393</v>
      </c>
      <c r="C10" s="545" t="s">
        <v>136</v>
      </c>
      <c r="D10" s="550">
        <v>1190.56</v>
      </c>
      <c r="E10" s="546">
        <v>138836</v>
      </c>
      <c r="F10" s="635"/>
      <c r="G10" s="649"/>
      <c r="H10" s="650"/>
      <c r="I10" s="665"/>
      <c r="J10" s="666"/>
      <c r="K10" s="680"/>
      <c r="L10" s="681"/>
      <c r="M10" s="691"/>
      <c r="N10" s="735"/>
      <c r="O10" s="736"/>
      <c r="P10" s="698"/>
      <c r="Q10" s="707"/>
      <c r="R10" s="704"/>
    </row>
    <row r="11" spans="1:18" x14ac:dyDescent="0.25">
      <c r="A11" s="552"/>
      <c r="B11" s="552" t="s">
        <v>394</v>
      </c>
      <c r="C11" s="545" t="s">
        <v>146</v>
      </c>
      <c r="D11" s="550">
        <v>518.09</v>
      </c>
      <c r="E11" s="546">
        <v>126165</v>
      </c>
      <c r="F11" s="635"/>
      <c r="G11" s="649"/>
      <c r="H11" s="650"/>
      <c r="I11" s="665"/>
      <c r="J11" s="666"/>
      <c r="K11" s="680"/>
      <c r="L11" s="681"/>
      <c r="M11" s="691"/>
      <c r="N11" s="735"/>
      <c r="O11" s="736"/>
      <c r="P11" s="698"/>
      <c r="Q11" s="707"/>
      <c r="R11" s="704"/>
    </row>
    <row r="12" spans="1:18" x14ac:dyDescent="0.25">
      <c r="A12" s="552"/>
      <c r="B12" s="552" t="s">
        <v>395</v>
      </c>
      <c r="C12" s="545" t="s">
        <v>137</v>
      </c>
      <c r="D12" s="550">
        <v>696.01</v>
      </c>
      <c r="E12" s="546">
        <v>144982</v>
      </c>
      <c r="F12" s="635"/>
      <c r="G12" s="649"/>
      <c r="H12" s="650"/>
      <c r="I12" s="665"/>
      <c r="J12" s="666"/>
      <c r="K12" s="680"/>
      <c r="L12" s="681"/>
      <c r="M12" s="691"/>
      <c r="N12" s="735"/>
      <c r="O12" s="736"/>
      <c r="P12" s="698"/>
      <c r="Q12" s="707"/>
      <c r="R12" s="704"/>
    </row>
    <row r="13" spans="1:18" x14ac:dyDescent="0.25">
      <c r="A13" s="552"/>
      <c r="B13" s="552" t="s">
        <v>396</v>
      </c>
      <c r="C13" s="545" t="s">
        <v>145</v>
      </c>
      <c r="D13" s="550">
        <v>868.07</v>
      </c>
      <c r="E13" s="546">
        <v>135773</v>
      </c>
      <c r="F13" s="635"/>
      <c r="G13" s="649"/>
      <c r="H13" s="650"/>
      <c r="I13" s="665"/>
      <c r="J13" s="666"/>
      <c r="K13" s="680"/>
      <c r="L13" s="681"/>
      <c r="M13" s="691"/>
      <c r="N13" s="735"/>
      <c r="O13" s="736"/>
      <c r="P13" s="698"/>
      <c r="Q13" s="707"/>
      <c r="R13" s="704"/>
    </row>
    <row r="14" spans="1:18" x14ac:dyDescent="0.25">
      <c r="A14" s="552"/>
      <c r="B14" s="552" t="s">
        <v>397</v>
      </c>
      <c r="C14" s="545" t="s">
        <v>130</v>
      </c>
      <c r="D14" s="550">
        <v>93.95</v>
      </c>
      <c r="E14" s="546">
        <v>111293</v>
      </c>
      <c r="F14" s="635"/>
      <c r="G14" s="649"/>
      <c r="H14" s="650"/>
      <c r="I14" s="665"/>
      <c r="J14" s="666"/>
      <c r="K14" s="680"/>
      <c r="L14" s="681"/>
      <c r="M14" s="691"/>
      <c r="N14" s="735"/>
      <c r="O14" s="736"/>
      <c r="P14" s="698"/>
      <c r="Q14" s="707"/>
      <c r="R14" s="704"/>
    </row>
    <row r="15" spans="1:18" x14ac:dyDescent="0.25">
      <c r="A15" s="552"/>
      <c r="B15" s="552" t="s">
        <v>398</v>
      </c>
      <c r="C15" s="545" t="s">
        <v>502</v>
      </c>
      <c r="D15" s="550">
        <v>25415.83</v>
      </c>
      <c r="E15" s="546">
        <v>78083</v>
      </c>
      <c r="F15" s="635"/>
      <c r="G15" s="649"/>
      <c r="H15" s="650"/>
      <c r="I15" s="665"/>
      <c r="J15" s="666"/>
      <c r="K15" s="680"/>
      <c r="L15" s="681"/>
      <c r="M15" s="691"/>
      <c r="N15" s="735"/>
      <c r="O15" s="736"/>
      <c r="P15" s="698"/>
      <c r="Q15" s="707"/>
      <c r="R15" s="704"/>
    </row>
    <row r="16" spans="1:18" x14ac:dyDescent="0.25">
      <c r="A16" s="552"/>
      <c r="B16" s="552" t="s">
        <v>399</v>
      </c>
      <c r="C16" s="545" t="s">
        <v>131</v>
      </c>
      <c r="D16" s="550">
        <v>17721.439999999999</v>
      </c>
      <c r="E16" s="546">
        <v>81747</v>
      </c>
      <c r="F16" s="635"/>
      <c r="G16" s="649"/>
      <c r="H16" s="650"/>
      <c r="I16" s="665"/>
      <c r="J16" s="666"/>
      <c r="K16" s="680"/>
      <c r="L16" s="681"/>
      <c r="M16" s="691"/>
      <c r="N16" s="735"/>
      <c r="O16" s="736"/>
      <c r="P16" s="698"/>
      <c r="Q16" s="707"/>
      <c r="R16" s="704"/>
    </row>
    <row r="17" spans="1:18" x14ac:dyDescent="0.25">
      <c r="A17" s="552"/>
      <c r="B17" s="552" t="s">
        <v>400</v>
      </c>
      <c r="C17" s="545" t="s">
        <v>132</v>
      </c>
      <c r="D17" s="550">
        <v>566.4</v>
      </c>
      <c r="E17" s="546">
        <v>84617</v>
      </c>
      <c r="F17" s="635"/>
      <c r="G17" s="649"/>
      <c r="H17" s="650"/>
      <c r="I17" s="665"/>
      <c r="J17" s="666"/>
      <c r="K17" s="680"/>
      <c r="L17" s="681"/>
      <c r="M17" s="691"/>
      <c r="N17" s="735"/>
      <c r="O17" s="736"/>
      <c r="P17" s="698"/>
      <c r="Q17" s="707"/>
      <c r="R17" s="704"/>
    </row>
    <row r="18" spans="1:18" x14ac:dyDescent="0.25">
      <c r="A18" s="552"/>
      <c r="B18" s="552" t="s">
        <v>503</v>
      </c>
      <c r="C18" s="545" t="s">
        <v>504</v>
      </c>
      <c r="D18" s="550">
        <v>3121.52</v>
      </c>
      <c r="E18" s="546">
        <v>81772</v>
      </c>
      <c r="F18" s="635"/>
      <c r="G18" s="649"/>
      <c r="H18" s="650"/>
      <c r="I18" s="665"/>
      <c r="J18" s="666"/>
      <c r="K18" s="680"/>
      <c r="L18" s="681"/>
      <c r="M18" s="691"/>
      <c r="N18" s="735"/>
      <c r="O18" s="736"/>
      <c r="P18" s="698"/>
      <c r="Q18" s="707"/>
      <c r="R18" s="704"/>
    </row>
    <row r="19" spans="1:18" x14ac:dyDescent="0.25">
      <c r="A19" s="552"/>
      <c r="B19" s="552" t="s">
        <v>401</v>
      </c>
      <c r="C19" s="545" t="s">
        <v>133</v>
      </c>
      <c r="D19" s="550">
        <v>810.51</v>
      </c>
      <c r="E19" s="546">
        <v>90358</v>
      </c>
      <c r="F19" s="635"/>
      <c r="G19" s="649"/>
      <c r="H19" s="650"/>
      <c r="I19" s="665"/>
      <c r="J19" s="666"/>
      <c r="K19" s="680"/>
      <c r="L19" s="681"/>
      <c r="M19" s="691"/>
      <c r="N19" s="735"/>
      <c r="O19" s="736"/>
      <c r="P19" s="698"/>
      <c r="Q19" s="707"/>
      <c r="R19" s="704"/>
    </row>
    <row r="20" spans="1:18" x14ac:dyDescent="0.25">
      <c r="A20" s="552"/>
      <c r="B20" s="552" t="s">
        <v>402</v>
      </c>
      <c r="C20" s="545" t="s">
        <v>144</v>
      </c>
      <c r="D20" s="550">
        <v>777.8</v>
      </c>
      <c r="E20" s="546">
        <v>90377</v>
      </c>
      <c r="F20" s="635"/>
      <c r="G20" s="649"/>
      <c r="H20" s="650"/>
      <c r="I20" s="665"/>
      <c r="J20" s="666"/>
      <c r="K20" s="680"/>
      <c r="L20" s="681"/>
      <c r="M20" s="691"/>
      <c r="N20" s="735"/>
      <c r="O20" s="736"/>
      <c r="P20" s="698"/>
      <c r="Q20" s="707"/>
      <c r="R20" s="704"/>
    </row>
    <row r="21" spans="1:18" x14ac:dyDescent="0.25">
      <c r="A21" s="552"/>
      <c r="B21" s="552" t="s">
        <v>403</v>
      </c>
      <c r="C21" s="545" t="s">
        <v>138</v>
      </c>
      <c r="D21" s="550">
        <v>2361.17</v>
      </c>
      <c r="E21" s="546">
        <v>81852</v>
      </c>
      <c r="F21" s="635"/>
      <c r="G21" s="649"/>
      <c r="H21" s="650"/>
      <c r="I21" s="665"/>
      <c r="J21" s="666"/>
      <c r="K21" s="680"/>
      <c r="L21" s="681"/>
      <c r="M21" s="691"/>
      <c r="N21" s="735"/>
      <c r="O21" s="736"/>
      <c r="P21" s="698"/>
      <c r="Q21" s="707"/>
      <c r="R21" s="704"/>
    </row>
    <row r="22" spans="1:18" x14ac:dyDescent="0.25">
      <c r="A22" s="552"/>
      <c r="B22" s="552" t="s">
        <v>404</v>
      </c>
      <c r="C22" s="545" t="s">
        <v>139</v>
      </c>
      <c r="D22" s="550">
        <v>3.72</v>
      </c>
      <c r="E22" s="546">
        <v>69247</v>
      </c>
      <c r="F22" s="635"/>
      <c r="G22" s="649"/>
      <c r="H22" s="650"/>
      <c r="I22" s="665"/>
      <c r="J22" s="666"/>
      <c r="K22" s="680"/>
      <c r="L22" s="681"/>
      <c r="M22" s="691"/>
      <c r="N22" s="735"/>
      <c r="O22" s="736"/>
      <c r="P22" s="698"/>
      <c r="Q22" s="707"/>
      <c r="R22" s="704"/>
    </row>
    <row r="23" spans="1:18" x14ac:dyDescent="0.25">
      <c r="A23" s="552"/>
      <c r="B23" s="552" t="s">
        <v>405</v>
      </c>
      <c r="C23" s="545" t="s">
        <v>140</v>
      </c>
      <c r="D23" s="550">
        <v>128.09</v>
      </c>
      <c r="E23" s="546">
        <v>80170</v>
      </c>
      <c r="F23" s="635"/>
      <c r="G23" s="649"/>
      <c r="H23" s="650"/>
      <c r="I23" s="665"/>
      <c r="J23" s="666"/>
      <c r="K23" s="680"/>
      <c r="L23" s="681"/>
      <c r="M23" s="691"/>
      <c r="N23" s="735"/>
      <c r="O23" s="736"/>
      <c r="P23" s="698"/>
      <c r="Q23" s="707"/>
      <c r="R23" s="704"/>
    </row>
    <row r="24" spans="1:18" x14ac:dyDescent="0.25">
      <c r="A24" s="552"/>
      <c r="B24" s="552" t="s">
        <v>406</v>
      </c>
      <c r="C24" s="545" t="s">
        <v>261</v>
      </c>
      <c r="D24" s="550">
        <v>3.65</v>
      </c>
      <c r="E24" s="546">
        <v>84024</v>
      </c>
      <c r="F24" s="635"/>
      <c r="G24" s="649"/>
      <c r="H24" s="650"/>
      <c r="I24" s="665"/>
      <c r="J24" s="666"/>
      <c r="K24" s="680"/>
      <c r="L24" s="681"/>
      <c r="M24" s="691"/>
      <c r="N24" s="735"/>
      <c r="O24" s="736"/>
      <c r="P24" s="698"/>
      <c r="Q24" s="707"/>
      <c r="R24" s="704"/>
    </row>
    <row r="25" spans="1:18" x14ac:dyDescent="0.25">
      <c r="A25" s="552"/>
      <c r="B25" s="552" t="s">
        <v>407</v>
      </c>
      <c r="C25" s="545" t="s">
        <v>141</v>
      </c>
      <c r="D25" s="550">
        <v>33.28</v>
      </c>
      <c r="E25" s="546">
        <v>82585</v>
      </c>
      <c r="F25" s="635"/>
      <c r="G25" s="649"/>
      <c r="H25" s="650"/>
      <c r="I25" s="665"/>
      <c r="J25" s="666"/>
      <c r="K25" s="680"/>
      <c r="L25" s="681"/>
      <c r="M25" s="691"/>
      <c r="N25" s="735"/>
      <c r="O25" s="736"/>
      <c r="P25" s="698"/>
      <c r="Q25" s="707"/>
      <c r="R25" s="704"/>
    </row>
    <row r="26" spans="1:18" x14ac:dyDescent="0.25">
      <c r="A26" s="552"/>
      <c r="B26" s="552" t="s">
        <v>408</v>
      </c>
      <c r="C26" s="545" t="s">
        <v>142</v>
      </c>
      <c r="D26" s="550">
        <v>529.91</v>
      </c>
      <c r="E26" s="546">
        <v>72042</v>
      </c>
      <c r="F26" s="635"/>
      <c r="G26" s="649"/>
      <c r="H26" s="650"/>
      <c r="I26" s="665"/>
      <c r="J26" s="666"/>
      <c r="K26" s="680"/>
      <c r="L26" s="681"/>
      <c r="M26" s="691"/>
      <c r="N26" s="735"/>
      <c r="O26" s="736"/>
      <c r="P26" s="698"/>
      <c r="Q26" s="707"/>
      <c r="R26" s="704"/>
    </row>
    <row r="27" spans="1:18" x14ac:dyDescent="0.25">
      <c r="A27" s="552"/>
      <c r="B27" s="552" t="s">
        <v>409</v>
      </c>
      <c r="C27" s="545" t="s">
        <v>143</v>
      </c>
      <c r="D27" s="550">
        <v>2.09</v>
      </c>
      <c r="E27" s="546">
        <v>90238</v>
      </c>
      <c r="F27" s="635"/>
      <c r="G27" s="649"/>
      <c r="H27" s="650"/>
      <c r="I27" s="665"/>
      <c r="J27" s="666"/>
      <c r="K27" s="680"/>
      <c r="L27" s="681"/>
      <c r="M27" s="691"/>
      <c r="N27" s="735"/>
      <c r="O27" s="736"/>
      <c r="P27" s="698"/>
      <c r="Q27" s="707"/>
      <c r="R27" s="704"/>
    </row>
    <row r="28" spans="1:18" x14ac:dyDescent="0.25">
      <c r="A28" s="552"/>
      <c r="B28" s="552" t="s">
        <v>411</v>
      </c>
      <c r="C28" s="545" t="s">
        <v>134</v>
      </c>
      <c r="D28" s="550">
        <v>100.18</v>
      </c>
      <c r="E28" s="546">
        <v>97560</v>
      </c>
      <c r="F28" s="635"/>
      <c r="G28" s="649"/>
      <c r="H28" s="650"/>
      <c r="I28" s="665"/>
      <c r="J28" s="666"/>
      <c r="K28" s="680"/>
      <c r="L28" s="681"/>
      <c r="M28" s="691"/>
      <c r="N28" s="735"/>
      <c r="O28" s="736"/>
      <c r="P28" s="698"/>
      <c r="Q28" s="707"/>
      <c r="R28" s="704"/>
    </row>
    <row r="29" spans="1:18" x14ac:dyDescent="0.25">
      <c r="A29" s="552"/>
      <c r="B29" s="552" t="s">
        <v>412</v>
      </c>
      <c r="C29" s="545" t="s">
        <v>135</v>
      </c>
      <c r="D29" s="550">
        <v>79.31</v>
      </c>
      <c r="E29" s="546">
        <v>64182</v>
      </c>
      <c r="F29" s="635"/>
      <c r="G29" s="649"/>
      <c r="H29" s="650"/>
      <c r="I29" s="665"/>
      <c r="J29" s="666"/>
      <c r="K29" s="680"/>
      <c r="L29" s="681"/>
      <c r="M29" s="691"/>
      <c r="N29" s="735"/>
      <c r="O29" s="736"/>
      <c r="P29" s="698"/>
      <c r="Q29" s="707"/>
      <c r="R29" s="704"/>
    </row>
    <row r="30" spans="1:18" x14ac:dyDescent="0.25">
      <c r="A30" s="552"/>
      <c r="B30" s="552" t="s">
        <v>413</v>
      </c>
      <c r="C30" s="545" t="s">
        <v>262</v>
      </c>
      <c r="D30" s="550">
        <v>42.16</v>
      </c>
      <c r="E30" s="546">
        <v>91983</v>
      </c>
      <c r="F30" s="635"/>
      <c r="G30" s="649"/>
      <c r="H30" s="650"/>
      <c r="I30" s="665"/>
      <c r="J30" s="666"/>
      <c r="K30" s="680"/>
      <c r="L30" s="681"/>
      <c r="M30" s="691"/>
      <c r="N30" s="735"/>
      <c r="O30" s="736"/>
      <c r="P30" s="698"/>
      <c r="Q30" s="707"/>
      <c r="R30" s="704"/>
    </row>
    <row r="31" spans="1:18" x14ac:dyDescent="0.25">
      <c r="A31" s="552"/>
      <c r="B31" s="552" t="s">
        <v>414</v>
      </c>
      <c r="C31" s="545" t="s">
        <v>193</v>
      </c>
      <c r="D31" s="550">
        <v>5</v>
      </c>
      <c r="E31" s="546">
        <v>59991</v>
      </c>
      <c r="F31" s="635"/>
      <c r="G31" s="649"/>
      <c r="H31" s="650"/>
      <c r="I31" s="665"/>
      <c r="J31" s="666"/>
      <c r="K31" s="680"/>
      <c r="L31" s="681"/>
      <c r="M31" s="691"/>
      <c r="N31" s="735"/>
      <c r="O31" s="736"/>
      <c r="P31" s="698"/>
      <c r="Q31" s="707"/>
      <c r="R31" s="704"/>
    </row>
    <row r="32" spans="1:18" x14ac:dyDescent="0.25">
      <c r="A32" s="552"/>
      <c r="B32" s="552" t="s">
        <v>416</v>
      </c>
      <c r="C32" s="545" t="s">
        <v>263</v>
      </c>
      <c r="D32" s="550">
        <v>2.72</v>
      </c>
      <c r="E32" s="546">
        <v>57945</v>
      </c>
      <c r="F32" s="635"/>
      <c r="G32" s="649"/>
      <c r="H32" s="650"/>
      <c r="I32" s="665"/>
      <c r="J32" s="666"/>
      <c r="K32" s="680"/>
      <c r="L32" s="681"/>
      <c r="M32" s="691"/>
      <c r="N32" s="735"/>
      <c r="O32" s="736"/>
      <c r="P32" s="698"/>
      <c r="Q32" s="707"/>
      <c r="R32" s="704"/>
    </row>
    <row r="33" spans="1:18" x14ac:dyDescent="0.25">
      <c r="A33" s="552"/>
      <c r="B33" s="552" t="s">
        <v>417</v>
      </c>
      <c r="C33" s="545" t="s">
        <v>105</v>
      </c>
      <c r="D33" s="550">
        <v>2863.57</v>
      </c>
      <c r="E33" s="546">
        <v>45530</v>
      </c>
      <c r="F33" s="635"/>
      <c r="G33" s="649"/>
      <c r="H33" s="650"/>
      <c r="I33" s="665"/>
      <c r="J33" s="666"/>
      <c r="K33" s="680"/>
      <c r="L33" s="681"/>
      <c r="M33" s="691"/>
      <c r="N33" s="735"/>
      <c r="O33" s="736"/>
      <c r="P33" s="698"/>
      <c r="Q33" s="707"/>
      <c r="R33" s="704"/>
    </row>
    <row r="34" spans="1:18" x14ac:dyDescent="0.25">
      <c r="A34" s="552"/>
      <c r="B34" s="552" t="s">
        <v>420</v>
      </c>
      <c r="C34" s="545" t="s">
        <v>108</v>
      </c>
      <c r="D34" s="550">
        <v>4799.6899999999996</v>
      </c>
      <c r="E34" s="546">
        <v>54716</v>
      </c>
      <c r="F34" s="635"/>
      <c r="G34" s="649"/>
      <c r="H34" s="650"/>
      <c r="I34" s="665"/>
      <c r="J34" s="666"/>
      <c r="K34" s="680"/>
      <c r="L34" s="681"/>
      <c r="M34" s="691"/>
      <c r="N34" s="735"/>
      <c r="O34" s="736"/>
      <c r="P34" s="698"/>
      <c r="Q34" s="707"/>
      <c r="R34" s="704"/>
    </row>
    <row r="35" spans="1:18" x14ac:dyDescent="0.25">
      <c r="A35" s="552"/>
      <c r="B35" s="552" t="s">
        <v>421</v>
      </c>
      <c r="C35" s="545" t="s">
        <v>109</v>
      </c>
      <c r="D35" s="550">
        <v>0.44</v>
      </c>
      <c r="E35" s="546">
        <v>57683</v>
      </c>
      <c r="F35" s="635"/>
      <c r="G35" s="649"/>
      <c r="H35" s="650"/>
      <c r="I35" s="665"/>
      <c r="J35" s="666"/>
      <c r="K35" s="680"/>
      <c r="L35" s="681"/>
      <c r="M35" s="691"/>
      <c r="N35" s="735"/>
      <c r="O35" s="736"/>
      <c r="P35" s="698"/>
      <c r="Q35" s="707"/>
      <c r="R35" s="704"/>
    </row>
    <row r="36" spans="1:18" x14ac:dyDescent="0.25">
      <c r="A36" s="552"/>
      <c r="B36" s="552" t="s">
        <v>422</v>
      </c>
      <c r="C36" s="545" t="s">
        <v>110</v>
      </c>
      <c r="D36" s="550">
        <v>610.70000000000005</v>
      </c>
      <c r="E36" s="546">
        <v>73756</v>
      </c>
      <c r="F36" s="635"/>
      <c r="G36" s="649"/>
      <c r="H36" s="650"/>
      <c r="I36" s="665"/>
      <c r="J36" s="666"/>
      <c r="K36" s="680"/>
      <c r="L36" s="681"/>
      <c r="M36" s="691"/>
      <c r="N36" s="735"/>
      <c r="O36" s="736"/>
      <c r="P36" s="698"/>
      <c r="Q36" s="707"/>
      <c r="R36" s="704"/>
    </row>
    <row r="37" spans="1:18" x14ac:dyDescent="0.25">
      <c r="A37" s="552"/>
      <c r="B37" s="552" t="s">
        <v>423</v>
      </c>
      <c r="C37" s="545" t="s">
        <v>111</v>
      </c>
      <c r="D37" s="550">
        <v>218.04</v>
      </c>
      <c r="E37" s="546">
        <v>57676</v>
      </c>
      <c r="F37" s="635"/>
      <c r="G37" s="649"/>
      <c r="H37" s="650"/>
      <c r="I37" s="665"/>
      <c r="J37" s="666"/>
      <c r="K37" s="680"/>
      <c r="L37" s="681"/>
      <c r="M37" s="691"/>
      <c r="N37" s="735"/>
      <c r="O37" s="736"/>
      <c r="P37" s="698"/>
      <c r="Q37" s="707"/>
      <c r="R37" s="704"/>
    </row>
    <row r="38" spans="1:18" x14ac:dyDescent="0.25">
      <c r="A38" s="552"/>
      <c r="B38" s="552" t="s">
        <v>424</v>
      </c>
      <c r="C38" s="545" t="s">
        <v>112</v>
      </c>
      <c r="D38" s="550">
        <v>313.13</v>
      </c>
      <c r="E38" s="546">
        <v>69304</v>
      </c>
      <c r="F38" s="635"/>
      <c r="G38" s="649"/>
      <c r="H38" s="650"/>
      <c r="I38" s="665"/>
      <c r="J38" s="666"/>
      <c r="K38" s="680"/>
      <c r="L38" s="681"/>
      <c r="M38" s="691"/>
      <c r="N38" s="735"/>
      <c r="O38" s="736"/>
      <c r="P38" s="698"/>
      <c r="Q38" s="707"/>
      <c r="R38" s="704"/>
    </row>
    <row r="39" spans="1:18" x14ac:dyDescent="0.25">
      <c r="A39" s="552"/>
      <c r="B39" s="552" t="s">
        <v>425</v>
      </c>
      <c r="C39" s="545" t="s">
        <v>104</v>
      </c>
      <c r="D39" s="550">
        <v>150.52000000000001</v>
      </c>
      <c r="E39" s="546">
        <v>117270</v>
      </c>
      <c r="F39" s="635"/>
      <c r="G39" s="649"/>
      <c r="H39" s="650"/>
      <c r="I39" s="665"/>
      <c r="J39" s="666"/>
      <c r="K39" s="680"/>
      <c r="L39" s="681"/>
      <c r="M39" s="691"/>
      <c r="N39" s="735"/>
      <c r="O39" s="736"/>
      <c r="P39" s="698"/>
      <c r="Q39" s="707"/>
      <c r="R39" s="704"/>
    </row>
    <row r="40" spans="1:18" x14ac:dyDescent="0.25">
      <c r="A40" s="241"/>
      <c r="B40" s="243"/>
      <c r="C40" s="241"/>
      <c r="D40" s="762"/>
      <c r="E40" s="637"/>
      <c r="F40" s="636">
        <f>SUM(D7:D31)</f>
        <v>55533.51</v>
      </c>
      <c r="G40" s="651">
        <f>(SUMPRODUCT(D7:D31,E7:E31))</f>
        <v>4675948373.7100019</v>
      </c>
      <c r="H40" s="652">
        <f>SUM(D7:D14)</f>
        <v>3831.4500000000003</v>
      </c>
      <c r="I40" s="668">
        <f>(SUMPRODUCT(D7:D14,E7:E14))</f>
        <v>531763924.20000005</v>
      </c>
      <c r="J40" s="667">
        <f>SUM(D15:D27,D31)</f>
        <v>51480.41</v>
      </c>
      <c r="K40" s="682">
        <f>(SUMPRODUCT(D15:D27,E15:E27))+(SUMPRODUCT(D31,E31))</f>
        <v>4125442611.0100002</v>
      </c>
      <c r="L40" s="683">
        <f>SUM(D28:D30)</f>
        <v>221.65</v>
      </c>
      <c r="M40" s="692">
        <f>(SUMPRODUCT(D28:D30,E28:E30))</f>
        <v>18741838.5</v>
      </c>
      <c r="N40" s="737">
        <f>+H40+J40+L40</f>
        <v>55533.51</v>
      </c>
      <c r="O40" s="738">
        <f>+I40+K40+M40</f>
        <v>4675948373.71</v>
      </c>
      <c r="P40" s="699">
        <f>SUM(D32:D39)</f>
        <v>8958.81</v>
      </c>
      <c r="Q40" s="708">
        <f>(SUMPRODUCT(D32:D39,E32:E39))</f>
        <v>490152277.21999997</v>
      </c>
      <c r="R40" s="704"/>
    </row>
    <row r="41" spans="1:18" x14ac:dyDescent="0.25">
      <c r="A41" s="552" t="s">
        <v>364</v>
      </c>
      <c r="B41" s="552" t="s">
        <v>553</v>
      </c>
      <c r="C41" s="545"/>
      <c r="D41" s="550"/>
      <c r="E41" s="546"/>
      <c r="F41" s="635"/>
      <c r="G41" s="649"/>
      <c r="H41" s="650"/>
      <c r="I41" s="665"/>
      <c r="J41" s="666"/>
      <c r="K41" s="680"/>
      <c r="L41" s="681"/>
      <c r="M41" s="691"/>
      <c r="N41" s="735"/>
      <c r="O41" s="736"/>
      <c r="P41" s="698"/>
      <c r="Q41" s="707"/>
      <c r="R41" s="704"/>
    </row>
    <row r="42" spans="1:18" x14ac:dyDescent="0.25">
      <c r="A42" s="552"/>
      <c r="B42" s="552" t="s">
        <v>391</v>
      </c>
      <c r="C42" s="545" t="s">
        <v>128</v>
      </c>
      <c r="D42" s="550">
        <v>0.15</v>
      </c>
      <c r="E42" s="546">
        <v>147520</v>
      </c>
      <c r="F42" s="635"/>
      <c r="G42" s="649"/>
      <c r="H42" s="650"/>
      <c r="I42" s="665"/>
      <c r="J42" s="666"/>
      <c r="K42" s="680"/>
      <c r="L42" s="681"/>
      <c r="M42" s="691"/>
      <c r="N42" s="735"/>
      <c r="O42" s="736"/>
      <c r="P42" s="698"/>
      <c r="Q42" s="707"/>
      <c r="R42" s="704"/>
    </row>
    <row r="43" spans="1:18" x14ac:dyDescent="0.25">
      <c r="A43" s="552"/>
      <c r="B43" s="552" t="s">
        <v>392</v>
      </c>
      <c r="C43" s="545" t="s">
        <v>129</v>
      </c>
      <c r="D43" s="550">
        <v>8.83</v>
      </c>
      <c r="E43" s="546">
        <v>120512</v>
      </c>
      <c r="F43" s="635"/>
      <c r="G43" s="649"/>
      <c r="H43" s="650"/>
      <c r="I43" s="665"/>
      <c r="J43" s="666"/>
      <c r="K43" s="680"/>
      <c r="L43" s="681"/>
      <c r="M43" s="691"/>
      <c r="N43" s="735"/>
      <c r="O43" s="736"/>
      <c r="P43" s="698"/>
      <c r="Q43" s="707"/>
      <c r="R43" s="704"/>
    </row>
    <row r="44" spans="1:18" x14ac:dyDescent="0.25">
      <c r="A44" s="552"/>
      <c r="B44" s="552" t="s">
        <v>393</v>
      </c>
      <c r="C44" s="545" t="s">
        <v>136</v>
      </c>
      <c r="D44" s="550">
        <v>14.6</v>
      </c>
      <c r="E44" s="546">
        <v>136821</v>
      </c>
      <c r="F44" s="635"/>
      <c r="G44" s="649"/>
      <c r="H44" s="650"/>
      <c r="I44" s="665"/>
      <c r="J44" s="666"/>
      <c r="K44" s="680"/>
      <c r="L44" s="681"/>
      <c r="M44" s="691"/>
      <c r="N44" s="735"/>
      <c r="O44" s="736"/>
      <c r="P44" s="698"/>
      <c r="Q44" s="707"/>
      <c r="R44" s="704"/>
    </row>
    <row r="45" spans="1:18" x14ac:dyDescent="0.25">
      <c r="A45" s="552"/>
      <c r="B45" s="552" t="s">
        <v>394</v>
      </c>
      <c r="C45" s="545" t="s">
        <v>146</v>
      </c>
      <c r="D45" s="550">
        <v>1</v>
      </c>
      <c r="E45" s="546">
        <v>94088</v>
      </c>
      <c r="F45" s="635"/>
      <c r="G45" s="649"/>
      <c r="H45" s="650"/>
      <c r="I45" s="665"/>
      <c r="J45" s="666"/>
      <c r="K45" s="680"/>
      <c r="L45" s="681"/>
      <c r="M45" s="691"/>
      <c r="N45" s="735"/>
      <c r="O45" s="736"/>
      <c r="P45" s="698"/>
      <c r="Q45" s="707"/>
      <c r="R45" s="704"/>
    </row>
    <row r="46" spans="1:18" x14ac:dyDescent="0.25">
      <c r="A46" s="552"/>
      <c r="B46" s="552" t="s">
        <v>395</v>
      </c>
      <c r="C46" s="545" t="s">
        <v>137</v>
      </c>
      <c r="D46" s="550">
        <v>29.93</v>
      </c>
      <c r="E46" s="546">
        <v>140968</v>
      </c>
      <c r="F46" s="635"/>
      <c r="G46" s="649"/>
      <c r="H46" s="650"/>
      <c r="I46" s="665"/>
      <c r="J46" s="666"/>
      <c r="K46" s="680"/>
      <c r="L46" s="681"/>
      <c r="M46" s="691"/>
      <c r="N46" s="735"/>
      <c r="O46" s="736"/>
      <c r="P46" s="698"/>
      <c r="Q46" s="707"/>
      <c r="R46" s="704"/>
    </row>
    <row r="47" spans="1:18" x14ac:dyDescent="0.25">
      <c r="A47" s="552"/>
      <c r="B47" s="552" t="s">
        <v>396</v>
      </c>
      <c r="C47" s="545" t="s">
        <v>145</v>
      </c>
      <c r="D47" s="550">
        <v>15.03</v>
      </c>
      <c r="E47" s="546">
        <v>130991</v>
      </c>
      <c r="F47" s="635"/>
      <c r="G47" s="649"/>
      <c r="H47" s="650"/>
      <c r="I47" s="665"/>
      <c r="J47" s="666"/>
      <c r="K47" s="680"/>
      <c r="L47" s="681"/>
      <c r="M47" s="691"/>
      <c r="N47" s="735"/>
      <c r="O47" s="736"/>
      <c r="P47" s="698"/>
      <c r="Q47" s="707"/>
      <c r="R47" s="704"/>
    </row>
    <row r="48" spans="1:18" x14ac:dyDescent="0.25">
      <c r="A48" s="552"/>
      <c r="B48" s="552" t="s">
        <v>397</v>
      </c>
      <c r="C48" s="545" t="s">
        <v>130</v>
      </c>
      <c r="D48" s="550">
        <v>14.87</v>
      </c>
      <c r="E48" s="546">
        <v>114794</v>
      </c>
      <c r="F48" s="635"/>
      <c r="G48" s="649"/>
      <c r="H48" s="650"/>
      <c r="I48" s="665"/>
      <c r="J48" s="666"/>
      <c r="K48" s="680"/>
      <c r="L48" s="681"/>
      <c r="M48" s="691"/>
      <c r="N48" s="735"/>
      <c r="O48" s="736"/>
      <c r="P48" s="698"/>
      <c r="Q48" s="707"/>
      <c r="R48" s="704"/>
    </row>
    <row r="49" spans="1:18" x14ac:dyDescent="0.25">
      <c r="A49" s="552"/>
      <c r="B49" s="552" t="s">
        <v>398</v>
      </c>
      <c r="C49" s="545" t="s">
        <v>502</v>
      </c>
      <c r="D49" s="550">
        <v>299.62</v>
      </c>
      <c r="E49" s="546">
        <v>77375</v>
      </c>
      <c r="F49" s="635"/>
      <c r="G49" s="649"/>
      <c r="H49" s="650"/>
      <c r="I49" s="665"/>
      <c r="J49" s="666"/>
      <c r="K49" s="680"/>
      <c r="L49" s="681"/>
      <c r="M49" s="691"/>
      <c r="N49" s="735"/>
      <c r="O49" s="736"/>
      <c r="P49" s="698"/>
      <c r="Q49" s="707"/>
      <c r="R49" s="704"/>
    </row>
    <row r="50" spans="1:18" x14ac:dyDescent="0.25">
      <c r="A50" s="552"/>
      <c r="B50" s="552" t="s">
        <v>399</v>
      </c>
      <c r="C50" s="545" t="s">
        <v>131</v>
      </c>
      <c r="D50" s="550">
        <v>574.03</v>
      </c>
      <c r="E50" s="546">
        <v>81396</v>
      </c>
      <c r="F50" s="635"/>
      <c r="G50" s="649"/>
      <c r="H50" s="650"/>
      <c r="I50" s="665"/>
      <c r="J50" s="666"/>
      <c r="K50" s="680"/>
      <c r="L50" s="681"/>
      <c r="M50" s="691"/>
      <c r="N50" s="735"/>
      <c r="O50" s="736"/>
      <c r="P50" s="698"/>
      <c r="Q50" s="707"/>
      <c r="R50" s="704"/>
    </row>
    <row r="51" spans="1:18" x14ac:dyDescent="0.25">
      <c r="A51" s="552"/>
      <c r="B51" s="552" t="s">
        <v>400</v>
      </c>
      <c r="C51" s="545" t="s">
        <v>132</v>
      </c>
      <c r="D51" s="550">
        <v>128.05000000000001</v>
      </c>
      <c r="E51" s="546">
        <v>77937</v>
      </c>
      <c r="F51" s="635"/>
      <c r="G51" s="649"/>
      <c r="H51" s="650"/>
      <c r="I51" s="665"/>
      <c r="J51" s="666"/>
      <c r="K51" s="680"/>
      <c r="L51" s="681"/>
      <c r="M51" s="691"/>
      <c r="N51" s="735"/>
      <c r="O51" s="736"/>
      <c r="P51" s="698"/>
      <c r="Q51" s="707"/>
      <c r="R51" s="704"/>
    </row>
    <row r="52" spans="1:18" x14ac:dyDescent="0.25">
      <c r="A52" s="552"/>
      <c r="B52" s="552" t="s">
        <v>503</v>
      </c>
      <c r="C52" s="545" t="s">
        <v>504</v>
      </c>
      <c r="D52" s="550">
        <v>13.26</v>
      </c>
      <c r="E52" s="546">
        <v>81470</v>
      </c>
      <c r="F52" s="635"/>
      <c r="G52" s="649"/>
      <c r="H52" s="650"/>
      <c r="I52" s="665"/>
      <c r="J52" s="666"/>
      <c r="K52" s="680"/>
      <c r="L52" s="681"/>
      <c r="M52" s="691"/>
      <c r="N52" s="735"/>
      <c r="O52" s="736"/>
      <c r="P52" s="698"/>
      <c r="Q52" s="707"/>
      <c r="R52" s="704"/>
    </row>
    <row r="53" spans="1:18" x14ac:dyDescent="0.25">
      <c r="A53" s="552"/>
      <c r="B53" s="552" t="s">
        <v>401</v>
      </c>
      <c r="C53" s="545" t="s">
        <v>133</v>
      </c>
      <c r="D53" s="550">
        <v>23.19</v>
      </c>
      <c r="E53" s="546">
        <v>83050</v>
      </c>
      <c r="F53" s="635"/>
      <c r="G53" s="649"/>
      <c r="H53" s="650"/>
      <c r="I53" s="665"/>
      <c r="J53" s="666"/>
      <c r="K53" s="680"/>
      <c r="L53" s="681"/>
      <c r="M53" s="691"/>
      <c r="N53" s="735"/>
      <c r="O53" s="736"/>
      <c r="P53" s="698"/>
      <c r="Q53" s="707"/>
      <c r="R53" s="704"/>
    </row>
    <row r="54" spans="1:18" x14ac:dyDescent="0.25">
      <c r="A54" s="552"/>
      <c r="B54" s="552" t="s">
        <v>402</v>
      </c>
      <c r="C54" s="545" t="s">
        <v>144</v>
      </c>
      <c r="D54" s="550">
        <v>1</v>
      </c>
      <c r="E54" s="546">
        <v>115533</v>
      </c>
      <c r="F54" s="635"/>
      <c r="G54" s="649"/>
      <c r="H54" s="650"/>
      <c r="I54" s="665"/>
      <c r="J54" s="666"/>
      <c r="K54" s="680"/>
      <c r="L54" s="681"/>
      <c r="M54" s="691"/>
      <c r="N54" s="735"/>
      <c r="O54" s="736"/>
      <c r="P54" s="698"/>
      <c r="Q54" s="707"/>
      <c r="R54" s="704"/>
    </row>
    <row r="55" spans="1:18" x14ac:dyDescent="0.25">
      <c r="A55" s="552"/>
      <c r="B55" s="552" t="s">
        <v>403</v>
      </c>
      <c r="C55" s="545" t="s">
        <v>138</v>
      </c>
      <c r="D55" s="550">
        <v>52.52</v>
      </c>
      <c r="E55" s="546">
        <v>79828</v>
      </c>
      <c r="F55" s="635"/>
      <c r="G55" s="649"/>
      <c r="H55" s="650"/>
      <c r="I55" s="665"/>
      <c r="J55" s="666"/>
      <c r="K55" s="680"/>
      <c r="L55" s="681"/>
      <c r="M55" s="691"/>
      <c r="N55" s="735"/>
      <c r="O55" s="736"/>
      <c r="P55" s="698"/>
      <c r="Q55" s="707"/>
      <c r="R55" s="704"/>
    </row>
    <row r="56" spans="1:18" x14ac:dyDescent="0.25">
      <c r="A56" s="552"/>
      <c r="B56" s="552" t="s">
        <v>405</v>
      </c>
      <c r="C56" s="545" t="s">
        <v>140</v>
      </c>
      <c r="D56" s="550">
        <v>1</v>
      </c>
      <c r="E56" s="546">
        <v>55821</v>
      </c>
      <c r="F56" s="635"/>
      <c r="G56" s="649"/>
      <c r="H56" s="650"/>
      <c r="I56" s="665"/>
      <c r="J56" s="666"/>
      <c r="K56" s="680"/>
      <c r="L56" s="681"/>
      <c r="M56" s="691"/>
      <c r="N56" s="735"/>
      <c r="O56" s="736"/>
      <c r="P56" s="698"/>
      <c r="Q56" s="707"/>
      <c r="R56" s="704"/>
    </row>
    <row r="57" spans="1:18" x14ac:dyDescent="0.25">
      <c r="A57" s="552"/>
      <c r="B57" s="552" t="s">
        <v>406</v>
      </c>
      <c r="C57" s="545" t="s">
        <v>261</v>
      </c>
      <c r="D57" s="550">
        <v>0.2</v>
      </c>
      <c r="E57" s="546">
        <v>87890</v>
      </c>
      <c r="F57" s="635"/>
      <c r="G57" s="649"/>
      <c r="H57" s="650"/>
      <c r="I57" s="665"/>
      <c r="J57" s="666"/>
      <c r="K57" s="680"/>
      <c r="L57" s="681"/>
      <c r="M57" s="691"/>
      <c r="N57" s="735"/>
      <c r="O57" s="736"/>
      <c r="P57" s="698"/>
      <c r="Q57" s="707"/>
      <c r="R57" s="704"/>
    </row>
    <row r="58" spans="1:18" x14ac:dyDescent="0.25">
      <c r="A58" s="552"/>
      <c r="B58" s="552" t="s">
        <v>407</v>
      </c>
      <c r="C58" s="545" t="s">
        <v>141</v>
      </c>
      <c r="D58" s="550">
        <v>0.03</v>
      </c>
      <c r="E58" s="546">
        <v>64367</v>
      </c>
      <c r="F58" s="635"/>
      <c r="G58" s="649"/>
      <c r="H58" s="650"/>
      <c r="I58" s="665"/>
      <c r="J58" s="666"/>
      <c r="K58" s="680"/>
      <c r="L58" s="681"/>
      <c r="M58" s="691"/>
      <c r="N58" s="735"/>
      <c r="O58" s="736"/>
      <c r="P58" s="698"/>
      <c r="Q58" s="707"/>
      <c r="R58" s="704"/>
    </row>
    <row r="59" spans="1:18" x14ac:dyDescent="0.25">
      <c r="A59" s="552"/>
      <c r="B59" s="552" t="s">
        <v>408</v>
      </c>
      <c r="C59" s="545" t="s">
        <v>142</v>
      </c>
      <c r="D59" s="550">
        <v>3.01</v>
      </c>
      <c r="E59" s="546">
        <v>71656</v>
      </c>
      <c r="F59" s="635"/>
      <c r="G59" s="649"/>
      <c r="H59" s="650"/>
      <c r="I59" s="665"/>
      <c r="J59" s="666"/>
      <c r="K59" s="680"/>
      <c r="L59" s="681"/>
      <c r="M59" s="691"/>
      <c r="N59" s="735"/>
      <c r="O59" s="736"/>
      <c r="P59" s="698"/>
      <c r="Q59" s="707"/>
      <c r="R59" s="704"/>
    </row>
    <row r="60" spans="1:18" x14ac:dyDescent="0.25">
      <c r="A60" s="552"/>
      <c r="B60" s="552" t="s">
        <v>412</v>
      </c>
      <c r="C60" s="545" t="s">
        <v>135</v>
      </c>
      <c r="D60" s="550">
        <v>3.2</v>
      </c>
      <c r="E60" s="546">
        <v>56946</v>
      </c>
      <c r="F60" s="635"/>
      <c r="G60" s="649"/>
      <c r="H60" s="650"/>
      <c r="I60" s="665"/>
      <c r="J60" s="666"/>
      <c r="K60" s="680"/>
      <c r="L60" s="681"/>
      <c r="M60" s="691"/>
      <c r="N60" s="735"/>
      <c r="O60" s="736"/>
      <c r="P60" s="698"/>
      <c r="Q60" s="707"/>
      <c r="R60" s="704"/>
    </row>
    <row r="61" spans="1:18" x14ac:dyDescent="0.25">
      <c r="A61" s="552"/>
      <c r="B61" s="552" t="s">
        <v>414</v>
      </c>
      <c r="C61" s="545" t="s">
        <v>193</v>
      </c>
      <c r="D61" s="550">
        <v>174.41</v>
      </c>
      <c r="E61" s="546">
        <v>52514</v>
      </c>
      <c r="F61" s="635"/>
      <c r="G61" s="649"/>
      <c r="H61" s="650"/>
      <c r="I61" s="665"/>
      <c r="J61" s="666"/>
      <c r="K61" s="680"/>
      <c r="L61" s="681"/>
      <c r="M61" s="691"/>
      <c r="N61" s="735"/>
      <c r="O61" s="736"/>
      <c r="P61" s="698"/>
      <c r="Q61" s="707"/>
      <c r="R61" s="704"/>
    </row>
    <row r="62" spans="1:18" x14ac:dyDescent="0.25">
      <c r="A62" s="552"/>
      <c r="B62" s="552" t="s">
        <v>415</v>
      </c>
      <c r="C62" s="545" t="s">
        <v>194</v>
      </c>
      <c r="D62" s="550">
        <v>6.4</v>
      </c>
      <c r="E62" s="546">
        <v>63032</v>
      </c>
      <c r="F62" s="635"/>
      <c r="G62" s="649"/>
      <c r="H62" s="650"/>
      <c r="I62" s="665"/>
      <c r="J62" s="666"/>
      <c r="K62" s="680"/>
      <c r="L62" s="681"/>
      <c r="M62" s="691"/>
      <c r="N62" s="735"/>
      <c r="O62" s="736"/>
      <c r="P62" s="698"/>
      <c r="Q62" s="707"/>
      <c r="R62" s="704"/>
    </row>
    <row r="63" spans="1:18" x14ac:dyDescent="0.25">
      <c r="A63" s="552"/>
      <c r="B63" s="552" t="s">
        <v>417</v>
      </c>
      <c r="C63" s="545" t="s">
        <v>105</v>
      </c>
      <c r="D63" s="550">
        <v>70.8</v>
      </c>
      <c r="E63" s="546">
        <v>50442</v>
      </c>
      <c r="F63" s="635"/>
      <c r="G63" s="649"/>
      <c r="H63" s="650"/>
      <c r="I63" s="665"/>
      <c r="J63" s="666"/>
      <c r="K63" s="680"/>
      <c r="L63" s="681"/>
      <c r="M63" s="691"/>
      <c r="N63" s="735"/>
      <c r="O63" s="736"/>
      <c r="P63" s="698"/>
      <c r="Q63" s="707"/>
      <c r="R63" s="704"/>
    </row>
    <row r="64" spans="1:18" x14ac:dyDescent="0.25">
      <c r="A64" s="552"/>
      <c r="B64" s="552" t="s">
        <v>420</v>
      </c>
      <c r="C64" s="545" t="s">
        <v>108</v>
      </c>
      <c r="D64" s="550">
        <v>151.22999999999999</v>
      </c>
      <c r="E64" s="546">
        <v>52838</v>
      </c>
      <c r="F64" s="635"/>
      <c r="G64" s="649"/>
      <c r="H64" s="650"/>
      <c r="I64" s="665"/>
      <c r="J64" s="666"/>
      <c r="K64" s="680"/>
      <c r="L64" s="681"/>
      <c r="M64" s="691"/>
      <c r="N64" s="735"/>
      <c r="O64" s="736"/>
      <c r="P64" s="698"/>
      <c r="Q64" s="707"/>
      <c r="R64" s="704"/>
    </row>
    <row r="65" spans="1:18" x14ac:dyDescent="0.25">
      <c r="A65" s="552"/>
      <c r="B65" s="552" t="s">
        <v>422</v>
      </c>
      <c r="C65" s="545" t="s">
        <v>110</v>
      </c>
      <c r="D65" s="550">
        <v>24.18</v>
      </c>
      <c r="E65" s="546">
        <v>66314</v>
      </c>
      <c r="F65" s="635"/>
      <c r="G65" s="649"/>
      <c r="H65" s="650"/>
      <c r="I65" s="665"/>
      <c r="J65" s="666"/>
      <c r="K65" s="680"/>
      <c r="L65" s="681"/>
      <c r="M65" s="691"/>
      <c r="N65" s="735"/>
      <c r="O65" s="736"/>
      <c r="P65" s="698"/>
      <c r="Q65" s="707"/>
      <c r="R65" s="704"/>
    </row>
    <row r="66" spans="1:18" x14ac:dyDescent="0.25">
      <c r="A66" s="552"/>
      <c r="B66" s="552" t="s">
        <v>423</v>
      </c>
      <c r="C66" s="545" t="s">
        <v>111</v>
      </c>
      <c r="D66" s="550">
        <v>3.76</v>
      </c>
      <c r="E66" s="546">
        <v>54953</v>
      </c>
      <c r="F66" s="635"/>
      <c r="G66" s="649"/>
      <c r="H66" s="650"/>
      <c r="I66" s="665"/>
      <c r="J66" s="666"/>
      <c r="K66" s="680"/>
      <c r="L66" s="681"/>
      <c r="M66" s="691"/>
      <c r="N66" s="735"/>
      <c r="O66" s="736"/>
      <c r="P66" s="698"/>
      <c r="Q66" s="707"/>
      <c r="R66" s="704"/>
    </row>
    <row r="67" spans="1:18" x14ac:dyDescent="0.25">
      <c r="A67" s="552"/>
      <c r="B67" s="552" t="s">
        <v>424</v>
      </c>
      <c r="C67" s="545" t="s">
        <v>112</v>
      </c>
      <c r="D67" s="550">
        <v>12.72</v>
      </c>
      <c r="E67" s="546">
        <v>58018</v>
      </c>
      <c r="F67" s="635"/>
      <c r="G67" s="649"/>
      <c r="H67" s="650"/>
      <c r="I67" s="665"/>
      <c r="J67" s="666"/>
      <c r="K67" s="680"/>
      <c r="L67" s="681"/>
      <c r="M67" s="691"/>
      <c r="N67" s="735"/>
      <c r="O67" s="736"/>
      <c r="P67" s="698"/>
      <c r="Q67" s="707"/>
      <c r="R67" s="704"/>
    </row>
    <row r="68" spans="1:18" x14ac:dyDescent="0.25">
      <c r="A68" s="552"/>
      <c r="B68" s="552" t="s">
        <v>425</v>
      </c>
      <c r="C68" s="545" t="s">
        <v>104</v>
      </c>
      <c r="D68" s="550">
        <v>2.5</v>
      </c>
      <c r="E68" s="546">
        <v>86869</v>
      </c>
      <c r="F68" s="635"/>
      <c r="G68" s="649"/>
      <c r="H68" s="650"/>
      <c r="I68" s="665"/>
      <c r="J68" s="666"/>
      <c r="K68" s="680"/>
      <c r="L68" s="681"/>
      <c r="M68" s="691"/>
      <c r="N68" s="735"/>
      <c r="O68" s="736"/>
      <c r="P68" s="698"/>
      <c r="Q68" s="707"/>
      <c r="R68" s="704"/>
    </row>
    <row r="69" spans="1:18" x14ac:dyDescent="0.25">
      <c r="A69" s="241"/>
      <c r="B69" s="243"/>
      <c r="C69" s="241"/>
      <c r="D69" s="762"/>
      <c r="E69" s="637"/>
      <c r="F69" s="636">
        <f>SUM(D42:D62)</f>
        <v>1364.3300000000002</v>
      </c>
      <c r="G69" s="651">
        <f>(SUMPRODUCT(D42:D62,E42:E62))</f>
        <v>108309488.11</v>
      </c>
      <c r="H69" s="652">
        <f>SUM(D42:D48)</f>
        <v>84.41</v>
      </c>
      <c r="I69" s="668">
        <f>(SUMPRODUCT(D42:D48,E42:E48))</f>
        <v>11072877.309999999</v>
      </c>
      <c r="J69" s="667">
        <f>SUM(D49:D59,D61:D62)</f>
        <v>1276.7200000000003</v>
      </c>
      <c r="K69" s="682">
        <f>(SUMPRODUCT(D49:D59,E49:E59))+(SUMPRODUCT(D61:D62,E61:E62))</f>
        <v>97054383.600000009</v>
      </c>
      <c r="L69" s="683">
        <f>SUM(D60:D60)</f>
        <v>3.2</v>
      </c>
      <c r="M69" s="692">
        <f>(SUMPRODUCT(D60:D60,E60:E60))</f>
        <v>182227.20000000001</v>
      </c>
      <c r="N69" s="737">
        <f>+H69+J69+L69</f>
        <v>1364.3300000000004</v>
      </c>
      <c r="O69" s="738">
        <f>+I69+K69+M69</f>
        <v>108309488.11000001</v>
      </c>
      <c r="P69" s="699">
        <f>SUM(D63:D68)</f>
        <v>265.19</v>
      </c>
      <c r="Q69" s="708">
        <f>(SUMPRODUCT(D63:D68,E63:E68))</f>
        <v>14327241.6</v>
      </c>
      <c r="R69" s="704"/>
    </row>
    <row r="70" spans="1:18" x14ac:dyDescent="0.25">
      <c r="A70" s="552" t="s">
        <v>483</v>
      </c>
      <c r="B70" s="552" t="s">
        <v>485</v>
      </c>
      <c r="C70" s="545"/>
      <c r="D70" s="550"/>
      <c r="E70" s="546"/>
      <c r="F70" s="635"/>
      <c r="G70" s="649"/>
      <c r="H70" s="650"/>
      <c r="I70" s="665"/>
      <c r="J70" s="666"/>
      <c r="K70" s="680"/>
      <c r="L70" s="681"/>
      <c r="M70" s="691"/>
      <c r="N70" s="735"/>
      <c r="O70" s="736"/>
      <c r="P70" s="698"/>
      <c r="Q70" s="707"/>
      <c r="R70" s="704"/>
    </row>
    <row r="71" spans="1:18" x14ac:dyDescent="0.25">
      <c r="A71" s="552"/>
      <c r="B71" s="552" t="s">
        <v>392</v>
      </c>
      <c r="C71" s="545" t="s">
        <v>129</v>
      </c>
      <c r="D71" s="550">
        <v>0.34</v>
      </c>
      <c r="E71" s="546">
        <v>140064</v>
      </c>
      <c r="F71" s="635"/>
      <c r="G71" s="649"/>
      <c r="H71" s="650"/>
      <c r="I71" s="665"/>
      <c r="J71" s="666"/>
      <c r="K71" s="680"/>
      <c r="L71" s="681"/>
      <c r="M71" s="691"/>
      <c r="N71" s="735"/>
      <c r="O71" s="736"/>
      <c r="P71" s="698"/>
      <c r="Q71" s="707"/>
      <c r="R71" s="704"/>
    </row>
    <row r="72" spans="1:18" x14ac:dyDescent="0.25">
      <c r="A72" s="552"/>
      <c r="B72" s="552" t="s">
        <v>395</v>
      </c>
      <c r="C72" s="545" t="s">
        <v>137</v>
      </c>
      <c r="D72" s="550">
        <v>4.82</v>
      </c>
      <c r="E72" s="546">
        <v>147984</v>
      </c>
      <c r="F72" s="635"/>
      <c r="G72" s="649"/>
      <c r="H72" s="650"/>
      <c r="I72" s="665"/>
      <c r="J72" s="666"/>
      <c r="K72" s="680"/>
      <c r="L72" s="681"/>
      <c r="M72" s="691"/>
      <c r="N72" s="735"/>
      <c r="O72" s="736"/>
      <c r="P72" s="698"/>
      <c r="Q72" s="707"/>
      <c r="R72" s="704"/>
    </row>
    <row r="73" spans="1:18" x14ac:dyDescent="0.25">
      <c r="A73" s="552"/>
      <c r="B73" s="552" t="s">
        <v>396</v>
      </c>
      <c r="C73" s="545" t="s">
        <v>145</v>
      </c>
      <c r="D73" s="550">
        <v>1.03</v>
      </c>
      <c r="E73" s="546">
        <v>215981</v>
      </c>
      <c r="F73" s="635"/>
      <c r="G73" s="649"/>
      <c r="H73" s="650"/>
      <c r="I73" s="665"/>
      <c r="J73" s="666"/>
      <c r="K73" s="680"/>
      <c r="L73" s="681"/>
      <c r="M73" s="691"/>
      <c r="N73" s="735"/>
      <c r="O73" s="736"/>
      <c r="P73" s="698"/>
      <c r="Q73" s="707"/>
      <c r="R73" s="704"/>
    </row>
    <row r="74" spans="1:18" x14ac:dyDescent="0.25">
      <c r="A74" s="552"/>
      <c r="B74" s="552" t="s">
        <v>399</v>
      </c>
      <c r="C74" s="545" t="s">
        <v>131</v>
      </c>
      <c r="D74" s="550">
        <v>37.43</v>
      </c>
      <c r="E74" s="546">
        <v>77319</v>
      </c>
      <c r="F74" s="635"/>
      <c r="G74" s="649"/>
      <c r="H74" s="650"/>
      <c r="I74" s="665"/>
      <c r="J74" s="666"/>
      <c r="K74" s="680"/>
      <c r="L74" s="681"/>
      <c r="M74" s="691"/>
      <c r="N74" s="735"/>
      <c r="O74" s="736"/>
      <c r="P74" s="698"/>
      <c r="Q74" s="707"/>
      <c r="R74" s="704"/>
    </row>
    <row r="75" spans="1:18" x14ac:dyDescent="0.25">
      <c r="A75" s="552"/>
      <c r="B75" s="552" t="s">
        <v>400</v>
      </c>
      <c r="C75" s="545" t="s">
        <v>132</v>
      </c>
      <c r="D75" s="550">
        <v>7.3</v>
      </c>
      <c r="E75" s="546">
        <v>73772</v>
      </c>
      <c r="F75" s="635"/>
      <c r="G75" s="649"/>
      <c r="H75" s="650"/>
      <c r="I75" s="665"/>
      <c r="J75" s="666"/>
      <c r="K75" s="680"/>
      <c r="L75" s="681"/>
      <c r="M75" s="691"/>
      <c r="N75" s="735"/>
      <c r="O75" s="736"/>
      <c r="P75" s="698"/>
      <c r="Q75" s="707"/>
      <c r="R75" s="704"/>
    </row>
    <row r="76" spans="1:18" x14ac:dyDescent="0.25">
      <c r="A76" s="552"/>
      <c r="B76" s="552" t="s">
        <v>401</v>
      </c>
      <c r="C76" s="545" t="s">
        <v>133</v>
      </c>
      <c r="D76" s="550">
        <v>0.25</v>
      </c>
      <c r="E76" s="546">
        <v>109336</v>
      </c>
      <c r="F76" s="635"/>
      <c r="G76" s="649"/>
      <c r="H76" s="650"/>
      <c r="I76" s="665"/>
      <c r="J76" s="666"/>
      <c r="K76" s="680"/>
      <c r="L76" s="681"/>
      <c r="M76" s="691"/>
      <c r="N76" s="735"/>
      <c r="O76" s="736"/>
      <c r="P76" s="698"/>
      <c r="Q76" s="707"/>
      <c r="R76" s="704"/>
    </row>
    <row r="77" spans="1:18" x14ac:dyDescent="0.25">
      <c r="A77" s="552"/>
      <c r="B77" s="552" t="s">
        <v>403</v>
      </c>
      <c r="C77" s="545" t="s">
        <v>138</v>
      </c>
      <c r="D77" s="550">
        <v>6.15</v>
      </c>
      <c r="E77" s="546">
        <v>79263</v>
      </c>
      <c r="F77" s="635"/>
      <c r="G77" s="649"/>
      <c r="H77" s="650"/>
      <c r="I77" s="665"/>
      <c r="J77" s="666"/>
      <c r="K77" s="680"/>
      <c r="L77" s="681"/>
      <c r="M77" s="691"/>
      <c r="N77" s="735"/>
      <c r="O77" s="736"/>
      <c r="P77" s="698"/>
      <c r="Q77" s="707"/>
      <c r="R77" s="704"/>
    </row>
    <row r="78" spans="1:18" x14ac:dyDescent="0.25">
      <c r="A78" s="552"/>
      <c r="B78" s="552" t="s">
        <v>405</v>
      </c>
      <c r="C78" s="545" t="s">
        <v>140</v>
      </c>
      <c r="D78" s="550">
        <v>3</v>
      </c>
      <c r="E78" s="546">
        <v>70149</v>
      </c>
      <c r="F78" s="635"/>
      <c r="G78" s="649"/>
      <c r="H78" s="650"/>
      <c r="I78" s="665"/>
      <c r="J78" s="666"/>
      <c r="K78" s="680"/>
      <c r="L78" s="681"/>
      <c r="M78" s="691"/>
      <c r="N78" s="735"/>
      <c r="O78" s="736"/>
      <c r="P78" s="698"/>
      <c r="Q78" s="707"/>
      <c r="R78" s="704"/>
    </row>
    <row r="79" spans="1:18" x14ac:dyDescent="0.25">
      <c r="A79" s="552"/>
      <c r="B79" s="552" t="s">
        <v>417</v>
      </c>
      <c r="C79" s="545" t="s">
        <v>105</v>
      </c>
      <c r="D79" s="550">
        <v>7.06</v>
      </c>
      <c r="E79" s="546">
        <v>48117</v>
      </c>
      <c r="F79" s="635"/>
      <c r="G79" s="649"/>
      <c r="H79" s="650"/>
      <c r="I79" s="665"/>
      <c r="J79" s="666"/>
      <c r="K79" s="680"/>
      <c r="L79" s="681"/>
      <c r="M79" s="691"/>
      <c r="N79" s="735"/>
      <c r="O79" s="736"/>
      <c r="P79" s="698"/>
      <c r="Q79" s="707"/>
      <c r="R79" s="704"/>
    </row>
    <row r="80" spans="1:18" x14ac:dyDescent="0.25">
      <c r="A80" s="552"/>
      <c r="B80" s="552" t="s">
        <v>420</v>
      </c>
      <c r="C80" s="545" t="s">
        <v>108</v>
      </c>
      <c r="D80" s="550">
        <v>11.18</v>
      </c>
      <c r="E80" s="546">
        <v>55137</v>
      </c>
      <c r="F80" s="635"/>
      <c r="G80" s="649"/>
      <c r="H80" s="650"/>
      <c r="I80" s="665"/>
      <c r="J80" s="666"/>
      <c r="K80" s="680"/>
      <c r="L80" s="681"/>
      <c r="M80" s="691"/>
      <c r="N80" s="735"/>
      <c r="O80" s="736"/>
      <c r="P80" s="698"/>
      <c r="Q80" s="707"/>
      <c r="R80" s="704"/>
    </row>
    <row r="81" spans="1:18" x14ac:dyDescent="0.25">
      <c r="A81" s="552"/>
      <c r="B81" s="552" t="s">
        <v>422</v>
      </c>
      <c r="C81" s="545" t="s">
        <v>110</v>
      </c>
      <c r="D81" s="550">
        <v>1.17</v>
      </c>
      <c r="E81" s="546">
        <v>77478</v>
      </c>
      <c r="F81" s="635"/>
      <c r="G81" s="649"/>
      <c r="H81" s="650"/>
      <c r="I81" s="665"/>
      <c r="J81" s="666"/>
      <c r="K81" s="680"/>
      <c r="L81" s="681"/>
      <c r="M81" s="691"/>
      <c r="N81" s="735"/>
      <c r="O81" s="736"/>
      <c r="P81" s="698"/>
      <c r="Q81" s="707"/>
      <c r="R81" s="704"/>
    </row>
    <row r="82" spans="1:18" x14ac:dyDescent="0.25">
      <c r="A82" s="552"/>
      <c r="B82" s="552" t="s">
        <v>423</v>
      </c>
      <c r="C82" s="545" t="s">
        <v>111</v>
      </c>
      <c r="D82" s="550">
        <v>0.74</v>
      </c>
      <c r="E82" s="546">
        <v>50125</v>
      </c>
      <c r="F82" s="635"/>
      <c r="G82" s="649"/>
      <c r="H82" s="650"/>
      <c r="I82" s="665"/>
      <c r="J82" s="666"/>
      <c r="K82" s="680"/>
      <c r="L82" s="681"/>
      <c r="M82" s="691"/>
      <c r="N82" s="735"/>
      <c r="O82" s="736"/>
      <c r="P82" s="698"/>
      <c r="Q82" s="707"/>
      <c r="R82" s="704"/>
    </row>
    <row r="83" spans="1:18" x14ac:dyDescent="0.25">
      <c r="A83" s="552"/>
      <c r="B83" s="552" t="s">
        <v>424</v>
      </c>
      <c r="C83" s="545" t="s">
        <v>112</v>
      </c>
      <c r="D83" s="550">
        <v>7.55</v>
      </c>
      <c r="E83" s="546">
        <v>64827</v>
      </c>
      <c r="F83" s="635"/>
      <c r="G83" s="649"/>
      <c r="H83" s="650"/>
      <c r="I83" s="665"/>
      <c r="J83" s="666"/>
      <c r="K83" s="680"/>
      <c r="L83" s="681"/>
      <c r="M83" s="691"/>
      <c r="N83" s="735"/>
      <c r="O83" s="736"/>
      <c r="P83" s="698"/>
      <c r="Q83" s="707"/>
      <c r="R83" s="704"/>
    </row>
    <row r="84" spans="1:18" x14ac:dyDescent="0.25">
      <c r="A84" s="552"/>
      <c r="B84" s="552" t="s">
        <v>425</v>
      </c>
      <c r="C84" s="545" t="s">
        <v>104</v>
      </c>
      <c r="D84" s="550">
        <v>0.59</v>
      </c>
      <c r="E84" s="546">
        <v>135571</v>
      </c>
      <c r="F84" s="635"/>
      <c r="G84" s="649"/>
      <c r="H84" s="650"/>
      <c r="I84" s="665"/>
      <c r="J84" s="666"/>
      <c r="K84" s="680"/>
      <c r="L84" s="681"/>
      <c r="M84" s="691"/>
      <c r="N84" s="735"/>
      <c r="O84" s="736"/>
      <c r="P84" s="698"/>
      <c r="Q84" s="707"/>
      <c r="R84" s="704"/>
    </row>
    <row r="85" spans="1:18" x14ac:dyDescent="0.25">
      <c r="A85" s="241"/>
      <c r="B85" s="243"/>
      <c r="C85" s="241"/>
      <c r="D85" s="762"/>
      <c r="E85" s="637"/>
      <c r="F85" s="636">
        <f>SUM(D71:D78)</f>
        <v>60.319999999999993</v>
      </c>
      <c r="G85" s="651">
        <f>(SUMPRODUCT(D71:D78,E71:E78))</f>
        <v>5141199.29</v>
      </c>
      <c r="H85" s="652">
        <f>SUM(D71:D73)</f>
        <v>6.19</v>
      </c>
      <c r="I85" s="668">
        <f>(SUMPRODUCT(D71:D73,E71:E73))</f>
        <v>983365.07000000007</v>
      </c>
      <c r="J85" s="667">
        <f>SUM(D74:D78)</f>
        <v>54.129999999999995</v>
      </c>
      <c r="K85" s="682">
        <f>(SUMPRODUCT(D74:D78,E74:E78))</f>
        <v>4157834.22</v>
      </c>
      <c r="L85" s="683"/>
      <c r="M85" s="692"/>
      <c r="N85" s="737">
        <f>+H85+J85+L85</f>
        <v>60.319999999999993</v>
      </c>
      <c r="O85" s="738">
        <f>+I85+K85+M85</f>
        <v>5141199.29</v>
      </c>
      <c r="P85" s="699">
        <f>SUM(D79:D84)</f>
        <v>28.289999999999996</v>
      </c>
      <c r="Q85" s="708">
        <f>(SUMPRODUCT(D79:D84,E79:E84))</f>
        <v>1653310.18</v>
      </c>
      <c r="R85" s="704"/>
    </row>
    <row r="86" spans="1:18" x14ac:dyDescent="0.25">
      <c r="A86" s="552" t="s">
        <v>391</v>
      </c>
      <c r="B86" s="552" t="s">
        <v>604</v>
      </c>
      <c r="C86" s="545"/>
      <c r="D86" s="550"/>
      <c r="E86" s="546"/>
      <c r="F86" s="635"/>
      <c r="G86" s="649"/>
      <c r="H86" s="650"/>
      <c r="I86" s="665"/>
      <c r="J86" s="666"/>
      <c r="K86" s="680"/>
      <c r="L86" s="681"/>
      <c r="M86" s="691"/>
      <c r="N86" s="735"/>
      <c r="O86" s="736"/>
      <c r="P86" s="698"/>
      <c r="Q86" s="707"/>
      <c r="R86" s="704"/>
    </row>
    <row r="87" spans="1:18" x14ac:dyDescent="0.25">
      <c r="A87" s="552"/>
      <c r="B87" s="552" t="s">
        <v>394</v>
      </c>
      <c r="C87" s="545" t="s">
        <v>146</v>
      </c>
      <c r="D87" s="550">
        <v>7</v>
      </c>
      <c r="E87" s="546">
        <v>129123</v>
      </c>
      <c r="F87" s="635"/>
      <c r="G87" s="649"/>
      <c r="H87" s="650"/>
      <c r="I87" s="665"/>
      <c r="J87" s="666"/>
      <c r="K87" s="680"/>
      <c r="L87" s="681"/>
      <c r="M87" s="691"/>
      <c r="N87" s="735"/>
      <c r="O87" s="736"/>
      <c r="P87" s="698"/>
      <c r="Q87" s="707"/>
      <c r="R87" s="704"/>
    </row>
    <row r="88" spans="1:18" x14ac:dyDescent="0.25">
      <c r="A88" s="552"/>
      <c r="B88" s="552" t="s">
        <v>398</v>
      </c>
      <c r="C88" s="545" t="s">
        <v>502</v>
      </c>
      <c r="D88" s="550">
        <v>74.31</v>
      </c>
      <c r="E88" s="546">
        <v>69080</v>
      </c>
      <c r="F88" s="635"/>
      <c r="G88" s="649"/>
      <c r="H88" s="650"/>
      <c r="I88" s="665"/>
      <c r="J88" s="666"/>
      <c r="K88" s="680"/>
      <c r="L88" s="681"/>
      <c r="M88" s="691"/>
      <c r="N88" s="735"/>
      <c r="O88" s="736"/>
      <c r="P88" s="698"/>
      <c r="Q88" s="707"/>
      <c r="R88" s="704"/>
    </row>
    <row r="89" spans="1:18" x14ac:dyDescent="0.25">
      <c r="A89" s="552"/>
      <c r="B89" s="552" t="s">
        <v>399</v>
      </c>
      <c r="C89" s="545" t="s">
        <v>131</v>
      </c>
      <c r="D89" s="550">
        <v>18.38</v>
      </c>
      <c r="E89" s="546">
        <v>64249</v>
      </c>
      <c r="F89" s="635"/>
      <c r="G89" s="649"/>
      <c r="H89" s="650"/>
      <c r="I89" s="665"/>
      <c r="J89" s="666"/>
      <c r="K89" s="680"/>
      <c r="L89" s="681"/>
      <c r="M89" s="691"/>
      <c r="N89" s="735"/>
      <c r="O89" s="736"/>
      <c r="P89" s="698"/>
      <c r="Q89" s="707"/>
      <c r="R89" s="704"/>
    </row>
    <row r="90" spans="1:18" x14ac:dyDescent="0.25">
      <c r="A90" s="552"/>
      <c r="B90" s="552" t="s">
        <v>400</v>
      </c>
      <c r="C90" s="545" t="s">
        <v>132</v>
      </c>
      <c r="D90" s="550">
        <v>24.4</v>
      </c>
      <c r="E90" s="546">
        <v>72367</v>
      </c>
      <c r="F90" s="635"/>
      <c r="G90" s="649"/>
      <c r="H90" s="650"/>
      <c r="I90" s="665"/>
      <c r="J90" s="666"/>
      <c r="K90" s="680"/>
      <c r="L90" s="681"/>
      <c r="M90" s="691"/>
      <c r="N90" s="735"/>
      <c r="O90" s="736"/>
      <c r="P90" s="698"/>
      <c r="Q90" s="707"/>
      <c r="R90" s="704"/>
    </row>
    <row r="91" spans="1:18" x14ac:dyDescent="0.25">
      <c r="A91" s="552"/>
      <c r="B91" s="552" t="s">
        <v>503</v>
      </c>
      <c r="C91" s="545" t="s">
        <v>504</v>
      </c>
      <c r="D91" s="550">
        <v>2.4</v>
      </c>
      <c r="E91" s="546">
        <v>81114</v>
      </c>
      <c r="F91" s="635"/>
      <c r="G91" s="649"/>
      <c r="H91" s="650"/>
      <c r="I91" s="665"/>
      <c r="J91" s="666"/>
      <c r="K91" s="680"/>
      <c r="L91" s="681"/>
      <c r="M91" s="691"/>
      <c r="N91" s="735"/>
      <c r="O91" s="736"/>
      <c r="P91" s="698"/>
      <c r="Q91" s="707"/>
      <c r="R91" s="704"/>
    </row>
    <row r="92" spans="1:18" x14ac:dyDescent="0.25">
      <c r="A92" s="552"/>
      <c r="B92" s="552" t="s">
        <v>401</v>
      </c>
      <c r="C92" s="545" t="s">
        <v>133</v>
      </c>
      <c r="D92" s="550">
        <v>2.4</v>
      </c>
      <c r="E92" s="546">
        <v>86133</v>
      </c>
      <c r="F92" s="635"/>
      <c r="G92" s="649"/>
      <c r="H92" s="650"/>
      <c r="I92" s="665"/>
      <c r="J92" s="666"/>
      <c r="K92" s="680"/>
      <c r="L92" s="681"/>
      <c r="M92" s="691"/>
      <c r="N92" s="735"/>
      <c r="O92" s="736"/>
      <c r="P92" s="698"/>
      <c r="Q92" s="707"/>
      <c r="R92" s="704"/>
    </row>
    <row r="93" spans="1:18" x14ac:dyDescent="0.25">
      <c r="A93" s="552"/>
      <c r="B93" s="552" t="s">
        <v>402</v>
      </c>
      <c r="C93" s="545" t="s">
        <v>144</v>
      </c>
      <c r="D93" s="550">
        <v>1</v>
      </c>
      <c r="E93" s="546">
        <v>96510</v>
      </c>
      <c r="F93" s="635"/>
      <c r="G93" s="649"/>
      <c r="H93" s="650"/>
      <c r="I93" s="665"/>
      <c r="J93" s="666"/>
      <c r="K93" s="680"/>
      <c r="L93" s="681"/>
      <c r="M93" s="691"/>
      <c r="N93" s="735"/>
      <c r="O93" s="736"/>
      <c r="P93" s="698"/>
      <c r="Q93" s="707"/>
      <c r="R93" s="704"/>
    </row>
    <row r="94" spans="1:18" x14ac:dyDescent="0.25">
      <c r="A94" s="552"/>
      <c r="B94" s="552" t="s">
        <v>403</v>
      </c>
      <c r="C94" s="545" t="s">
        <v>138</v>
      </c>
      <c r="D94" s="550">
        <v>8.4499999999999993</v>
      </c>
      <c r="E94" s="546">
        <v>71124</v>
      </c>
      <c r="F94" s="635"/>
      <c r="G94" s="649"/>
      <c r="H94" s="650"/>
      <c r="I94" s="665"/>
      <c r="J94" s="666"/>
      <c r="K94" s="680"/>
      <c r="L94" s="681"/>
      <c r="M94" s="691"/>
      <c r="N94" s="735"/>
      <c r="O94" s="736"/>
      <c r="P94" s="698"/>
      <c r="Q94" s="707"/>
      <c r="R94" s="704"/>
    </row>
    <row r="95" spans="1:18" x14ac:dyDescent="0.25">
      <c r="A95" s="552"/>
      <c r="B95" s="552" t="s">
        <v>417</v>
      </c>
      <c r="C95" s="545" t="s">
        <v>105</v>
      </c>
      <c r="D95" s="550">
        <v>35.380000000000003</v>
      </c>
      <c r="E95" s="546">
        <v>60048</v>
      </c>
      <c r="F95" s="635"/>
      <c r="G95" s="649"/>
      <c r="H95" s="650"/>
      <c r="I95" s="665"/>
      <c r="J95" s="666"/>
      <c r="K95" s="680"/>
      <c r="L95" s="681"/>
      <c r="M95" s="691"/>
      <c r="N95" s="735"/>
      <c r="O95" s="736"/>
      <c r="P95" s="698"/>
      <c r="Q95" s="707"/>
      <c r="R95" s="704"/>
    </row>
    <row r="96" spans="1:18" x14ac:dyDescent="0.25">
      <c r="A96" s="552"/>
      <c r="B96" s="552" t="s">
        <v>420</v>
      </c>
      <c r="C96" s="545" t="s">
        <v>108</v>
      </c>
      <c r="D96" s="550">
        <v>4.1900000000000004</v>
      </c>
      <c r="E96" s="546">
        <v>56433</v>
      </c>
      <c r="F96" s="635"/>
      <c r="G96" s="649"/>
      <c r="H96" s="650"/>
      <c r="I96" s="665"/>
      <c r="J96" s="666"/>
      <c r="K96" s="680"/>
      <c r="L96" s="681"/>
      <c r="M96" s="691"/>
      <c r="N96" s="735"/>
      <c r="O96" s="736"/>
      <c r="P96" s="698"/>
      <c r="Q96" s="707"/>
      <c r="R96" s="704"/>
    </row>
    <row r="97" spans="1:18" x14ac:dyDescent="0.25">
      <c r="A97" s="552"/>
      <c r="B97" s="552" t="s">
        <v>421</v>
      </c>
      <c r="C97" s="545" t="s">
        <v>109</v>
      </c>
      <c r="D97" s="550">
        <v>6</v>
      </c>
      <c r="E97" s="546">
        <v>77537</v>
      </c>
      <c r="F97" s="635"/>
      <c r="G97" s="649"/>
      <c r="H97" s="650"/>
      <c r="I97" s="665"/>
      <c r="J97" s="666"/>
      <c r="K97" s="680"/>
      <c r="L97" s="681"/>
      <c r="M97" s="691"/>
      <c r="N97" s="735"/>
      <c r="O97" s="736"/>
      <c r="P97" s="698"/>
      <c r="Q97" s="707"/>
      <c r="R97" s="704"/>
    </row>
    <row r="98" spans="1:18" x14ac:dyDescent="0.25">
      <c r="A98" s="552"/>
      <c r="B98" s="552" t="s">
        <v>422</v>
      </c>
      <c r="C98" s="545" t="s">
        <v>110</v>
      </c>
      <c r="D98" s="550">
        <v>1</v>
      </c>
      <c r="E98" s="546">
        <v>120821</v>
      </c>
      <c r="F98" s="635"/>
      <c r="G98" s="649"/>
      <c r="H98" s="650"/>
      <c r="I98" s="665"/>
      <c r="J98" s="666"/>
      <c r="K98" s="680"/>
      <c r="L98" s="681"/>
      <c r="M98" s="691"/>
      <c r="N98" s="735"/>
      <c r="O98" s="736"/>
      <c r="P98" s="698"/>
      <c r="Q98" s="707"/>
      <c r="R98" s="704"/>
    </row>
    <row r="99" spans="1:18" x14ac:dyDescent="0.25">
      <c r="A99" s="552"/>
      <c r="B99" s="552" t="s">
        <v>423</v>
      </c>
      <c r="C99" s="545" t="s">
        <v>111</v>
      </c>
      <c r="D99" s="550">
        <v>278.27999999999997</v>
      </c>
      <c r="E99" s="546">
        <v>49860</v>
      </c>
      <c r="F99" s="635"/>
      <c r="G99" s="649"/>
      <c r="H99" s="650"/>
      <c r="I99" s="665"/>
      <c r="J99" s="666"/>
      <c r="K99" s="680"/>
      <c r="L99" s="681"/>
      <c r="M99" s="691"/>
      <c r="N99" s="735"/>
      <c r="O99" s="736"/>
      <c r="P99" s="698"/>
      <c r="Q99" s="707"/>
      <c r="R99" s="704"/>
    </row>
    <row r="100" spans="1:18" x14ac:dyDescent="0.25">
      <c r="A100" s="552"/>
      <c r="B100" s="552" t="s">
        <v>425</v>
      </c>
      <c r="C100" s="545" t="s">
        <v>104</v>
      </c>
      <c r="D100" s="550">
        <v>4.5</v>
      </c>
      <c r="E100" s="546">
        <v>96556</v>
      </c>
      <c r="F100" s="635"/>
      <c r="G100" s="649"/>
      <c r="H100" s="650"/>
      <c r="I100" s="665"/>
      <c r="J100" s="666"/>
      <c r="K100" s="680"/>
      <c r="L100" s="681"/>
      <c r="M100" s="691"/>
      <c r="N100" s="735"/>
      <c r="O100" s="736"/>
      <c r="P100" s="698"/>
      <c r="Q100" s="707"/>
      <c r="R100" s="704"/>
    </row>
    <row r="101" spans="1:18" x14ac:dyDescent="0.25">
      <c r="A101" s="241"/>
      <c r="B101" s="243"/>
      <c r="C101" s="241"/>
      <c r="D101" s="762"/>
      <c r="E101" s="637"/>
      <c r="F101" s="636">
        <f>SUM(D87:D94)</f>
        <v>138.34</v>
      </c>
      <c r="G101" s="651">
        <f>(SUMPRODUCT(D87:D94,E87:E94))</f>
        <v>10082747.819999998</v>
      </c>
      <c r="H101" s="652">
        <f>SUM(D87:D87)</f>
        <v>7</v>
      </c>
      <c r="I101" s="668">
        <f>(SUMPRODUCT(D87:D87,E87:E87))</f>
        <v>903861</v>
      </c>
      <c r="J101" s="667">
        <f>SUM(D88:D94)</f>
        <v>131.34</v>
      </c>
      <c r="K101" s="682">
        <f>(SUMPRODUCT(D88:D94,E88:E94))</f>
        <v>9178886.8200000003</v>
      </c>
      <c r="L101" s="683"/>
      <c r="M101" s="692"/>
      <c r="N101" s="737">
        <f>+H101+J101+L101</f>
        <v>138.34</v>
      </c>
      <c r="O101" s="738">
        <f>+I101+K101+M101</f>
        <v>10082747.82</v>
      </c>
      <c r="P101" s="699">
        <f>SUM(D95:D100)</f>
        <v>329.34999999999997</v>
      </c>
      <c r="Q101" s="708">
        <f>(SUMPRODUCT(D95:D100,E95:E100))</f>
        <v>17256538.309999999</v>
      </c>
      <c r="R101" s="704"/>
    </row>
    <row r="102" spans="1:18" x14ac:dyDescent="0.25">
      <c r="A102" s="552" t="s">
        <v>605</v>
      </c>
      <c r="B102" s="552" t="s">
        <v>606</v>
      </c>
      <c r="C102" s="545"/>
      <c r="D102" s="550"/>
      <c r="E102" s="546"/>
      <c r="F102" s="635"/>
      <c r="G102" s="649"/>
      <c r="H102" s="650"/>
      <c r="I102" s="665"/>
      <c r="J102" s="666"/>
      <c r="K102" s="680"/>
      <c r="L102" s="681"/>
      <c r="M102" s="691"/>
      <c r="N102" s="735"/>
      <c r="O102" s="736"/>
      <c r="P102" s="698"/>
      <c r="Q102" s="707"/>
      <c r="R102" s="704"/>
    </row>
    <row r="103" spans="1:18" x14ac:dyDescent="0.25">
      <c r="A103" s="552"/>
      <c r="B103" s="552" t="s">
        <v>417</v>
      </c>
      <c r="C103" s="545" t="s">
        <v>105</v>
      </c>
      <c r="D103" s="550">
        <v>0.19</v>
      </c>
      <c r="E103" s="546">
        <v>40516</v>
      </c>
      <c r="F103" s="635"/>
      <c r="G103" s="649"/>
      <c r="H103" s="650"/>
      <c r="I103" s="665"/>
      <c r="J103" s="666"/>
      <c r="K103" s="680"/>
      <c r="L103" s="681"/>
      <c r="M103" s="691"/>
      <c r="N103" s="735"/>
      <c r="O103" s="736"/>
      <c r="P103" s="698"/>
      <c r="Q103" s="707"/>
      <c r="R103" s="704"/>
    </row>
    <row r="104" spans="1:18" x14ac:dyDescent="0.25">
      <c r="A104" s="552"/>
      <c r="B104" s="552" t="s">
        <v>420</v>
      </c>
      <c r="C104" s="545" t="s">
        <v>108</v>
      </c>
      <c r="D104" s="550">
        <v>0.01</v>
      </c>
      <c r="E104" s="546">
        <v>73000</v>
      </c>
      <c r="F104" s="635"/>
      <c r="G104" s="649"/>
      <c r="H104" s="650"/>
      <c r="I104" s="665"/>
      <c r="J104" s="666"/>
      <c r="K104" s="680"/>
      <c r="L104" s="681"/>
      <c r="M104" s="691"/>
      <c r="N104" s="735"/>
      <c r="O104" s="736"/>
      <c r="P104" s="698"/>
      <c r="Q104" s="707"/>
      <c r="R104" s="704"/>
    </row>
    <row r="105" spans="1:18" x14ac:dyDescent="0.25">
      <c r="A105" s="552"/>
      <c r="B105" s="552" t="s">
        <v>422</v>
      </c>
      <c r="C105" s="545" t="s">
        <v>110</v>
      </c>
      <c r="D105" s="550">
        <v>0.03</v>
      </c>
      <c r="E105" s="546">
        <v>76559</v>
      </c>
      <c r="F105" s="635"/>
      <c r="G105" s="649"/>
      <c r="H105" s="650"/>
      <c r="I105" s="665"/>
      <c r="J105" s="666"/>
      <c r="K105" s="680"/>
      <c r="L105" s="681"/>
      <c r="M105" s="691"/>
      <c r="N105" s="735"/>
      <c r="O105" s="736"/>
      <c r="P105" s="698"/>
      <c r="Q105" s="707"/>
      <c r="R105" s="704"/>
    </row>
    <row r="106" spans="1:18" x14ac:dyDescent="0.25">
      <c r="A106" s="241"/>
      <c r="B106" s="243"/>
      <c r="C106" s="241"/>
      <c r="D106" s="762"/>
      <c r="E106" s="637"/>
      <c r="F106" s="636"/>
      <c r="G106" s="651"/>
      <c r="H106" s="652"/>
      <c r="I106" s="668"/>
      <c r="J106" s="667"/>
      <c r="K106" s="682"/>
      <c r="L106" s="683"/>
      <c r="M106" s="692"/>
      <c r="N106" s="737"/>
      <c r="O106" s="738"/>
      <c r="P106" s="699">
        <f>SUM(D103:D105)</f>
        <v>0.23</v>
      </c>
      <c r="Q106" s="708">
        <f>(SUMPRODUCT(D103:D105,E103:E105))</f>
        <v>10724.810000000001</v>
      </c>
      <c r="R106" s="704"/>
    </row>
    <row r="107" spans="1:18" x14ac:dyDescent="0.25">
      <c r="A107" s="552" t="s">
        <v>554</v>
      </c>
      <c r="B107" s="552" t="s">
        <v>608</v>
      </c>
      <c r="C107" s="545"/>
      <c r="D107" s="550"/>
      <c r="E107" s="546"/>
      <c r="F107" s="635"/>
      <c r="G107" s="649"/>
      <c r="H107" s="650"/>
      <c r="I107" s="665"/>
      <c r="J107" s="666"/>
      <c r="K107" s="680"/>
      <c r="L107" s="681"/>
      <c r="M107" s="691"/>
      <c r="N107" s="735"/>
      <c r="O107" s="736"/>
      <c r="P107" s="698"/>
      <c r="Q107" s="707"/>
      <c r="R107" s="704"/>
    </row>
    <row r="108" spans="1:18" x14ac:dyDescent="0.25">
      <c r="A108" s="552"/>
      <c r="B108" s="552" t="s">
        <v>425</v>
      </c>
      <c r="C108" s="545" t="s">
        <v>104</v>
      </c>
      <c r="D108" s="550">
        <v>1.4</v>
      </c>
      <c r="E108" s="546">
        <v>166623</v>
      </c>
      <c r="F108" s="635"/>
      <c r="G108" s="649"/>
      <c r="H108" s="650"/>
      <c r="I108" s="665"/>
      <c r="J108" s="666"/>
      <c r="K108" s="680"/>
      <c r="L108" s="681"/>
      <c r="M108" s="691"/>
      <c r="N108" s="735"/>
      <c r="O108" s="736"/>
      <c r="P108" s="698"/>
      <c r="Q108" s="707"/>
      <c r="R108" s="704"/>
    </row>
    <row r="109" spans="1:18" x14ac:dyDescent="0.25">
      <c r="A109" s="241"/>
      <c r="B109" s="243"/>
      <c r="C109" s="241"/>
      <c r="D109" s="762"/>
      <c r="E109" s="629"/>
      <c r="F109" s="636"/>
      <c r="G109" s="651"/>
      <c r="H109" s="650"/>
      <c r="I109" s="665"/>
      <c r="J109" s="667"/>
      <c r="K109" s="682"/>
      <c r="L109" s="681"/>
      <c r="M109" s="691"/>
      <c r="N109" s="735"/>
      <c r="O109" s="736"/>
      <c r="P109" s="699">
        <f>SUM(D108:D108)</f>
        <v>1.4</v>
      </c>
      <c r="Q109" s="708">
        <f>(SUMPRODUCT(D108:D108,E108:E108))</f>
        <v>233272.19999999998</v>
      </c>
      <c r="R109" s="704"/>
    </row>
    <row r="110" spans="1:18" x14ac:dyDescent="0.25">
      <c r="A110" s="552" t="s">
        <v>393</v>
      </c>
      <c r="B110" s="552" t="s">
        <v>285</v>
      </c>
      <c r="C110" s="545"/>
      <c r="D110" s="550"/>
      <c r="E110" s="546"/>
      <c r="F110" s="635"/>
      <c r="G110" s="649"/>
      <c r="H110" s="650"/>
      <c r="I110" s="665"/>
      <c r="J110" s="666"/>
      <c r="K110" s="680"/>
      <c r="L110" s="681"/>
      <c r="M110" s="691"/>
      <c r="N110" s="735"/>
      <c r="O110" s="736"/>
      <c r="P110" s="698"/>
      <c r="Q110" s="707"/>
      <c r="R110" s="704"/>
    </row>
    <row r="111" spans="1:18" x14ac:dyDescent="0.25">
      <c r="A111" s="552"/>
      <c r="B111" s="552" t="s">
        <v>390</v>
      </c>
      <c r="C111" s="545" t="s">
        <v>152</v>
      </c>
      <c r="D111" s="550">
        <v>0.4</v>
      </c>
      <c r="E111" s="546">
        <v>64163</v>
      </c>
      <c r="F111" s="635"/>
      <c r="G111" s="649"/>
      <c r="H111" s="650"/>
      <c r="I111" s="665"/>
      <c r="J111" s="666"/>
      <c r="K111" s="680"/>
      <c r="L111" s="681"/>
      <c r="M111" s="691"/>
      <c r="N111" s="735"/>
      <c r="O111" s="736"/>
      <c r="P111" s="698"/>
      <c r="Q111" s="707"/>
      <c r="R111" s="704"/>
    </row>
    <row r="112" spans="1:18" x14ac:dyDescent="0.25">
      <c r="A112" s="552"/>
      <c r="B112" s="552" t="s">
        <v>391</v>
      </c>
      <c r="C112" s="545" t="s">
        <v>128</v>
      </c>
      <c r="D112" s="550">
        <v>4.71</v>
      </c>
      <c r="E112" s="546">
        <v>168152</v>
      </c>
      <c r="F112" s="635"/>
      <c r="G112" s="649"/>
      <c r="H112" s="650"/>
      <c r="I112" s="665"/>
      <c r="J112" s="666"/>
      <c r="K112" s="680"/>
      <c r="L112" s="681"/>
      <c r="M112" s="691"/>
      <c r="N112" s="735"/>
      <c r="O112" s="736"/>
      <c r="P112" s="698"/>
      <c r="Q112" s="707"/>
      <c r="R112" s="704"/>
    </row>
    <row r="113" spans="1:18" x14ac:dyDescent="0.25">
      <c r="A113" s="552"/>
      <c r="B113" s="552" t="s">
        <v>392</v>
      </c>
      <c r="C113" s="545" t="s">
        <v>129</v>
      </c>
      <c r="D113" s="550">
        <v>261.62</v>
      </c>
      <c r="E113" s="546">
        <v>138408</v>
      </c>
      <c r="F113" s="635"/>
      <c r="G113" s="649"/>
      <c r="H113" s="650"/>
      <c r="I113" s="665"/>
      <c r="J113" s="666"/>
      <c r="K113" s="680"/>
      <c r="L113" s="681"/>
      <c r="M113" s="691"/>
      <c r="N113" s="735"/>
      <c r="O113" s="736"/>
      <c r="P113" s="698"/>
      <c r="Q113" s="707"/>
      <c r="R113" s="704"/>
    </row>
    <row r="114" spans="1:18" x14ac:dyDescent="0.25">
      <c r="A114" s="552"/>
      <c r="B114" s="552" t="s">
        <v>393</v>
      </c>
      <c r="C114" s="545" t="s">
        <v>136</v>
      </c>
      <c r="D114" s="550">
        <v>3.45</v>
      </c>
      <c r="E114" s="546">
        <v>120492</v>
      </c>
      <c r="F114" s="635"/>
      <c r="G114" s="649"/>
      <c r="H114" s="650"/>
      <c r="I114" s="665"/>
      <c r="J114" s="666"/>
      <c r="K114" s="680"/>
      <c r="L114" s="681"/>
      <c r="M114" s="691"/>
      <c r="N114" s="735"/>
      <c r="O114" s="736"/>
      <c r="P114" s="698"/>
      <c r="Q114" s="707"/>
      <c r="R114" s="704"/>
    </row>
    <row r="115" spans="1:18" x14ac:dyDescent="0.25">
      <c r="A115" s="552"/>
      <c r="B115" s="552" t="s">
        <v>394</v>
      </c>
      <c r="C115" s="545" t="s">
        <v>146</v>
      </c>
      <c r="D115" s="550">
        <v>1.2</v>
      </c>
      <c r="E115" s="546">
        <v>120971</v>
      </c>
      <c r="F115" s="635"/>
      <c r="G115" s="649"/>
      <c r="H115" s="650"/>
      <c r="I115" s="665"/>
      <c r="J115" s="666"/>
      <c r="K115" s="680"/>
      <c r="L115" s="681"/>
      <c r="M115" s="691"/>
      <c r="N115" s="735"/>
      <c r="O115" s="736"/>
      <c r="P115" s="698"/>
      <c r="Q115" s="707"/>
      <c r="R115" s="704"/>
    </row>
    <row r="116" spans="1:18" x14ac:dyDescent="0.25">
      <c r="A116" s="552"/>
      <c r="B116" s="552" t="s">
        <v>395</v>
      </c>
      <c r="C116" s="545" t="s">
        <v>137</v>
      </c>
      <c r="D116" s="550">
        <v>0.85</v>
      </c>
      <c r="E116" s="546">
        <v>103926</v>
      </c>
      <c r="F116" s="635"/>
      <c r="G116" s="649"/>
      <c r="H116" s="650"/>
      <c r="I116" s="665"/>
      <c r="J116" s="666"/>
      <c r="K116" s="680"/>
      <c r="L116" s="681"/>
      <c r="M116" s="691"/>
      <c r="N116" s="735"/>
      <c r="O116" s="736"/>
      <c r="P116" s="698"/>
      <c r="Q116" s="707"/>
      <c r="R116" s="704"/>
    </row>
    <row r="117" spans="1:18" x14ac:dyDescent="0.25">
      <c r="A117" s="552"/>
      <c r="B117" s="552" t="s">
        <v>396</v>
      </c>
      <c r="C117" s="545" t="s">
        <v>145</v>
      </c>
      <c r="D117" s="550">
        <v>0.55000000000000004</v>
      </c>
      <c r="E117" s="546">
        <v>200878</v>
      </c>
      <c r="F117" s="635"/>
      <c r="G117" s="649"/>
      <c r="H117" s="650"/>
      <c r="I117" s="665"/>
      <c r="J117" s="666"/>
      <c r="K117" s="680"/>
      <c r="L117" s="681"/>
      <c r="M117" s="691"/>
      <c r="N117" s="735"/>
      <c r="O117" s="736"/>
      <c r="P117" s="698"/>
      <c r="Q117" s="707"/>
      <c r="R117" s="704"/>
    </row>
    <row r="118" spans="1:18" x14ac:dyDescent="0.25">
      <c r="A118" s="552"/>
      <c r="B118" s="552" t="s">
        <v>397</v>
      </c>
      <c r="C118" s="545" t="s">
        <v>130</v>
      </c>
      <c r="D118" s="550">
        <v>25.67</v>
      </c>
      <c r="E118" s="546">
        <v>123306</v>
      </c>
      <c r="F118" s="635"/>
      <c r="G118" s="649"/>
      <c r="H118" s="650"/>
      <c r="I118" s="665"/>
      <c r="J118" s="666"/>
      <c r="K118" s="680"/>
      <c r="L118" s="681"/>
      <c r="M118" s="691"/>
      <c r="N118" s="735"/>
      <c r="O118" s="736"/>
      <c r="P118" s="698"/>
      <c r="Q118" s="707"/>
      <c r="R118" s="704"/>
    </row>
    <row r="119" spans="1:18" x14ac:dyDescent="0.25">
      <c r="A119" s="552"/>
      <c r="B119" s="552" t="s">
        <v>398</v>
      </c>
      <c r="C119" s="545" t="s">
        <v>502</v>
      </c>
      <c r="D119" s="550">
        <v>769.39</v>
      </c>
      <c r="E119" s="546">
        <v>71594</v>
      </c>
      <c r="F119" s="635"/>
      <c r="G119" s="649"/>
      <c r="H119" s="650"/>
      <c r="I119" s="665"/>
      <c r="J119" s="666"/>
      <c r="K119" s="680"/>
      <c r="L119" s="681"/>
      <c r="M119" s="691"/>
      <c r="N119" s="735"/>
      <c r="O119" s="736"/>
      <c r="P119" s="698"/>
      <c r="Q119" s="707"/>
      <c r="R119" s="704"/>
    </row>
    <row r="120" spans="1:18" x14ac:dyDescent="0.25">
      <c r="A120" s="552"/>
      <c r="B120" s="552" t="s">
        <v>399</v>
      </c>
      <c r="C120" s="545" t="s">
        <v>131</v>
      </c>
      <c r="D120" s="550">
        <v>852.66</v>
      </c>
      <c r="E120" s="546">
        <v>75415</v>
      </c>
      <c r="F120" s="635"/>
      <c r="G120" s="649"/>
      <c r="H120" s="650"/>
      <c r="I120" s="665"/>
      <c r="J120" s="666"/>
      <c r="K120" s="680"/>
      <c r="L120" s="681"/>
      <c r="M120" s="691"/>
      <c r="N120" s="735"/>
      <c r="O120" s="736"/>
      <c r="P120" s="698"/>
      <c r="Q120" s="707"/>
      <c r="R120" s="704"/>
    </row>
    <row r="121" spans="1:18" x14ac:dyDescent="0.25">
      <c r="A121" s="552"/>
      <c r="B121" s="552" t="s">
        <v>400</v>
      </c>
      <c r="C121" s="545" t="s">
        <v>132</v>
      </c>
      <c r="D121" s="550">
        <v>4757.2299999999996</v>
      </c>
      <c r="E121" s="546">
        <v>76615</v>
      </c>
      <c r="F121" s="635"/>
      <c r="G121" s="649"/>
      <c r="H121" s="650"/>
      <c r="I121" s="665"/>
      <c r="J121" s="666"/>
      <c r="K121" s="680"/>
      <c r="L121" s="681"/>
      <c r="M121" s="691"/>
      <c r="N121" s="735"/>
      <c r="O121" s="736"/>
      <c r="P121" s="698"/>
      <c r="Q121" s="707"/>
      <c r="R121" s="704"/>
    </row>
    <row r="122" spans="1:18" x14ac:dyDescent="0.25">
      <c r="A122" s="552"/>
      <c r="B122" s="552" t="s">
        <v>503</v>
      </c>
      <c r="C122" s="545" t="s">
        <v>504</v>
      </c>
      <c r="D122" s="550">
        <v>78.56</v>
      </c>
      <c r="E122" s="546">
        <v>73858</v>
      </c>
      <c r="F122" s="635"/>
      <c r="G122" s="649"/>
      <c r="H122" s="650"/>
      <c r="I122" s="665"/>
      <c r="J122" s="666"/>
      <c r="K122" s="680"/>
      <c r="L122" s="681"/>
      <c r="M122" s="691"/>
      <c r="N122" s="735"/>
      <c r="O122" s="736"/>
      <c r="P122" s="698"/>
      <c r="Q122" s="707"/>
      <c r="R122" s="704"/>
    </row>
    <row r="123" spans="1:18" x14ac:dyDescent="0.25">
      <c r="A123" s="552"/>
      <c r="B123" s="552" t="s">
        <v>401</v>
      </c>
      <c r="C123" s="545" t="s">
        <v>133</v>
      </c>
      <c r="D123" s="550">
        <v>246.67</v>
      </c>
      <c r="E123" s="546">
        <v>86451</v>
      </c>
      <c r="F123" s="635"/>
      <c r="G123" s="649"/>
      <c r="H123" s="650"/>
      <c r="I123" s="665"/>
      <c r="J123" s="666"/>
      <c r="K123" s="680"/>
      <c r="L123" s="681"/>
      <c r="M123" s="691"/>
      <c r="N123" s="735"/>
      <c r="O123" s="736"/>
      <c r="P123" s="698"/>
      <c r="Q123" s="707"/>
      <c r="R123" s="704"/>
    </row>
    <row r="124" spans="1:18" x14ac:dyDescent="0.25">
      <c r="A124" s="552"/>
      <c r="B124" s="552" t="s">
        <v>403</v>
      </c>
      <c r="C124" s="545" t="s">
        <v>138</v>
      </c>
      <c r="D124" s="550">
        <v>10.39</v>
      </c>
      <c r="E124" s="546">
        <v>79792</v>
      </c>
      <c r="F124" s="635"/>
      <c r="G124" s="649"/>
      <c r="H124" s="650"/>
      <c r="I124" s="665"/>
      <c r="J124" s="666"/>
      <c r="K124" s="680"/>
      <c r="L124" s="681"/>
      <c r="M124" s="691"/>
      <c r="N124" s="735"/>
      <c r="O124" s="736"/>
      <c r="P124" s="698"/>
      <c r="Q124" s="707"/>
      <c r="R124" s="704"/>
    </row>
    <row r="125" spans="1:18" x14ac:dyDescent="0.25">
      <c r="A125" s="552"/>
      <c r="B125" s="552" t="s">
        <v>404</v>
      </c>
      <c r="C125" s="545" t="s">
        <v>139</v>
      </c>
      <c r="D125" s="550">
        <v>514.34</v>
      </c>
      <c r="E125" s="546">
        <v>80900</v>
      </c>
      <c r="F125" s="635"/>
      <c r="G125" s="649"/>
      <c r="H125" s="650"/>
      <c r="I125" s="665"/>
      <c r="J125" s="666"/>
      <c r="K125" s="680"/>
      <c r="L125" s="681"/>
      <c r="M125" s="691"/>
      <c r="N125" s="735"/>
      <c r="O125" s="736"/>
      <c r="P125" s="698"/>
      <c r="Q125" s="707"/>
      <c r="R125" s="704"/>
    </row>
    <row r="126" spans="1:18" x14ac:dyDescent="0.25">
      <c r="A126" s="552"/>
      <c r="B126" s="552" t="s">
        <v>405</v>
      </c>
      <c r="C126" s="545" t="s">
        <v>140</v>
      </c>
      <c r="D126" s="550">
        <v>25.71</v>
      </c>
      <c r="E126" s="546">
        <v>73977</v>
      </c>
      <c r="F126" s="635"/>
      <c r="G126" s="649"/>
      <c r="H126" s="650"/>
      <c r="I126" s="665"/>
      <c r="J126" s="666"/>
      <c r="K126" s="680"/>
      <c r="L126" s="681"/>
      <c r="M126" s="691"/>
      <c r="N126" s="735"/>
      <c r="O126" s="736"/>
      <c r="P126" s="698"/>
      <c r="Q126" s="707"/>
      <c r="R126" s="704"/>
    </row>
    <row r="127" spans="1:18" x14ac:dyDescent="0.25">
      <c r="A127" s="552"/>
      <c r="B127" s="552" t="s">
        <v>406</v>
      </c>
      <c r="C127" s="545" t="s">
        <v>261</v>
      </c>
      <c r="D127" s="550">
        <v>1404.52</v>
      </c>
      <c r="E127" s="546">
        <v>82608</v>
      </c>
      <c r="F127" s="635"/>
      <c r="G127" s="649"/>
      <c r="H127" s="650"/>
      <c r="I127" s="665"/>
      <c r="J127" s="666"/>
      <c r="K127" s="680"/>
      <c r="L127" s="681"/>
      <c r="M127" s="691"/>
      <c r="N127" s="735"/>
      <c r="O127" s="736"/>
      <c r="P127" s="698"/>
      <c r="Q127" s="707"/>
      <c r="R127" s="704"/>
    </row>
    <row r="128" spans="1:18" x14ac:dyDescent="0.25">
      <c r="A128" s="552"/>
      <c r="B128" s="552" t="s">
        <v>407</v>
      </c>
      <c r="C128" s="545" t="s">
        <v>141</v>
      </c>
      <c r="D128" s="550">
        <v>889.09</v>
      </c>
      <c r="E128" s="546">
        <v>83556</v>
      </c>
      <c r="F128" s="635"/>
      <c r="G128" s="649"/>
      <c r="H128" s="650"/>
      <c r="I128" s="665"/>
      <c r="J128" s="666"/>
      <c r="K128" s="680"/>
      <c r="L128" s="681"/>
      <c r="M128" s="691"/>
      <c r="N128" s="735"/>
      <c r="O128" s="736"/>
      <c r="P128" s="698"/>
      <c r="Q128" s="707"/>
      <c r="R128" s="704"/>
    </row>
    <row r="129" spans="1:18" x14ac:dyDescent="0.25">
      <c r="A129" s="552"/>
      <c r="B129" s="552" t="s">
        <v>408</v>
      </c>
      <c r="C129" s="545" t="s">
        <v>142</v>
      </c>
      <c r="D129" s="550">
        <v>18.86</v>
      </c>
      <c r="E129" s="546">
        <v>72996</v>
      </c>
      <c r="F129" s="635"/>
      <c r="G129" s="649"/>
      <c r="H129" s="650"/>
      <c r="I129" s="665"/>
      <c r="J129" s="666"/>
      <c r="K129" s="680"/>
      <c r="L129" s="681"/>
      <c r="M129" s="691"/>
      <c r="N129" s="735"/>
      <c r="O129" s="736"/>
      <c r="P129" s="698"/>
      <c r="Q129" s="707"/>
      <c r="R129" s="704"/>
    </row>
    <row r="130" spans="1:18" x14ac:dyDescent="0.25">
      <c r="A130" s="552"/>
      <c r="B130" s="552" t="s">
        <v>409</v>
      </c>
      <c r="C130" s="545" t="s">
        <v>143</v>
      </c>
      <c r="D130" s="550">
        <v>173.45</v>
      </c>
      <c r="E130" s="546">
        <v>87267</v>
      </c>
      <c r="F130" s="635"/>
      <c r="G130" s="649"/>
      <c r="H130" s="650"/>
      <c r="I130" s="665"/>
      <c r="J130" s="666"/>
      <c r="K130" s="680"/>
      <c r="L130" s="681"/>
      <c r="M130" s="691"/>
      <c r="N130" s="735"/>
      <c r="O130" s="736"/>
      <c r="P130" s="698"/>
      <c r="Q130" s="707"/>
      <c r="R130" s="704"/>
    </row>
    <row r="131" spans="1:18" x14ac:dyDescent="0.25">
      <c r="A131" s="552"/>
      <c r="B131" s="552" t="s">
        <v>410</v>
      </c>
      <c r="C131" s="545" t="s">
        <v>534</v>
      </c>
      <c r="D131" s="550">
        <v>8.8000000000000007</v>
      </c>
      <c r="E131" s="546">
        <v>77833</v>
      </c>
      <c r="F131" s="635"/>
      <c r="G131" s="649"/>
      <c r="H131" s="650"/>
      <c r="I131" s="665"/>
      <c r="J131" s="666"/>
      <c r="K131" s="680"/>
      <c r="L131" s="681"/>
      <c r="M131" s="691"/>
      <c r="N131" s="735"/>
      <c r="O131" s="736"/>
      <c r="P131" s="698"/>
      <c r="Q131" s="707"/>
      <c r="R131" s="704"/>
    </row>
    <row r="132" spans="1:18" x14ac:dyDescent="0.25">
      <c r="A132" s="552"/>
      <c r="B132" s="552" t="s">
        <v>412</v>
      </c>
      <c r="C132" s="545" t="s">
        <v>135</v>
      </c>
      <c r="D132" s="550">
        <v>21.2</v>
      </c>
      <c r="E132" s="546">
        <v>64894</v>
      </c>
      <c r="F132" s="635"/>
      <c r="G132" s="649"/>
      <c r="H132" s="650"/>
      <c r="I132" s="665"/>
      <c r="J132" s="666"/>
      <c r="K132" s="680"/>
      <c r="L132" s="681"/>
      <c r="M132" s="691"/>
      <c r="N132" s="735"/>
      <c r="O132" s="736"/>
      <c r="P132" s="698"/>
      <c r="Q132" s="707"/>
      <c r="R132" s="704"/>
    </row>
    <row r="133" spans="1:18" x14ac:dyDescent="0.25">
      <c r="A133" s="552"/>
      <c r="B133" s="552" t="s">
        <v>413</v>
      </c>
      <c r="C133" s="545" t="s">
        <v>262</v>
      </c>
      <c r="D133" s="550">
        <v>1.53</v>
      </c>
      <c r="E133" s="546">
        <v>76372</v>
      </c>
      <c r="F133" s="635"/>
      <c r="G133" s="649"/>
      <c r="H133" s="650"/>
      <c r="I133" s="665"/>
      <c r="J133" s="666"/>
      <c r="K133" s="680"/>
      <c r="L133" s="681"/>
      <c r="M133" s="691"/>
      <c r="N133" s="735"/>
      <c r="O133" s="736"/>
      <c r="P133" s="698"/>
      <c r="Q133" s="707"/>
      <c r="R133" s="704"/>
    </row>
    <row r="134" spans="1:18" x14ac:dyDescent="0.25">
      <c r="A134" s="552"/>
      <c r="B134" s="552" t="s">
        <v>414</v>
      </c>
      <c r="C134" s="545" t="s">
        <v>193</v>
      </c>
      <c r="D134" s="550">
        <v>29.35</v>
      </c>
      <c r="E134" s="546">
        <v>60580</v>
      </c>
      <c r="F134" s="635"/>
      <c r="G134" s="649"/>
      <c r="H134" s="650"/>
      <c r="I134" s="665"/>
      <c r="J134" s="666"/>
      <c r="K134" s="680"/>
      <c r="L134" s="681"/>
      <c r="M134" s="691"/>
      <c r="N134" s="735"/>
      <c r="O134" s="736"/>
      <c r="P134" s="698"/>
      <c r="Q134" s="707"/>
      <c r="R134" s="704"/>
    </row>
    <row r="135" spans="1:18" x14ac:dyDescent="0.25">
      <c r="A135" s="552"/>
      <c r="B135" s="552" t="s">
        <v>415</v>
      </c>
      <c r="C135" s="545" t="s">
        <v>194</v>
      </c>
      <c r="D135" s="550">
        <v>92.99</v>
      </c>
      <c r="E135" s="546">
        <v>61928</v>
      </c>
      <c r="F135" s="635"/>
      <c r="G135" s="649"/>
      <c r="H135" s="650"/>
      <c r="I135" s="665"/>
      <c r="J135" s="666"/>
      <c r="K135" s="680"/>
      <c r="L135" s="681"/>
      <c r="M135" s="691"/>
      <c r="N135" s="735"/>
      <c r="O135" s="736"/>
      <c r="P135" s="698"/>
      <c r="Q135" s="707"/>
      <c r="R135" s="704"/>
    </row>
    <row r="136" spans="1:18" x14ac:dyDescent="0.25">
      <c r="A136" s="552"/>
      <c r="B136" s="552" t="s">
        <v>416</v>
      </c>
      <c r="C136" s="545" t="s">
        <v>263</v>
      </c>
      <c r="D136" s="550">
        <v>1.45</v>
      </c>
      <c r="E136" s="546">
        <v>46205</v>
      </c>
      <c r="F136" s="635"/>
      <c r="G136" s="649"/>
      <c r="H136" s="650"/>
      <c r="I136" s="665"/>
      <c r="J136" s="666"/>
      <c r="K136" s="680"/>
      <c r="L136" s="681"/>
      <c r="M136" s="691"/>
      <c r="N136" s="735"/>
      <c r="O136" s="736"/>
      <c r="P136" s="698"/>
      <c r="Q136" s="707"/>
      <c r="R136" s="704"/>
    </row>
    <row r="137" spans="1:18" x14ac:dyDescent="0.25">
      <c r="A137" s="552"/>
      <c r="B137" s="552" t="s">
        <v>417</v>
      </c>
      <c r="C137" s="545" t="s">
        <v>105</v>
      </c>
      <c r="D137" s="550">
        <v>7093.11</v>
      </c>
      <c r="E137" s="546">
        <v>47716</v>
      </c>
      <c r="F137" s="635"/>
      <c r="G137" s="649"/>
      <c r="H137" s="650"/>
      <c r="I137" s="665"/>
      <c r="J137" s="666"/>
      <c r="K137" s="680"/>
      <c r="L137" s="681"/>
      <c r="M137" s="691"/>
      <c r="N137" s="735"/>
      <c r="O137" s="736"/>
      <c r="P137" s="698"/>
      <c r="Q137" s="707"/>
      <c r="R137" s="704"/>
    </row>
    <row r="138" spans="1:18" x14ac:dyDescent="0.25">
      <c r="A138" s="552"/>
      <c r="B138" s="552" t="s">
        <v>420</v>
      </c>
      <c r="C138" s="545" t="s">
        <v>108</v>
      </c>
      <c r="D138" s="550">
        <v>347.15</v>
      </c>
      <c r="E138" s="546">
        <v>56191</v>
      </c>
      <c r="F138" s="635"/>
      <c r="G138" s="649"/>
      <c r="H138" s="650"/>
      <c r="I138" s="665"/>
      <c r="J138" s="666"/>
      <c r="K138" s="680"/>
      <c r="L138" s="681"/>
      <c r="M138" s="691"/>
      <c r="N138" s="735"/>
      <c r="O138" s="736"/>
      <c r="P138" s="698"/>
      <c r="Q138" s="707"/>
      <c r="R138" s="704"/>
    </row>
    <row r="139" spans="1:18" x14ac:dyDescent="0.25">
      <c r="A139" s="552"/>
      <c r="B139" s="552" t="s">
        <v>422</v>
      </c>
      <c r="C139" s="545" t="s">
        <v>110</v>
      </c>
      <c r="D139" s="550">
        <v>198.68</v>
      </c>
      <c r="E139" s="546">
        <v>71183</v>
      </c>
      <c r="F139" s="635"/>
      <c r="G139" s="649"/>
      <c r="H139" s="650"/>
      <c r="I139" s="665"/>
      <c r="J139" s="666"/>
      <c r="K139" s="680"/>
      <c r="L139" s="681"/>
      <c r="M139" s="691"/>
      <c r="N139" s="735"/>
      <c r="O139" s="736"/>
      <c r="P139" s="698"/>
      <c r="Q139" s="707"/>
      <c r="R139" s="704"/>
    </row>
    <row r="140" spans="1:18" x14ac:dyDescent="0.25">
      <c r="A140" s="552"/>
      <c r="B140" s="552" t="s">
        <v>423</v>
      </c>
      <c r="C140" s="545" t="s">
        <v>111</v>
      </c>
      <c r="D140" s="550">
        <v>6.07</v>
      </c>
      <c r="E140" s="546">
        <v>71643</v>
      </c>
      <c r="F140" s="635"/>
      <c r="G140" s="649"/>
      <c r="H140" s="650"/>
      <c r="I140" s="665"/>
      <c r="J140" s="666"/>
      <c r="K140" s="680"/>
      <c r="L140" s="681"/>
      <c r="M140" s="691"/>
      <c r="N140" s="735"/>
      <c r="O140" s="736"/>
      <c r="P140" s="698"/>
      <c r="Q140" s="707"/>
      <c r="R140" s="704"/>
    </row>
    <row r="141" spans="1:18" x14ac:dyDescent="0.25">
      <c r="A141" s="552"/>
      <c r="B141" s="552" t="s">
        <v>424</v>
      </c>
      <c r="C141" s="545" t="s">
        <v>112</v>
      </c>
      <c r="D141" s="550">
        <v>48.21</v>
      </c>
      <c r="E141" s="546">
        <v>72767</v>
      </c>
      <c r="F141" s="635"/>
      <c r="G141" s="649"/>
      <c r="H141" s="650"/>
      <c r="I141" s="665"/>
      <c r="J141" s="666"/>
      <c r="K141" s="680"/>
      <c r="L141" s="681"/>
      <c r="M141" s="691"/>
      <c r="N141" s="735"/>
      <c r="O141" s="736"/>
      <c r="P141" s="698"/>
      <c r="Q141" s="707"/>
      <c r="R141" s="704"/>
    </row>
    <row r="142" spans="1:18" x14ac:dyDescent="0.25">
      <c r="A142" s="552"/>
      <c r="B142" s="552" t="s">
        <v>425</v>
      </c>
      <c r="C142" s="545" t="s">
        <v>104</v>
      </c>
      <c r="D142" s="550">
        <v>12.75</v>
      </c>
      <c r="E142" s="546">
        <v>100543</v>
      </c>
      <c r="F142" s="635"/>
      <c r="G142" s="649"/>
      <c r="H142" s="650"/>
      <c r="I142" s="665"/>
      <c r="J142" s="666"/>
      <c r="K142" s="680"/>
      <c r="L142" s="681"/>
      <c r="M142" s="691"/>
      <c r="N142" s="735"/>
      <c r="O142" s="736"/>
      <c r="P142" s="698"/>
      <c r="Q142" s="707"/>
      <c r="R142" s="704"/>
    </row>
    <row r="143" spans="1:18" x14ac:dyDescent="0.25">
      <c r="A143" s="241"/>
      <c r="B143" s="570"/>
      <c r="C143" s="571"/>
      <c r="D143" s="762"/>
      <c r="E143" s="629"/>
      <c r="F143" s="636">
        <f>SUM(D111:D135)</f>
        <v>10193.190000000002</v>
      </c>
      <c r="G143" s="651">
        <f>(SUMPRODUCT(D111:D135,E111:E135))</f>
        <v>812824191.89999974</v>
      </c>
      <c r="H143" s="652">
        <f>SUM(D111:D118)</f>
        <v>298.45000000000005</v>
      </c>
      <c r="I143" s="668">
        <f>(SUMPRODUCT(D111:D118,E111:E118))</f>
        <v>40952909.700000003</v>
      </c>
      <c r="J143" s="667">
        <f>SUM(D119:D131,D134:D135)</f>
        <v>9872.010000000002</v>
      </c>
      <c r="K143" s="682">
        <f>(SUMPRODUCT(D119:D131,E119:E131))+(SUMPRODUCT(D134:D135,E134:E135))</f>
        <v>770378680.23999977</v>
      </c>
      <c r="L143" s="683">
        <f>SUM(D132:D133)</f>
        <v>22.73</v>
      </c>
      <c r="M143" s="692">
        <f>(SUMPRODUCT(D132:D133,E132:E133))</f>
        <v>1492601.96</v>
      </c>
      <c r="N143" s="737">
        <f>+H143+J143+L143</f>
        <v>10193.190000000002</v>
      </c>
      <c r="O143" s="738">
        <f>+I143+K143+M143</f>
        <v>812824191.89999986</v>
      </c>
      <c r="P143" s="699">
        <f>SUM(D136:D142)</f>
        <v>7707.4199999999992</v>
      </c>
      <c r="Q143" s="708">
        <f>(SUMPRODUCT(D136:D142,E136:E142))</f>
        <v>377396071.42999995</v>
      </c>
      <c r="R143" s="704"/>
    </row>
    <row r="144" spans="1:18" x14ac:dyDescent="0.25">
      <c r="A144" s="552" t="s">
        <v>394</v>
      </c>
      <c r="B144" s="552" t="s">
        <v>469</v>
      </c>
      <c r="C144" s="545"/>
      <c r="D144" s="550"/>
      <c r="E144" s="546"/>
      <c r="F144" s="635"/>
      <c r="G144" s="649"/>
      <c r="H144" s="650"/>
      <c r="I144" s="665"/>
      <c r="J144" s="666"/>
      <c r="K144" s="680"/>
      <c r="L144" s="681"/>
      <c r="M144" s="691"/>
      <c r="N144" s="735"/>
      <c r="O144" s="736"/>
      <c r="P144" s="698"/>
      <c r="Q144" s="707"/>
      <c r="R144" s="704"/>
    </row>
    <row r="145" spans="1:18" x14ac:dyDescent="0.25">
      <c r="A145" s="552"/>
      <c r="B145" s="552" t="s">
        <v>392</v>
      </c>
      <c r="C145" s="545" t="s">
        <v>129</v>
      </c>
      <c r="D145" s="550">
        <v>0.34</v>
      </c>
      <c r="E145" s="546">
        <v>127279</v>
      </c>
      <c r="F145" s="635"/>
      <c r="G145" s="649"/>
      <c r="H145" s="650"/>
      <c r="I145" s="665"/>
      <c r="J145" s="666"/>
      <c r="K145" s="680"/>
      <c r="L145" s="681"/>
      <c r="M145" s="691"/>
      <c r="N145" s="735"/>
      <c r="O145" s="736"/>
      <c r="P145" s="698"/>
      <c r="Q145" s="707"/>
      <c r="R145" s="704"/>
    </row>
    <row r="146" spans="1:18" x14ac:dyDescent="0.25">
      <c r="A146" s="552"/>
      <c r="B146" s="552" t="s">
        <v>398</v>
      </c>
      <c r="C146" s="545" t="s">
        <v>502</v>
      </c>
      <c r="D146" s="550">
        <v>1.19</v>
      </c>
      <c r="E146" s="546">
        <v>90115</v>
      </c>
      <c r="F146" s="635"/>
      <c r="G146" s="649"/>
      <c r="H146" s="650"/>
      <c r="I146" s="665"/>
      <c r="J146" s="666"/>
      <c r="K146" s="680"/>
      <c r="L146" s="681"/>
      <c r="M146" s="691"/>
      <c r="N146" s="735"/>
      <c r="O146" s="736"/>
      <c r="P146" s="698"/>
      <c r="Q146" s="707"/>
      <c r="R146" s="704"/>
    </row>
    <row r="147" spans="1:18" x14ac:dyDescent="0.25">
      <c r="A147" s="552"/>
      <c r="B147" s="552" t="s">
        <v>400</v>
      </c>
      <c r="C147" s="545" t="s">
        <v>132</v>
      </c>
      <c r="D147" s="550">
        <v>7.9</v>
      </c>
      <c r="E147" s="546">
        <v>82734</v>
      </c>
      <c r="F147" s="635"/>
      <c r="G147" s="649"/>
      <c r="H147" s="650"/>
      <c r="I147" s="665"/>
      <c r="J147" s="666"/>
      <c r="K147" s="680"/>
      <c r="L147" s="681"/>
      <c r="M147" s="691"/>
      <c r="N147" s="735"/>
      <c r="O147" s="736"/>
      <c r="P147" s="698"/>
      <c r="Q147" s="707"/>
      <c r="R147" s="704"/>
    </row>
    <row r="148" spans="1:18" x14ac:dyDescent="0.25">
      <c r="A148" s="552"/>
      <c r="B148" s="552" t="s">
        <v>404</v>
      </c>
      <c r="C148" s="545" t="s">
        <v>139</v>
      </c>
      <c r="D148" s="550">
        <v>0.06</v>
      </c>
      <c r="E148" s="546">
        <v>99948</v>
      </c>
      <c r="F148" s="635"/>
      <c r="G148" s="649"/>
      <c r="H148" s="650"/>
      <c r="I148" s="665"/>
      <c r="J148" s="666"/>
      <c r="K148" s="680"/>
      <c r="L148" s="681"/>
      <c r="M148" s="691"/>
      <c r="N148" s="735"/>
      <c r="O148" s="736"/>
      <c r="P148" s="698"/>
      <c r="Q148" s="707"/>
      <c r="R148" s="704"/>
    </row>
    <row r="149" spans="1:18" x14ac:dyDescent="0.25">
      <c r="A149" s="552"/>
      <c r="B149" s="552" t="s">
        <v>406</v>
      </c>
      <c r="C149" s="545" t="s">
        <v>261</v>
      </c>
      <c r="D149" s="550">
        <v>0.76</v>
      </c>
      <c r="E149" s="546">
        <v>77145</v>
      </c>
      <c r="F149" s="635"/>
      <c r="G149" s="649"/>
      <c r="H149" s="650"/>
      <c r="I149" s="665"/>
      <c r="J149" s="666"/>
      <c r="K149" s="680"/>
      <c r="L149" s="681"/>
      <c r="M149" s="691"/>
      <c r="N149" s="735"/>
      <c r="O149" s="736"/>
      <c r="P149" s="698"/>
      <c r="Q149" s="707"/>
      <c r="R149" s="704"/>
    </row>
    <row r="150" spans="1:18" x14ac:dyDescent="0.25">
      <c r="A150" s="552"/>
      <c r="B150" s="552" t="s">
        <v>409</v>
      </c>
      <c r="C150" s="545" t="s">
        <v>143</v>
      </c>
      <c r="D150" s="550">
        <v>0.06</v>
      </c>
      <c r="E150" s="546">
        <v>101379</v>
      </c>
      <c r="F150" s="635"/>
      <c r="G150" s="649"/>
      <c r="H150" s="650"/>
      <c r="I150" s="665"/>
      <c r="J150" s="666"/>
      <c r="K150" s="680"/>
      <c r="L150" s="681"/>
      <c r="M150" s="691"/>
      <c r="N150" s="735"/>
      <c r="O150" s="736"/>
      <c r="P150" s="698"/>
      <c r="Q150" s="707"/>
      <c r="R150" s="704"/>
    </row>
    <row r="151" spans="1:18" x14ac:dyDescent="0.25">
      <c r="A151" s="552"/>
      <c r="B151" s="552" t="s">
        <v>417</v>
      </c>
      <c r="C151" s="545" t="s">
        <v>105</v>
      </c>
      <c r="D151" s="550">
        <v>1.7</v>
      </c>
      <c r="E151" s="546">
        <v>44397</v>
      </c>
      <c r="F151" s="635"/>
      <c r="G151" s="649"/>
      <c r="H151" s="650"/>
      <c r="I151" s="665"/>
      <c r="J151" s="666"/>
      <c r="K151" s="680"/>
      <c r="L151" s="681"/>
      <c r="M151" s="691"/>
      <c r="N151" s="735"/>
      <c r="O151" s="736"/>
      <c r="P151" s="698"/>
      <c r="Q151" s="707"/>
      <c r="R151" s="704"/>
    </row>
    <row r="152" spans="1:18" x14ac:dyDescent="0.25">
      <c r="A152" s="552"/>
      <c r="B152" s="552" t="s">
        <v>420</v>
      </c>
      <c r="C152" s="545" t="s">
        <v>108</v>
      </c>
      <c r="D152" s="550">
        <v>0.7</v>
      </c>
      <c r="E152" s="546">
        <v>53386</v>
      </c>
      <c r="F152" s="635"/>
      <c r="G152" s="649"/>
      <c r="H152" s="650"/>
      <c r="I152" s="665"/>
      <c r="J152" s="666"/>
      <c r="K152" s="680"/>
      <c r="L152" s="681"/>
      <c r="M152" s="691"/>
      <c r="N152" s="735"/>
      <c r="O152" s="736"/>
      <c r="P152" s="698"/>
      <c r="Q152" s="707"/>
      <c r="R152" s="704"/>
    </row>
    <row r="153" spans="1:18" x14ac:dyDescent="0.25">
      <c r="A153" s="552"/>
      <c r="B153" s="552" t="s">
        <v>422</v>
      </c>
      <c r="C153" s="545" t="s">
        <v>110</v>
      </c>
      <c r="D153" s="550">
        <v>1.58</v>
      </c>
      <c r="E153" s="546">
        <v>47879</v>
      </c>
      <c r="F153" s="635"/>
      <c r="G153" s="649"/>
      <c r="H153" s="650"/>
      <c r="I153" s="665"/>
      <c r="J153" s="666"/>
      <c r="K153" s="680"/>
      <c r="L153" s="681"/>
      <c r="M153" s="691"/>
      <c r="N153" s="735"/>
      <c r="O153" s="736"/>
      <c r="P153" s="698"/>
      <c r="Q153" s="707"/>
      <c r="R153" s="704"/>
    </row>
    <row r="154" spans="1:18" x14ac:dyDescent="0.25">
      <c r="A154" s="552"/>
      <c r="B154" s="552" t="s">
        <v>425</v>
      </c>
      <c r="C154" s="545" t="s">
        <v>104</v>
      </c>
      <c r="D154" s="550">
        <v>0.16</v>
      </c>
      <c r="E154" s="546">
        <v>99179</v>
      </c>
      <c r="F154" s="635"/>
      <c r="G154" s="649"/>
      <c r="H154" s="650"/>
      <c r="I154" s="665"/>
      <c r="J154" s="666"/>
      <c r="K154" s="680"/>
      <c r="L154" s="681"/>
      <c r="M154" s="691"/>
      <c r="N154" s="735"/>
      <c r="O154" s="736"/>
      <c r="P154" s="698"/>
      <c r="Q154" s="707"/>
      <c r="R154" s="704"/>
    </row>
    <row r="155" spans="1:18" x14ac:dyDescent="0.25">
      <c r="A155" s="241"/>
      <c r="B155" s="570"/>
      <c r="C155" s="571"/>
      <c r="D155" s="762"/>
      <c r="E155" s="629"/>
      <c r="F155" s="636">
        <f>SUM(D145:D150)</f>
        <v>10.31</v>
      </c>
      <c r="G155" s="651">
        <f>(SUMPRODUCT(D145:D150,E145:E150))</f>
        <v>874820.12999999989</v>
      </c>
      <c r="H155" s="652">
        <f>SUM(D145:D145)</f>
        <v>0.34</v>
      </c>
      <c r="I155" s="668">
        <f>(SUMPRODUCT(D145:D145,E145:E145))</f>
        <v>43274.86</v>
      </c>
      <c r="J155" s="667">
        <f>SUM(D146:D150)</f>
        <v>9.9700000000000006</v>
      </c>
      <c r="K155" s="682">
        <f>(SUMPRODUCT(D146:D150,E146:E150))</f>
        <v>831545.2699999999</v>
      </c>
      <c r="L155" s="683"/>
      <c r="M155" s="692"/>
      <c r="N155" s="737">
        <f>+H155+J155+L155</f>
        <v>10.31</v>
      </c>
      <c r="O155" s="738">
        <f>+I155+K155+M155</f>
        <v>874820.12999999989</v>
      </c>
      <c r="P155" s="699">
        <f>SUM(D151:D154)</f>
        <v>4.1399999999999997</v>
      </c>
      <c r="Q155" s="708">
        <f>(SUMPRODUCT(D151:D154,E151:E154))</f>
        <v>204362.56</v>
      </c>
      <c r="R155" s="704"/>
    </row>
    <row r="156" spans="1:18" x14ac:dyDescent="0.25">
      <c r="A156" s="552" t="s">
        <v>396</v>
      </c>
      <c r="B156" s="552" t="s">
        <v>286</v>
      </c>
      <c r="C156" s="545"/>
      <c r="D156" s="550"/>
      <c r="E156" s="546"/>
      <c r="F156" s="635"/>
      <c r="G156" s="649"/>
      <c r="H156" s="650"/>
      <c r="I156" s="665"/>
      <c r="J156" s="666"/>
      <c r="K156" s="680"/>
      <c r="L156" s="681"/>
      <c r="M156" s="691"/>
      <c r="N156" s="735"/>
      <c r="O156" s="736"/>
      <c r="P156" s="698"/>
      <c r="Q156" s="707"/>
      <c r="R156" s="704"/>
    </row>
    <row r="157" spans="1:18" x14ac:dyDescent="0.25">
      <c r="A157" s="552"/>
      <c r="B157" s="552" t="s">
        <v>392</v>
      </c>
      <c r="C157" s="545" t="s">
        <v>129</v>
      </c>
      <c r="D157" s="550">
        <v>11.13</v>
      </c>
      <c r="E157" s="546">
        <v>138477</v>
      </c>
      <c r="F157" s="635"/>
      <c r="G157" s="649"/>
      <c r="H157" s="650"/>
      <c r="I157" s="665"/>
      <c r="J157" s="666"/>
      <c r="K157" s="680"/>
      <c r="L157" s="681"/>
      <c r="M157" s="691"/>
      <c r="N157" s="735"/>
      <c r="O157" s="736"/>
      <c r="P157" s="698"/>
      <c r="Q157" s="707"/>
      <c r="R157" s="704"/>
    </row>
    <row r="158" spans="1:18" x14ac:dyDescent="0.25">
      <c r="A158" s="552"/>
      <c r="B158" s="552" t="s">
        <v>397</v>
      </c>
      <c r="C158" s="545" t="s">
        <v>130</v>
      </c>
      <c r="D158" s="550">
        <v>1.2</v>
      </c>
      <c r="E158" s="546">
        <v>150473</v>
      </c>
      <c r="F158" s="635"/>
      <c r="G158" s="649"/>
      <c r="H158" s="650"/>
      <c r="I158" s="665"/>
      <c r="J158" s="666"/>
      <c r="K158" s="680"/>
      <c r="L158" s="681"/>
      <c r="M158" s="691"/>
      <c r="N158" s="735"/>
      <c r="O158" s="736"/>
      <c r="P158" s="698"/>
      <c r="Q158" s="707"/>
      <c r="R158" s="704"/>
    </row>
    <row r="159" spans="1:18" x14ac:dyDescent="0.25">
      <c r="A159" s="552"/>
      <c r="B159" s="552" t="s">
        <v>398</v>
      </c>
      <c r="C159" s="545" t="s">
        <v>502</v>
      </c>
      <c r="D159" s="550">
        <v>49.26</v>
      </c>
      <c r="E159" s="546">
        <v>71629</v>
      </c>
      <c r="F159" s="635"/>
      <c r="G159" s="649"/>
      <c r="H159" s="650"/>
      <c r="I159" s="665"/>
      <c r="J159" s="666"/>
      <c r="K159" s="680"/>
      <c r="L159" s="681"/>
      <c r="M159" s="691"/>
      <c r="N159" s="735"/>
      <c r="O159" s="736"/>
      <c r="P159" s="698"/>
      <c r="Q159" s="707"/>
      <c r="R159" s="704"/>
    </row>
    <row r="160" spans="1:18" x14ac:dyDescent="0.25">
      <c r="A160" s="552"/>
      <c r="B160" s="552" t="s">
        <v>399</v>
      </c>
      <c r="C160" s="545" t="s">
        <v>131</v>
      </c>
      <c r="D160" s="550">
        <v>152.52000000000001</v>
      </c>
      <c r="E160" s="546">
        <v>76330</v>
      </c>
      <c r="F160" s="635"/>
      <c r="G160" s="649"/>
      <c r="H160" s="650"/>
      <c r="I160" s="665"/>
      <c r="J160" s="666"/>
      <c r="K160" s="680"/>
      <c r="L160" s="681"/>
      <c r="M160" s="691"/>
      <c r="N160" s="735"/>
      <c r="O160" s="736"/>
      <c r="P160" s="698"/>
      <c r="Q160" s="707"/>
      <c r="R160" s="704"/>
    </row>
    <row r="161" spans="1:18" x14ac:dyDescent="0.25">
      <c r="A161" s="552"/>
      <c r="B161" s="552" t="s">
        <v>400</v>
      </c>
      <c r="C161" s="545" t="s">
        <v>132</v>
      </c>
      <c r="D161" s="550">
        <v>467.03</v>
      </c>
      <c r="E161" s="546">
        <v>80447</v>
      </c>
      <c r="F161" s="635"/>
      <c r="G161" s="649"/>
      <c r="H161" s="650"/>
      <c r="I161" s="665"/>
      <c r="J161" s="666"/>
      <c r="K161" s="680"/>
      <c r="L161" s="681"/>
      <c r="M161" s="691"/>
      <c r="N161" s="735"/>
      <c r="O161" s="736"/>
      <c r="P161" s="698"/>
      <c r="Q161" s="707"/>
      <c r="R161" s="704"/>
    </row>
    <row r="162" spans="1:18" x14ac:dyDescent="0.25">
      <c r="A162" s="552"/>
      <c r="B162" s="552" t="s">
        <v>503</v>
      </c>
      <c r="C162" s="545" t="s">
        <v>504</v>
      </c>
      <c r="D162" s="550">
        <v>2.89</v>
      </c>
      <c r="E162" s="546">
        <v>72637</v>
      </c>
      <c r="F162" s="635"/>
      <c r="G162" s="649"/>
      <c r="H162" s="650"/>
      <c r="I162" s="665"/>
      <c r="J162" s="666"/>
      <c r="K162" s="680"/>
      <c r="L162" s="681"/>
      <c r="M162" s="691"/>
      <c r="N162" s="735"/>
      <c r="O162" s="736"/>
      <c r="P162" s="698"/>
      <c r="Q162" s="707"/>
      <c r="R162" s="704"/>
    </row>
    <row r="163" spans="1:18" x14ac:dyDescent="0.25">
      <c r="A163" s="552"/>
      <c r="B163" s="552" t="s">
        <v>401</v>
      </c>
      <c r="C163" s="545" t="s">
        <v>133</v>
      </c>
      <c r="D163" s="550">
        <v>54.27</v>
      </c>
      <c r="E163" s="546">
        <v>85268</v>
      </c>
      <c r="F163" s="635"/>
      <c r="G163" s="649"/>
      <c r="H163" s="650"/>
      <c r="I163" s="665"/>
      <c r="J163" s="666"/>
      <c r="K163" s="680"/>
      <c r="L163" s="681"/>
      <c r="M163" s="691"/>
      <c r="N163" s="735"/>
      <c r="O163" s="736"/>
      <c r="P163" s="698"/>
      <c r="Q163" s="707"/>
      <c r="R163" s="704"/>
    </row>
    <row r="164" spans="1:18" x14ac:dyDescent="0.25">
      <c r="A164" s="552"/>
      <c r="B164" s="552" t="s">
        <v>403</v>
      </c>
      <c r="C164" s="545" t="s">
        <v>138</v>
      </c>
      <c r="D164" s="550">
        <v>1</v>
      </c>
      <c r="E164" s="546">
        <v>95042</v>
      </c>
      <c r="F164" s="635"/>
      <c r="G164" s="649"/>
      <c r="H164" s="650"/>
      <c r="I164" s="665"/>
      <c r="J164" s="666"/>
      <c r="K164" s="680"/>
      <c r="L164" s="681"/>
      <c r="M164" s="691"/>
      <c r="N164" s="735"/>
      <c r="O164" s="736"/>
      <c r="P164" s="698"/>
      <c r="Q164" s="707"/>
      <c r="R164" s="704"/>
    </row>
    <row r="165" spans="1:18" x14ac:dyDescent="0.25">
      <c r="A165" s="552"/>
      <c r="B165" s="552" t="s">
        <v>404</v>
      </c>
      <c r="C165" s="545" t="s">
        <v>139</v>
      </c>
      <c r="D165" s="550">
        <v>19.23</v>
      </c>
      <c r="E165" s="546">
        <v>86119</v>
      </c>
      <c r="F165" s="635"/>
      <c r="G165" s="649"/>
      <c r="H165" s="650"/>
      <c r="I165" s="665"/>
      <c r="J165" s="666"/>
      <c r="K165" s="680"/>
      <c r="L165" s="681"/>
      <c r="M165" s="691"/>
      <c r="N165" s="735"/>
      <c r="O165" s="736"/>
      <c r="P165" s="698"/>
      <c r="Q165" s="707"/>
      <c r="R165" s="704"/>
    </row>
    <row r="166" spans="1:18" x14ac:dyDescent="0.25">
      <c r="A166" s="552"/>
      <c r="B166" s="552" t="s">
        <v>405</v>
      </c>
      <c r="C166" s="545" t="s">
        <v>140</v>
      </c>
      <c r="D166" s="550">
        <v>2.5</v>
      </c>
      <c r="E166" s="546">
        <v>90590</v>
      </c>
      <c r="F166" s="635"/>
      <c r="G166" s="649"/>
      <c r="H166" s="650"/>
      <c r="I166" s="665"/>
      <c r="J166" s="666"/>
      <c r="K166" s="680"/>
      <c r="L166" s="681"/>
      <c r="M166" s="691"/>
      <c r="N166" s="735"/>
      <c r="O166" s="736"/>
      <c r="P166" s="698"/>
      <c r="Q166" s="707"/>
      <c r="R166" s="704"/>
    </row>
    <row r="167" spans="1:18" x14ac:dyDescent="0.25">
      <c r="A167" s="552"/>
      <c r="B167" s="552" t="s">
        <v>406</v>
      </c>
      <c r="C167" s="545" t="s">
        <v>261</v>
      </c>
      <c r="D167" s="550">
        <v>46.48</v>
      </c>
      <c r="E167" s="546">
        <v>84338</v>
      </c>
      <c r="F167" s="635"/>
      <c r="G167" s="649"/>
      <c r="H167" s="650"/>
      <c r="I167" s="665"/>
      <c r="J167" s="666"/>
      <c r="K167" s="680"/>
      <c r="L167" s="681"/>
      <c r="M167" s="691"/>
      <c r="N167" s="735"/>
      <c r="O167" s="736"/>
      <c r="P167" s="698"/>
      <c r="Q167" s="707"/>
      <c r="R167" s="704"/>
    </row>
    <row r="168" spans="1:18" x14ac:dyDescent="0.25">
      <c r="A168" s="552"/>
      <c r="B168" s="552" t="s">
        <v>407</v>
      </c>
      <c r="C168" s="545" t="s">
        <v>141</v>
      </c>
      <c r="D168" s="550">
        <v>168.43</v>
      </c>
      <c r="E168" s="546">
        <v>88457</v>
      </c>
      <c r="F168" s="635"/>
      <c r="G168" s="649"/>
      <c r="H168" s="650"/>
      <c r="I168" s="665"/>
      <c r="J168" s="666"/>
      <c r="K168" s="680"/>
      <c r="L168" s="681"/>
      <c r="M168" s="691"/>
      <c r="N168" s="735"/>
      <c r="O168" s="736"/>
      <c r="P168" s="698"/>
      <c r="Q168" s="707"/>
      <c r="R168" s="704"/>
    </row>
    <row r="169" spans="1:18" x14ac:dyDescent="0.25">
      <c r="A169" s="552"/>
      <c r="B169" s="552" t="s">
        <v>408</v>
      </c>
      <c r="C169" s="545" t="s">
        <v>142</v>
      </c>
      <c r="D169" s="550">
        <v>0.5</v>
      </c>
      <c r="E169" s="546">
        <v>53096</v>
      </c>
      <c r="F169" s="635"/>
      <c r="G169" s="649"/>
      <c r="H169" s="650"/>
      <c r="I169" s="665"/>
      <c r="J169" s="666"/>
      <c r="K169" s="680"/>
      <c r="L169" s="681"/>
      <c r="M169" s="691"/>
      <c r="N169" s="735"/>
      <c r="O169" s="736"/>
      <c r="P169" s="698"/>
      <c r="Q169" s="707"/>
      <c r="R169" s="704"/>
    </row>
    <row r="170" spans="1:18" x14ac:dyDescent="0.25">
      <c r="A170" s="552"/>
      <c r="B170" s="552" t="s">
        <v>409</v>
      </c>
      <c r="C170" s="545" t="s">
        <v>143</v>
      </c>
      <c r="D170" s="550">
        <v>1.6</v>
      </c>
      <c r="E170" s="546">
        <v>105629</v>
      </c>
      <c r="F170" s="635"/>
      <c r="G170" s="649"/>
      <c r="H170" s="650"/>
      <c r="I170" s="665"/>
      <c r="J170" s="666"/>
      <c r="K170" s="680"/>
      <c r="L170" s="681"/>
      <c r="M170" s="691"/>
      <c r="N170" s="735"/>
      <c r="O170" s="736"/>
      <c r="P170" s="698"/>
      <c r="Q170" s="707"/>
      <c r="R170" s="704"/>
    </row>
    <row r="171" spans="1:18" x14ac:dyDescent="0.25">
      <c r="A171" s="552"/>
      <c r="B171" s="552" t="s">
        <v>415</v>
      </c>
      <c r="C171" s="545" t="s">
        <v>194</v>
      </c>
      <c r="D171" s="550">
        <v>4</v>
      </c>
      <c r="E171" s="546">
        <v>110300</v>
      </c>
      <c r="F171" s="635"/>
      <c r="G171" s="649"/>
      <c r="H171" s="650"/>
      <c r="I171" s="665"/>
      <c r="J171" s="666"/>
      <c r="K171" s="680"/>
      <c r="L171" s="681"/>
      <c r="M171" s="691"/>
      <c r="N171" s="735"/>
      <c r="O171" s="736"/>
      <c r="P171" s="698"/>
      <c r="Q171" s="707"/>
      <c r="R171" s="704"/>
    </row>
    <row r="172" spans="1:18" x14ac:dyDescent="0.25">
      <c r="A172" s="552"/>
      <c r="B172" s="552" t="s">
        <v>416</v>
      </c>
      <c r="C172" s="545" t="s">
        <v>263</v>
      </c>
      <c r="D172" s="550">
        <v>1.1000000000000001</v>
      </c>
      <c r="E172" s="546">
        <v>42427</v>
      </c>
      <c r="F172" s="635"/>
      <c r="G172" s="649"/>
      <c r="H172" s="650"/>
      <c r="I172" s="665"/>
      <c r="J172" s="666"/>
      <c r="K172" s="680"/>
      <c r="L172" s="681"/>
      <c r="M172" s="691"/>
      <c r="N172" s="735"/>
      <c r="O172" s="736"/>
      <c r="P172" s="698"/>
      <c r="Q172" s="707"/>
      <c r="R172" s="704"/>
    </row>
    <row r="173" spans="1:18" x14ac:dyDescent="0.25">
      <c r="A173" s="552"/>
      <c r="B173" s="552" t="s">
        <v>417</v>
      </c>
      <c r="C173" s="545" t="s">
        <v>105</v>
      </c>
      <c r="D173" s="550">
        <v>761.88</v>
      </c>
      <c r="E173" s="546">
        <v>45160</v>
      </c>
      <c r="F173" s="635"/>
      <c r="G173" s="649"/>
      <c r="H173" s="650"/>
      <c r="I173" s="665"/>
      <c r="J173" s="666"/>
      <c r="K173" s="680"/>
      <c r="L173" s="681"/>
      <c r="M173" s="691"/>
      <c r="N173" s="735"/>
      <c r="O173" s="736"/>
      <c r="P173" s="698"/>
      <c r="Q173" s="707"/>
      <c r="R173" s="704"/>
    </row>
    <row r="174" spans="1:18" x14ac:dyDescent="0.25">
      <c r="A174" s="552"/>
      <c r="B174" s="552" t="s">
        <v>420</v>
      </c>
      <c r="C174" s="545" t="s">
        <v>108</v>
      </c>
      <c r="D174" s="550">
        <v>19.87</v>
      </c>
      <c r="E174" s="546">
        <v>54099</v>
      </c>
      <c r="F174" s="635"/>
      <c r="G174" s="649"/>
      <c r="H174" s="650"/>
      <c r="I174" s="665"/>
      <c r="J174" s="666"/>
      <c r="K174" s="680"/>
      <c r="L174" s="681"/>
      <c r="M174" s="691"/>
      <c r="N174" s="735"/>
      <c r="O174" s="736"/>
      <c r="P174" s="698"/>
      <c r="Q174" s="707"/>
      <c r="R174" s="704"/>
    </row>
    <row r="175" spans="1:18" x14ac:dyDescent="0.25">
      <c r="A175" s="552"/>
      <c r="B175" s="552" t="s">
        <v>422</v>
      </c>
      <c r="C175" s="545" t="s">
        <v>110</v>
      </c>
      <c r="D175" s="550">
        <v>15.99</v>
      </c>
      <c r="E175" s="546">
        <v>62701</v>
      </c>
      <c r="F175" s="635"/>
      <c r="G175" s="649"/>
      <c r="H175" s="650"/>
      <c r="I175" s="665"/>
      <c r="J175" s="666"/>
      <c r="K175" s="680"/>
      <c r="L175" s="681"/>
      <c r="M175" s="691"/>
      <c r="N175" s="735"/>
      <c r="O175" s="736"/>
      <c r="P175" s="698"/>
      <c r="Q175" s="707"/>
      <c r="R175" s="704"/>
    </row>
    <row r="176" spans="1:18" x14ac:dyDescent="0.25">
      <c r="A176" s="552"/>
      <c r="B176" s="552" t="s">
        <v>424</v>
      </c>
      <c r="C176" s="545" t="s">
        <v>112</v>
      </c>
      <c r="D176" s="550">
        <v>0.06</v>
      </c>
      <c r="E176" s="546">
        <v>59625</v>
      </c>
      <c r="F176" s="635"/>
      <c r="G176" s="649"/>
      <c r="H176" s="650"/>
      <c r="I176" s="665"/>
      <c r="J176" s="666"/>
      <c r="K176" s="680"/>
      <c r="L176" s="681"/>
      <c r="M176" s="691"/>
      <c r="N176" s="735"/>
      <c r="O176" s="736"/>
      <c r="P176" s="698"/>
      <c r="Q176" s="707"/>
      <c r="R176" s="704"/>
    </row>
    <row r="177" spans="1:18" x14ac:dyDescent="0.25">
      <c r="A177" s="241"/>
      <c r="B177" s="243"/>
      <c r="C177" s="241"/>
      <c r="D177" s="762"/>
      <c r="E177" s="638"/>
      <c r="F177" s="636">
        <f>SUM(D157:D171)</f>
        <v>982.04000000000008</v>
      </c>
      <c r="G177" s="651">
        <f>(SUMPRODUCT(D157:D171,E157:E171))</f>
        <v>80733872.969999999</v>
      </c>
      <c r="H177" s="652">
        <f>SUM(D157:D158)</f>
        <v>12.33</v>
      </c>
      <c r="I177" s="668">
        <f>(SUMPRODUCT(D157:D158,E157:E158))</f>
        <v>1721816.61</v>
      </c>
      <c r="J177" s="667">
        <f>SUM(D159:D171)</f>
        <v>969.70999999999992</v>
      </c>
      <c r="K177" s="682">
        <f>(SUMPRODUCT(D159:D171,E159:E171))</f>
        <v>79012056.359999999</v>
      </c>
      <c r="L177" s="683"/>
      <c r="M177" s="692"/>
      <c r="N177" s="737">
        <f>+H177+J177+L177</f>
        <v>982.04</v>
      </c>
      <c r="O177" s="738">
        <f>+I177+K177+M177</f>
        <v>80733872.969999999</v>
      </c>
      <c r="P177" s="699">
        <f>SUM(D172:D176)</f>
        <v>798.9</v>
      </c>
      <c r="Q177" s="708">
        <f>(SUMPRODUCT(D172:D176,E172:E176))</f>
        <v>36534284.120000005</v>
      </c>
      <c r="R177" s="704"/>
    </row>
    <row r="178" spans="1:18" x14ac:dyDescent="0.25">
      <c r="A178" s="552" t="s">
        <v>555</v>
      </c>
      <c r="B178" s="552" t="s">
        <v>287</v>
      </c>
      <c r="C178" s="545"/>
      <c r="D178" s="550"/>
      <c r="E178" s="546"/>
      <c r="F178" s="635"/>
      <c r="G178" s="649"/>
      <c r="H178" s="650"/>
      <c r="I178" s="665"/>
      <c r="J178" s="666"/>
      <c r="K178" s="680"/>
      <c r="L178" s="681"/>
      <c r="M178" s="691"/>
      <c r="N178" s="735"/>
      <c r="O178" s="736"/>
      <c r="P178" s="698"/>
      <c r="Q178" s="707"/>
      <c r="R178" s="704"/>
    </row>
    <row r="179" spans="1:18" x14ac:dyDescent="0.25">
      <c r="A179" s="552"/>
      <c r="B179" s="552" t="s">
        <v>392</v>
      </c>
      <c r="C179" s="545" t="s">
        <v>129</v>
      </c>
      <c r="D179" s="550">
        <v>0.16</v>
      </c>
      <c r="E179" s="546">
        <v>104663</v>
      </c>
      <c r="F179" s="635"/>
      <c r="G179" s="649"/>
      <c r="H179" s="650"/>
      <c r="I179" s="665"/>
      <c r="J179" s="666"/>
      <c r="K179" s="680"/>
      <c r="L179" s="681"/>
      <c r="M179" s="691"/>
      <c r="N179" s="735"/>
      <c r="O179" s="736"/>
      <c r="P179" s="698"/>
      <c r="Q179" s="707"/>
      <c r="R179" s="704"/>
    </row>
    <row r="180" spans="1:18" x14ac:dyDescent="0.25">
      <c r="A180" s="552"/>
      <c r="B180" s="552" t="s">
        <v>393</v>
      </c>
      <c r="C180" s="545" t="s">
        <v>136</v>
      </c>
      <c r="D180" s="550">
        <v>0.24</v>
      </c>
      <c r="E180" s="546">
        <v>347926</v>
      </c>
      <c r="F180" s="635"/>
      <c r="G180" s="649"/>
      <c r="H180" s="650"/>
      <c r="I180" s="665"/>
      <c r="J180" s="666"/>
      <c r="K180" s="680"/>
      <c r="L180" s="681"/>
      <c r="M180" s="691"/>
      <c r="N180" s="735"/>
      <c r="O180" s="736"/>
      <c r="P180" s="698"/>
      <c r="Q180" s="707"/>
      <c r="R180" s="704"/>
    </row>
    <row r="181" spans="1:18" x14ac:dyDescent="0.25">
      <c r="A181" s="552"/>
      <c r="B181" s="552" t="s">
        <v>395</v>
      </c>
      <c r="C181" s="545" t="s">
        <v>137</v>
      </c>
      <c r="D181" s="550">
        <v>0.76</v>
      </c>
      <c r="E181" s="546">
        <v>116811</v>
      </c>
      <c r="F181" s="635"/>
      <c r="G181" s="649"/>
      <c r="H181" s="650"/>
      <c r="I181" s="665"/>
      <c r="J181" s="666"/>
      <c r="K181" s="680"/>
      <c r="L181" s="681"/>
      <c r="M181" s="691"/>
      <c r="N181" s="735"/>
      <c r="O181" s="736"/>
      <c r="P181" s="698"/>
      <c r="Q181" s="707"/>
      <c r="R181" s="704"/>
    </row>
    <row r="182" spans="1:18" x14ac:dyDescent="0.25">
      <c r="A182" s="552"/>
      <c r="B182" s="552" t="s">
        <v>396</v>
      </c>
      <c r="C182" s="545" t="s">
        <v>145</v>
      </c>
      <c r="D182" s="550">
        <v>0.1</v>
      </c>
      <c r="E182" s="546">
        <v>147260</v>
      </c>
      <c r="F182" s="635"/>
      <c r="G182" s="649"/>
      <c r="H182" s="650"/>
      <c r="I182" s="665"/>
      <c r="J182" s="666"/>
      <c r="K182" s="680"/>
      <c r="L182" s="681"/>
      <c r="M182" s="691"/>
      <c r="N182" s="735"/>
      <c r="O182" s="736"/>
      <c r="P182" s="698"/>
      <c r="Q182" s="707"/>
      <c r="R182" s="704"/>
    </row>
    <row r="183" spans="1:18" x14ac:dyDescent="0.25">
      <c r="A183" s="552"/>
      <c r="B183" s="552" t="s">
        <v>397</v>
      </c>
      <c r="C183" s="545" t="s">
        <v>130</v>
      </c>
      <c r="D183" s="550">
        <v>0.02</v>
      </c>
      <c r="E183" s="546">
        <v>154529</v>
      </c>
      <c r="F183" s="635"/>
      <c r="G183" s="649"/>
      <c r="H183" s="650"/>
      <c r="I183" s="665"/>
      <c r="J183" s="666"/>
      <c r="K183" s="680"/>
      <c r="L183" s="681"/>
      <c r="M183" s="691"/>
      <c r="N183" s="735"/>
      <c r="O183" s="736"/>
      <c r="P183" s="698"/>
      <c r="Q183" s="707"/>
      <c r="R183" s="704"/>
    </row>
    <row r="184" spans="1:18" x14ac:dyDescent="0.25">
      <c r="A184" s="552"/>
      <c r="B184" s="552" t="s">
        <v>399</v>
      </c>
      <c r="C184" s="545" t="s">
        <v>131</v>
      </c>
      <c r="D184" s="550">
        <v>2.8</v>
      </c>
      <c r="E184" s="546">
        <v>66211</v>
      </c>
      <c r="F184" s="635"/>
      <c r="G184" s="649"/>
      <c r="H184" s="650"/>
      <c r="I184" s="665"/>
      <c r="J184" s="666"/>
      <c r="K184" s="680"/>
      <c r="L184" s="681"/>
      <c r="M184" s="691"/>
      <c r="N184" s="735"/>
      <c r="O184" s="736"/>
      <c r="P184" s="698"/>
      <c r="Q184" s="707"/>
      <c r="R184" s="704"/>
    </row>
    <row r="185" spans="1:18" x14ac:dyDescent="0.25">
      <c r="A185" s="552"/>
      <c r="B185" s="552" t="s">
        <v>400</v>
      </c>
      <c r="C185" s="545" t="s">
        <v>132</v>
      </c>
      <c r="D185" s="550">
        <v>3.5</v>
      </c>
      <c r="E185" s="546">
        <v>73614</v>
      </c>
      <c r="F185" s="635"/>
      <c r="G185" s="649"/>
      <c r="H185" s="650"/>
      <c r="I185" s="665"/>
      <c r="J185" s="666"/>
      <c r="K185" s="680"/>
      <c r="L185" s="681"/>
      <c r="M185" s="691"/>
      <c r="N185" s="735"/>
      <c r="O185" s="736"/>
      <c r="P185" s="698"/>
      <c r="Q185" s="707"/>
      <c r="R185" s="704"/>
    </row>
    <row r="186" spans="1:18" x14ac:dyDescent="0.25">
      <c r="A186" s="552"/>
      <c r="B186" s="552" t="s">
        <v>404</v>
      </c>
      <c r="C186" s="545" t="s">
        <v>139</v>
      </c>
      <c r="D186" s="550">
        <v>7.0000000000000007E-2</v>
      </c>
      <c r="E186" s="546">
        <v>60943</v>
      </c>
      <c r="F186" s="635"/>
      <c r="G186" s="649"/>
      <c r="H186" s="650"/>
      <c r="I186" s="665"/>
      <c r="J186" s="666"/>
      <c r="K186" s="680"/>
      <c r="L186" s="681"/>
      <c r="M186" s="691"/>
      <c r="N186" s="735"/>
      <c r="O186" s="736"/>
      <c r="P186" s="698"/>
      <c r="Q186" s="707"/>
      <c r="R186" s="704"/>
    </row>
    <row r="187" spans="1:18" x14ac:dyDescent="0.25">
      <c r="A187" s="552"/>
      <c r="B187" s="552" t="s">
        <v>405</v>
      </c>
      <c r="C187" s="545" t="s">
        <v>140</v>
      </c>
      <c r="D187" s="550">
        <v>0.75</v>
      </c>
      <c r="E187" s="546">
        <v>68016</v>
      </c>
      <c r="F187" s="635"/>
      <c r="G187" s="649"/>
      <c r="H187" s="650"/>
      <c r="I187" s="665"/>
      <c r="J187" s="666"/>
      <c r="K187" s="680"/>
      <c r="L187" s="681"/>
      <c r="M187" s="691"/>
      <c r="N187" s="735"/>
      <c r="O187" s="736"/>
      <c r="P187" s="698"/>
      <c r="Q187" s="707"/>
      <c r="R187" s="704"/>
    </row>
    <row r="188" spans="1:18" x14ac:dyDescent="0.25">
      <c r="A188" s="552"/>
      <c r="B188" s="552" t="s">
        <v>406</v>
      </c>
      <c r="C188" s="545" t="s">
        <v>261</v>
      </c>
      <c r="D188" s="550">
        <v>0.11</v>
      </c>
      <c r="E188" s="546">
        <v>72649</v>
      </c>
      <c r="F188" s="635"/>
      <c r="G188" s="649"/>
      <c r="H188" s="650"/>
      <c r="I188" s="665"/>
      <c r="J188" s="666"/>
      <c r="K188" s="680"/>
      <c r="L188" s="681"/>
      <c r="M188" s="691"/>
      <c r="N188" s="735"/>
      <c r="O188" s="736"/>
      <c r="P188" s="698"/>
      <c r="Q188" s="707"/>
      <c r="R188" s="704"/>
    </row>
    <row r="189" spans="1:18" x14ac:dyDescent="0.25">
      <c r="A189" s="552"/>
      <c r="B189" s="552" t="s">
        <v>407</v>
      </c>
      <c r="C189" s="545" t="s">
        <v>141</v>
      </c>
      <c r="D189" s="550">
        <v>1.07</v>
      </c>
      <c r="E189" s="546">
        <v>78410</v>
      </c>
      <c r="F189" s="635"/>
      <c r="G189" s="649"/>
      <c r="H189" s="650"/>
      <c r="I189" s="665"/>
      <c r="J189" s="666"/>
      <c r="K189" s="680"/>
      <c r="L189" s="681"/>
      <c r="M189" s="691"/>
      <c r="N189" s="735"/>
      <c r="O189" s="736"/>
      <c r="P189" s="698"/>
      <c r="Q189" s="707"/>
      <c r="R189" s="704"/>
    </row>
    <row r="190" spans="1:18" x14ac:dyDescent="0.25">
      <c r="A190" s="552"/>
      <c r="B190" s="552" t="s">
        <v>417</v>
      </c>
      <c r="C190" s="545" t="s">
        <v>105</v>
      </c>
      <c r="D190" s="550">
        <v>1.63</v>
      </c>
      <c r="E190" s="546">
        <v>49118</v>
      </c>
      <c r="F190" s="635"/>
      <c r="G190" s="649"/>
      <c r="H190" s="650"/>
      <c r="I190" s="665"/>
      <c r="J190" s="666"/>
      <c r="K190" s="680"/>
      <c r="L190" s="681"/>
      <c r="M190" s="691"/>
      <c r="N190" s="735"/>
      <c r="O190" s="736"/>
      <c r="P190" s="698"/>
      <c r="Q190" s="707"/>
      <c r="R190" s="704"/>
    </row>
    <row r="191" spans="1:18" x14ac:dyDescent="0.25">
      <c r="A191" s="552"/>
      <c r="B191" s="552" t="s">
        <v>420</v>
      </c>
      <c r="C191" s="545" t="s">
        <v>108</v>
      </c>
      <c r="D191" s="550">
        <v>0.95</v>
      </c>
      <c r="E191" s="546">
        <v>52943</v>
      </c>
      <c r="F191" s="635"/>
      <c r="G191" s="649"/>
      <c r="H191" s="650"/>
      <c r="I191" s="665"/>
      <c r="J191" s="666"/>
      <c r="K191" s="680"/>
      <c r="L191" s="681"/>
      <c r="M191" s="691"/>
      <c r="N191" s="735"/>
      <c r="O191" s="736"/>
      <c r="P191" s="698"/>
      <c r="Q191" s="707"/>
      <c r="R191" s="704"/>
    </row>
    <row r="192" spans="1:18" x14ac:dyDescent="0.25">
      <c r="A192" s="241"/>
      <c r="B192" s="243"/>
      <c r="C192" s="241"/>
      <c r="D192" s="762"/>
      <c r="E192" s="629"/>
      <c r="F192" s="636">
        <f>SUM(D179:D189)</f>
        <v>9.58</v>
      </c>
      <c r="G192" s="651">
        <f>(SUMPRODUCT(D179:D189,E179:E189))</f>
        <v>797049.15999999992</v>
      </c>
      <c r="H192" s="652">
        <f>SUM(D179:D183)</f>
        <v>1.2800000000000002</v>
      </c>
      <c r="I192" s="668">
        <f>(SUMPRODUCT(D179:D183,E179:E183))</f>
        <v>206841.25999999998</v>
      </c>
      <c r="J192" s="667">
        <f>SUM(D184:D189)</f>
        <v>8.3000000000000007</v>
      </c>
      <c r="K192" s="682">
        <f>(SUMPRODUCT(D184:D189,E184:E189))</f>
        <v>590207.9</v>
      </c>
      <c r="L192" s="683"/>
      <c r="M192" s="692"/>
      <c r="N192" s="737">
        <f>+H192+J192+L192</f>
        <v>9.5800000000000018</v>
      </c>
      <c r="O192" s="738">
        <f>+I192+K192+M192</f>
        <v>797049.16</v>
      </c>
      <c r="P192" s="699">
        <f>SUM(D190:D191)</f>
        <v>2.58</v>
      </c>
      <c r="Q192" s="708">
        <f>(SUMPRODUCT(D190:D191,E190:E191))</f>
        <v>130358.19</v>
      </c>
      <c r="R192" s="704"/>
    </row>
    <row r="193" spans="1:18" x14ac:dyDescent="0.25">
      <c r="A193" s="552" t="s">
        <v>556</v>
      </c>
      <c r="B193" s="552" t="s">
        <v>288</v>
      </c>
      <c r="C193" s="545"/>
      <c r="D193" s="550"/>
      <c r="E193" s="546"/>
      <c r="F193" s="635"/>
      <c r="G193" s="649"/>
      <c r="H193" s="650"/>
      <c r="I193" s="665"/>
      <c r="J193" s="666"/>
      <c r="K193" s="680"/>
      <c r="L193" s="681"/>
      <c r="M193" s="691"/>
      <c r="N193" s="735"/>
      <c r="O193" s="736"/>
      <c r="P193" s="698"/>
      <c r="Q193" s="707"/>
      <c r="R193" s="704"/>
    </row>
    <row r="194" spans="1:18" x14ac:dyDescent="0.25">
      <c r="A194" s="552"/>
      <c r="B194" s="552" t="s">
        <v>392</v>
      </c>
      <c r="C194" s="545" t="s">
        <v>129</v>
      </c>
      <c r="D194" s="550">
        <v>2.13</v>
      </c>
      <c r="E194" s="546">
        <v>130017</v>
      </c>
      <c r="F194" s="635"/>
      <c r="G194" s="649"/>
      <c r="H194" s="650"/>
      <c r="I194" s="665"/>
      <c r="J194" s="666"/>
      <c r="K194" s="680"/>
      <c r="L194" s="681"/>
      <c r="M194" s="691"/>
      <c r="N194" s="735"/>
      <c r="O194" s="736"/>
      <c r="P194" s="698"/>
      <c r="Q194" s="707"/>
      <c r="R194" s="704"/>
    </row>
    <row r="195" spans="1:18" x14ac:dyDescent="0.25">
      <c r="A195" s="552"/>
      <c r="B195" s="552" t="s">
        <v>398</v>
      </c>
      <c r="C195" s="545" t="s">
        <v>502</v>
      </c>
      <c r="D195" s="550">
        <v>3.5</v>
      </c>
      <c r="E195" s="546">
        <v>69291</v>
      </c>
      <c r="F195" s="635"/>
      <c r="G195" s="649"/>
      <c r="H195" s="650"/>
      <c r="I195" s="665"/>
      <c r="J195" s="666"/>
      <c r="K195" s="680"/>
      <c r="L195" s="681"/>
      <c r="M195" s="691"/>
      <c r="N195" s="735"/>
      <c r="O195" s="736"/>
      <c r="P195" s="698"/>
      <c r="Q195" s="707"/>
      <c r="R195" s="704"/>
    </row>
    <row r="196" spans="1:18" x14ac:dyDescent="0.25">
      <c r="A196" s="552"/>
      <c r="B196" s="552" t="s">
        <v>399</v>
      </c>
      <c r="C196" s="545" t="s">
        <v>131</v>
      </c>
      <c r="D196" s="550">
        <v>4</v>
      </c>
      <c r="E196" s="546">
        <v>100028</v>
      </c>
      <c r="F196" s="635"/>
      <c r="G196" s="649"/>
      <c r="H196" s="650"/>
      <c r="I196" s="665"/>
      <c r="J196" s="666"/>
      <c r="K196" s="680"/>
      <c r="L196" s="681"/>
      <c r="M196" s="691"/>
      <c r="N196" s="735"/>
      <c r="O196" s="736"/>
      <c r="P196" s="698"/>
      <c r="Q196" s="707"/>
      <c r="R196" s="704"/>
    </row>
    <row r="197" spans="1:18" x14ac:dyDescent="0.25">
      <c r="A197" s="552"/>
      <c r="B197" s="552" t="s">
        <v>400</v>
      </c>
      <c r="C197" s="545" t="s">
        <v>132</v>
      </c>
      <c r="D197" s="550">
        <v>8.49</v>
      </c>
      <c r="E197" s="546">
        <v>93734</v>
      </c>
      <c r="F197" s="635"/>
      <c r="G197" s="649"/>
      <c r="H197" s="650"/>
      <c r="I197" s="665"/>
      <c r="J197" s="666"/>
      <c r="K197" s="680"/>
      <c r="L197" s="681"/>
      <c r="M197" s="691"/>
      <c r="N197" s="735"/>
      <c r="O197" s="736"/>
      <c r="P197" s="698"/>
      <c r="Q197" s="707"/>
      <c r="R197" s="704"/>
    </row>
    <row r="198" spans="1:18" x14ac:dyDescent="0.25">
      <c r="A198" s="552"/>
      <c r="B198" s="552" t="s">
        <v>417</v>
      </c>
      <c r="C198" s="545" t="s">
        <v>105</v>
      </c>
      <c r="D198" s="550">
        <v>12.77</v>
      </c>
      <c r="E198" s="546">
        <v>45180</v>
      </c>
      <c r="F198" s="635"/>
      <c r="G198" s="649"/>
      <c r="H198" s="650"/>
      <c r="I198" s="665"/>
      <c r="J198" s="666"/>
      <c r="K198" s="680"/>
      <c r="L198" s="681"/>
      <c r="M198" s="691"/>
      <c r="N198" s="735"/>
      <c r="O198" s="736"/>
      <c r="P198" s="698"/>
      <c r="Q198" s="707"/>
      <c r="R198" s="704"/>
    </row>
    <row r="199" spans="1:18" x14ac:dyDescent="0.25">
      <c r="A199" s="241"/>
      <c r="B199" s="243"/>
      <c r="C199" s="241"/>
      <c r="D199" s="762"/>
      <c r="E199" s="629"/>
      <c r="F199" s="636">
        <f>SUM(D194:D197)</f>
        <v>18.119999999999997</v>
      </c>
      <c r="G199" s="651">
        <f>(SUMPRODUCT(D194:D197,E194:E197))</f>
        <v>1715368.37</v>
      </c>
      <c r="H199" s="652">
        <f>SUM(D194:D194)</f>
        <v>2.13</v>
      </c>
      <c r="I199" s="668">
        <f>(SUMPRODUCT(D194:D194,E194:E194))</f>
        <v>276936.20999999996</v>
      </c>
      <c r="J199" s="667">
        <f>SUM(D195:D197)</f>
        <v>15.99</v>
      </c>
      <c r="K199" s="682">
        <f>(SUMPRODUCT(D195:D197,E195:E197))</f>
        <v>1438432.1600000001</v>
      </c>
      <c r="L199" s="683"/>
      <c r="M199" s="692"/>
      <c r="N199" s="737">
        <f>+H199+J199+L199</f>
        <v>18.12</v>
      </c>
      <c r="O199" s="738">
        <f>+I199+K199+M199</f>
        <v>1715368.37</v>
      </c>
      <c r="P199" s="699">
        <f>SUM(D198:D198)</f>
        <v>12.77</v>
      </c>
      <c r="Q199" s="708">
        <f>(SUMPRODUCT(D198:D198,E198:E198))</f>
        <v>576948.6</v>
      </c>
      <c r="R199" s="704"/>
    </row>
    <row r="200" spans="1:18" x14ac:dyDescent="0.25">
      <c r="A200" s="552" t="s">
        <v>398</v>
      </c>
      <c r="B200" s="552" t="s">
        <v>289</v>
      </c>
      <c r="C200" s="545"/>
      <c r="D200" s="550"/>
      <c r="E200" s="546"/>
      <c r="F200" s="639"/>
      <c r="G200" s="651"/>
      <c r="H200" s="650"/>
      <c r="I200" s="668"/>
      <c r="J200" s="666"/>
      <c r="K200" s="682"/>
      <c r="L200" s="681"/>
      <c r="M200" s="692"/>
      <c r="N200" s="735"/>
      <c r="O200" s="738"/>
      <c r="P200" s="698"/>
      <c r="Q200" s="708"/>
      <c r="R200" s="704"/>
    </row>
    <row r="201" spans="1:18" x14ac:dyDescent="0.25">
      <c r="A201" s="552"/>
      <c r="B201" s="552" t="s">
        <v>391</v>
      </c>
      <c r="C201" s="545" t="s">
        <v>128</v>
      </c>
      <c r="D201" s="550">
        <v>1.07</v>
      </c>
      <c r="E201" s="546">
        <v>190903</v>
      </c>
      <c r="F201" s="635"/>
      <c r="G201" s="649"/>
      <c r="H201" s="650"/>
      <c r="I201" s="665"/>
      <c r="J201" s="666"/>
      <c r="K201" s="680"/>
      <c r="L201" s="681"/>
      <c r="M201" s="691"/>
      <c r="N201" s="735"/>
      <c r="O201" s="736"/>
      <c r="P201" s="698"/>
      <c r="Q201" s="707"/>
      <c r="R201" s="704"/>
    </row>
    <row r="202" spans="1:18" x14ac:dyDescent="0.25">
      <c r="A202" s="552"/>
      <c r="B202" s="552" t="s">
        <v>392</v>
      </c>
      <c r="C202" s="545" t="s">
        <v>129</v>
      </c>
      <c r="D202" s="550">
        <v>64.510000000000005</v>
      </c>
      <c r="E202" s="546">
        <v>140681</v>
      </c>
      <c r="F202" s="635"/>
      <c r="G202" s="649"/>
      <c r="H202" s="650"/>
      <c r="I202" s="665"/>
      <c r="J202" s="666"/>
      <c r="K202" s="680"/>
      <c r="L202" s="681"/>
      <c r="M202" s="691"/>
      <c r="N202" s="735"/>
      <c r="O202" s="736"/>
      <c r="P202" s="698"/>
      <c r="Q202" s="707"/>
      <c r="R202" s="704"/>
    </row>
    <row r="203" spans="1:18" x14ac:dyDescent="0.25">
      <c r="A203" s="552"/>
      <c r="B203" s="552" t="s">
        <v>396</v>
      </c>
      <c r="C203" s="545" t="s">
        <v>145</v>
      </c>
      <c r="D203" s="550">
        <v>1.62</v>
      </c>
      <c r="E203" s="546">
        <v>133296</v>
      </c>
      <c r="F203" s="635"/>
      <c r="G203" s="649"/>
      <c r="H203" s="650"/>
      <c r="I203" s="665"/>
      <c r="J203" s="666"/>
      <c r="K203" s="680"/>
      <c r="L203" s="681"/>
      <c r="M203" s="691"/>
      <c r="N203" s="735"/>
      <c r="O203" s="736"/>
      <c r="P203" s="698"/>
      <c r="Q203" s="707"/>
      <c r="R203" s="704"/>
    </row>
    <row r="204" spans="1:18" x14ac:dyDescent="0.25">
      <c r="A204" s="552"/>
      <c r="B204" s="552" t="s">
        <v>397</v>
      </c>
      <c r="C204" s="545" t="s">
        <v>130</v>
      </c>
      <c r="D204" s="550">
        <v>35.659999999999997</v>
      </c>
      <c r="E204" s="546">
        <v>135572</v>
      </c>
      <c r="F204" s="635"/>
      <c r="G204" s="649"/>
      <c r="H204" s="650"/>
      <c r="I204" s="665"/>
      <c r="J204" s="666"/>
      <c r="K204" s="680"/>
      <c r="L204" s="681"/>
      <c r="M204" s="691"/>
      <c r="N204" s="735"/>
      <c r="O204" s="736"/>
      <c r="P204" s="698"/>
      <c r="Q204" s="707"/>
      <c r="R204" s="704"/>
    </row>
    <row r="205" spans="1:18" x14ac:dyDescent="0.25">
      <c r="A205" s="552"/>
      <c r="B205" s="552" t="s">
        <v>398</v>
      </c>
      <c r="C205" s="545" t="s">
        <v>502</v>
      </c>
      <c r="D205" s="550">
        <v>0.31</v>
      </c>
      <c r="E205" s="546">
        <v>79103</v>
      </c>
      <c r="F205" s="635"/>
      <c r="G205" s="649"/>
      <c r="H205" s="650"/>
      <c r="I205" s="665"/>
      <c r="J205" s="666"/>
      <c r="K205" s="680"/>
      <c r="L205" s="681"/>
      <c r="M205" s="691"/>
      <c r="N205" s="735"/>
      <c r="O205" s="736"/>
      <c r="P205" s="698"/>
      <c r="Q205" s="707"/>
      <c r="R205" s="704"/>
    </row>
    <row r="206" spans="1:18" x14ac:dyDescent="0.25">
      <c r="A206" s="552"/>
      <c r="B206" s="552" t="s">
        <v>399</v>
      </c>
      <c r="C206" s="545" t="s">
        <v>131</v>
      </c>
      <c r="D206" s="550">
        <v>2697.26</v>
      </c>
      <c r="E206" s="546">
        <v>79245</v>
      </c>
      <c r="F206" s="635"/>
      <c r="G206" s="649"/>
      <c r="H206" s="650"/>
      <c r="I206" s="665"/>
      <c r="J206" s="666"/>
      <c r="K206" s="680"/>
      <c r="L206" s="681"/>
      <c r="M206" s="691"/>
      <c r="N206" s="735"/>
      <c r="O206" s="736"/>
      <c r="P206" s="698"/>
      <c r="Q206" s="707"/>
      <c r="R206" s="704"/>
    </row>
    <row r="207" spans="1:18" x14ac:dyDescent="0.25">
      <c r="A207" s="552"/>
      <c r="B207" s="552" t="s">
        <v>400</v>
      </c>
      <c r="C207" s="545" t="s">
        <v>132</v>
      </c>
      <c r="D207" s="550">
        <v>18.97</v>
      </c>
      <c r="E207" s="546">
        <v>81447</v>
      </c>
      <c r="F207" s="635"/>
      <c r="G207" s="649"/>
      <c r="H207" s="650"/>
      <c r="I207" s="665"/>
      <c r="J207" s="666"/>
      <c r="K207" s="680"/>
      <c r="L207" s="681"/>
      <c r="M207" s="691"/>
      <c r="N207" s="735"/>
      <c r="O207" s="736"/>
      <c r="P207" s="698"/>
      <c r="Q207" s="707"/>
      <c r="R207" s="704"/>
    </row>
    <row r="208" spans="1:18" x14ac:dyDescent="0.25">
      <c r="A208" s="552"/>
      <c r="B208" s="552" t="s">
        <v>401</v>
      </c>
      <c r="C208" s="545" t="s">
        <v>133</v>
      </c>
      <c r="D208" s="550">
        <v>38.5</v>
      </c>
      <c r="E208" s="546">
        <v>92474</v>
      </c>
      <c r="F208" s="639"/>
      <c r="G208" s="651"/>
      <c r="H208" s="650"/>
      <c r="I208" s="668"/>
      <c r="J208" s="666"/>
      <c r="K208" s="682"/>
      <c r="L208" s="681"/>
      <c r="M208" s="692"/>
      <c r="N208" s="735"/>
      <c r="O208" s="738"/>
      <c r="P208" s="698"/>
      <c r="Q208" s="708"/>
      <c r="R208" s="704"/>
    </row>
    <row r="209" spans="1:18" x14ac:dyDescent="0.25">
      <c r="A209" s="552"/>
      <c r="B209" s="552" t="s">
        <v>402</v>
      </c>
      <c r="C209" s="545" t="s">
        <v>144</v>
      </c>
      <c r="D209" s="550">
        <v>7.16</v>
      </c>
      <c r="E209" s="546">
        <v>95636</v>
      </c>
      <c r="F209" s="639"/>
      <c r="G209" s="651"/>
      <c r="H209" s="650"/>
      <c r="I209" s="668"/>
      <c r="J209" s="666"/>
      <c r="K209" s="682"/>
      <c r="L209" s="681"/>
      <c r="M209" s="692"/>
      <c r="N209" s="735"/>
      <c r="O209" s="738"/>
      <c r="P209" s="698"/>
      <c r="Q209" s="708"/>
      <c r="R209" s="704"/>
    </row>
    <row r="210" spans="1:18" x14ac:dyDescent="0.25">
      <c r="A210" s="552"/>
      <c r="B210" s="552" t="s">
        <v>403</v>
      </c>
      <c r="C210" s="545" t="s">
        <v>138</v>
      </c>
      <c r="D210" s="550">
        <v>112.74</v>
      </c>
      <c r="E210" s="546">
        <v>84942</v>
      </c>
      <c r="F210" s="639"/>
      <c r="G210" s="651"/>
      <c r="H210" s="650"/>
      <c r="I210" s="668"/>
      <c r="J210" s="666"/>
      <c r="K210" s="682"/>
      <c r="L210" s="681"/>
      <c r="M210" s="692"/>
      <c r="N210" s="735"/>
      <c r="O210" s="738"/>
      <c r="P210" s="698"/>
      <c r="Q210" s="708"/>
      <c r="R210" s="704"/>
    </row>
    <row r="211" spans="1:18" x14ac:dyDescent="0.25">
      <c r="A211" s="552"/>
      <c r="B211" s="552" t="s">
        <v>406</v>
      </c>
      <c r="C211" s="545" t="s">
        <v>261</v>
      </c>
      <c r="D211" s="550">
        <v>0</v>
      </c>
      <c r="E211" s="546">
        <v>96000</v>
      </c>
      <c r="F211" s="639"/>
      <c r="G211" s="651"/>
      <c r="H211" s="650"/>
      <c r="I211" s="668"/>
      <c r="J211" s="666"/>
      <c r="K211" s="682"/>
      <c r="L211" s="681"/>
      <c r="M211" s="692"/>
      <c r="N211" s="735"/>
      <c r="O211" s="738"/>
      <c r="P211" s="698"/>
      <c r="Q211" s="708"/>
      <c r="R211" s="704"/>
    </row>
    <row r="212" spans="1:18" x14ac:dyDescent="0.25">
      <c r="A212" s="552"/>
      <c r="B212" s="552" t="s">
        <v>412</v>
      </c>
      <c r="C212" s="545" t="s">
        <v>135</v>
      </c>
      <c r="D212" s="550">
        <v>1</v>
      </c>
      <c r="E212" s="546">
        <v>70969</v>
      </c>
      <c r="F212" s="639"/>
      <c r="G212" s="651"/>
      <c r="H212" s="650"/>
      <c r="I212" s="668"/>
      <c r="J212" s="666"/>
      <c r="K212" s="682"/>
      <c r="L212" s="681"/>
      <c r="M212" s="692"/>
      <c r="N212" s="735"/>
      <c r="O212" s="738"/>
      <c r="P212" s="698"/>
      <c r="Q212" s="708"/>
      <c r="R212" s="704"/>
    </row>
    <row r="213" spans="1:18" x14ac:dyDescent="0.25">
      <c r="A213" s="552"/>
      <c r="B213" s="552" t="s">
        <v>417</v>
      </c>
      <c r="C213" s="545" t="s">
        <v>105</v>
      </c>
      <c r="D213" s="550">
        <v>115.56</v>
      </c>
      <c r="E213" s="546">
        <v>47911</v>
      </c>
      <c r="F213" s="635"/>
      <c r="G213" s="649"/>
      <c r="H213" s="650"/>
      <c r="I213" s="665"/>
      <c r="J213" s="666"/>
      <c r="K213" s="680"/>
      <c r="L213" s="681"/>
      <c r="M213" s="691"/>
      <c r="N213" s="735"/>
      <c r="O213" s="736"/>
      <c r="P213" s="698"/>
      <c r="Q213" s="707"/>
      <c r="R213" s="704"/>
    </row>
    <row r="214" spans="1:18" x14ac:dyDescent="0.25">
      <c r="A214" s="552"/>
      <c r="B214" s="552" t="s">
        <v>420</v>
      </c>
      <c r="C214" s="545" t="s">
        <v>108</v>
      </c>
      <c r="D214" s="550">
        <v>118.7</v>
      </c>
      <c r="E214" s="546">
        <v>55345</v>
      </c>
      <c r="F214" s="635"/>
      <c r="G214" s="649"/>
      <c r="H214" s="650"/>
      <c r="I214" s="665"/>
      <c r="J214" s="666"/>
      <c r="K214" s="680"/>
      <c r="L214" s="681"/>
      <c r="M214" s="691"/>
      <c r="N214" s="735"/>
      <c r="O214" s="736"/>
      <c r="P214" s="698"/>
      <c r="Q214" s="707"/>
      <c r="R214" s="704"/>
    </row>
    <row r="215" spans="1:18" x14ac:dyDescent="0.25">
      <c r="A215" s="552"/>
      <c r="B215" s="552" t="s">
        <v>421</v>
      </c>
      <c r="C215" s="545" t="s">
        <v>109</v>
      </c>
      <c r="D215" s="550">
        <v>0.5</v>
      </c>
      <c r="E215" s="546">
        <v>77848</v>
      </c>
      <c r="F215" s="635"/>
      <c r="G215" s="649"/>
      <c r="H215" s="650"/>
      <c r="I215" s="665"/>
      <c r="J215" s="666"/>
      <c r="K215" s="680"/>
      <c r="L215" s="681"/>
      <c r="M215" s="691"/>
      <c r="N215" s="735"/>
      <c r="O215" s="736"/>
      <c r="P215" s="698"/>
      <c r="Q215" s="707"/>
      <c r="R215" s="704"/>
    </row>
    <row r="216" spans="1:18" x14ac:dyDescent="0.25">
      <c r="A216" s="552"/>
      <c r="B216" s="552" t="s">
        <v>422</v>
      </c>
      <c r="C216" s="545" t="s">
        <v>110</v>
      </c>
      <c r="D216" s="550">
        <v>29.11</v>
      </c>
      <c r="E216" s="546">
        <v>73865</v>
      </c>
      <c r="F216" s="635"/>
      <c r="G216" s="649"/>
      <c r="H216" s="650"/>
      <c r="I216" s="665"/>
      <c r="J216" s="666"/>
      <c r="K216" s="680"/>
      <c r="L216" s="681"/>
      <c r="M216" s="691"/>
      <c r="N216" s="735"/>
      <c r="O216" s="736"/>
      <c r="P216" s="698"/>
      <c r="Q216" s="707"/>
      <c r="R216" s="704"/>
    </row>
    <row r="217" spans="1:18" x14ac:dyDescent="0.25">
      <c r="A217" s="552"/>
      <c r="B217" s="552" t="s">
        <v>423</v>
      </c>
      <c r="C217" s="545" t="s">
        <v>111</v>
      </c>
      <c r="D217" s="550">
        <v>3.14</v>
      </c>
      <c r="E217" s="546">
        <v>58104</v>
      </c>
      <c r="F217" s="635"/>
      <c r="G217" s="649"/>
      <c r="H217" s="650"/>
      <c r="I217" s="665"/>
      <c r="J217" s="666"/>
      <c r="K217" s="680"/>
      <c r="L217" s="681"/>
      <c r="M217" s="691"/>
      <c r="N217" s="735"/>
      <c r="O217" s="736"/>
      <c r="P217" s="698"/>
      <c r="Q217" s="707"/>
      <c r="R217" s="704"/>
    </row>
    <row r="218" spans="1:18" x14ac:dyDescent="0.25">
      <c r="A218" s="552"/>
      <c r="B218" s="552" t="s">
        <v>424</v>
      </c>
      <c r="C218" s="545" t="s">
        <v>112</v>
      </c>
      <c r="D218" s="550">
        <v>38.909999999999997</v>
      </c>
      <c r="E218" s="546">
        <v>69371</v>
      </c>
      <c r="F218" s="635"/>
      <c r="G218" s="649"/>
      <c r="H218" s="650"/>
      <c r="I218" s="665"/>
      <c r="J218" s="666"/>
      <c r="K218" s="680"/>
      <c r="L218" s="681"/>
      <c r="M218" s="691"/>
      <c r="N218" s="735"/>
      <c r="O218" s="736"/>
      <c r="P218" s="698"/>
      <c r="Q218" s="707"/>
      <c r="R218" s="704"/>
    </row>
    <row r="219" spans="1:18" x14ac:dyDescent="0.25">
      <c r="A219" s="552"/>
      <c r="B219" s="552" t="s">
        <v>425</v>
      </c>
      <c r="C219" s="545" t="s">
        <v>104</v>
      </c>
      <c r="D219" s="550">
        <v>5.16</v>
      </c>
      <c r="E219" s="546">
        <v>113589</v>
      </c>
      <c r="F219" s="635"/>
      <c r="G219" s="649"/>
      <c r="H219" s="650"/>
      <c r="I219" s="665"/>
      <c r="J219" s="666"/>
      <c r="K219" s="680"/>
      <c r="L219" s="681"/>
      <c r="M219" s="691"/>
      <c r="N219" s="735"/>
      <c r="O219" s="736"/>
      <c r="P219" s="698"/>
      <c r="Q219" s="707"/>
      <c r="R219" s="704"/>
    </row>
    <row r="220" spans="1:18" x14ac:dyDescent="0.25">
      <c r="A220" s="241"/>
      <c r="B220" s="243"/>
      <c r="C220" s="241"/>
      <c r="D220" s="762"/>
      <c r="E220" s="629"/>
      <c r="F220" s="636">
        <f>SUM(D201:D212)</f>
        <v>2978.7999999999997</v>
      </c>
      <c r="G220" s="651">
        <f>(SUMPRODUCT(D201:D212,E201:E212))</f>
        <v>243536307.62000003</v>
      </c>
      <c r="H220" s="652">
        <f>SUM(D201:D204)</f>
        <v>102.86</v>
      </c>
      <c r="I220" s="668">
        <f>(SUMPRODUCT(D201:D204,E201:E204))</f>
        <v>14330034.560000001</v>
      </c>
      <c r="J220" s="667">
        <f>SUM(D205:D211)</f>
        <v>2874.9399999999996</v>
      </c>
      <c r="K220" s="682">
        <f>(SUMPRODUCT(D205:D211,E205:E211))</f>
        <v>229135304.06000003</v>
      </c>
      <c r="L220" s="683">
        <f>SUM(D212:D212)</f>
        <v>1</v>
      </c>
      <c r="M220" s="692">
        <f>(SUMPRODUCT(D212:D212,E212:E212))</f>
        <v>70969</v>
      </c>
      <c r="N220" s="737">
        <f>+H220+J220+L220</f>
        <v>2978.7999999999997</v>
      </c>
      <c r="O220" s="738">
        <f>+I220+K220+M220</f>
        <v>243536307.62000003</v>
      </c>
      <c r="P220" s="699">
        <f>SUM(D213:D219)</f>
        <v>311.08</v>
      </c>
      <c r="Q220" s="708">
        <f>(SUMPRODUCT(D213:D219,E213:E219))</f>
        <v>17762972.219999999</v>
      </c>
      <c r="R220" s="704"/>
    </row>
    <row r="221" spans="1:18" x14ac:dyDescent="0.25">
      <c r="A221" s="552" t="s">
        <v>503</v>
      </c>
      <c r="B221" s="552" t="s">
        <v>341</v>
      </c>
      <c r="C221" s="545"/>
      <c r="D221" s="550"/>
      <c r="E221" s="546"/>
      <c r="F221" s="635"/>
      <c r="G221" s="649"/>
      <c r="H221" s="650"/>
      <c r="I221" s="665"/>
      <c r="J221" s="666"/>
      <c r="K221" s="680"/>
      <c r="L221" s="681"/>
      <c r="M221" s="691"/>
      <c r="N221" s="735"/>
      <c r="O221" s="736"/>
      <c r="P221" s="698"/>
      <c r="Q221" s="707"/>
      <c r="R221" s="704"/>
    </row>
    <row r="222" spans="1:18" x14ac:dyDescent="0.25">
      <c r="A222" s="552"/>
      <c r="B222" s="552" t="s">
        <v>392</v>
      </c>
      <c r="C222" s="545" t="s">
        <v>129</v>
      </c>
      <c r="D222" s="550">
        <v>15.15</v>
      </c>
      <c r="E222" s="546">
        <v>140021</v>
      </c>
      <c r="F222" s="639"/>
      <c r="G222" s="651"/>
      <c r="H222" s="650"/>
      <c r="I222" s="668"/>
      <c r="J222" s="666"/>
      <c r="K222" s="682"/>
      <c r="L222" s="681"/>
      <c r="M222" s="692"/>
      <c r="N222" s="735"/>
      <c r="O222" s="738"/>
      <c r="P222" s="698"/>
      <c r="Q222" s="708"/>
      <c r="R222" s="704"/>
    </row>
    <row r="223" spans="1:18" x14ac:dyDescent="0.25">
      <c r="A223" s="552"/>
      <c r="B223" s="552" t="s">
        <v>397</v>
      </c>
      <c r="C223" s="545" t="s">
        <v>130</v>
      </c>
      <c r="D223" s="550">
        <v>7.54</v>
      </c>
      <c r="E223" s="546">
        <v>134750</v>
      </c>
      <c r="F223" s="639"/>
      <c r="G223" s="651"/>
      <c r="H223" s="650"/>
      <c r="I223" s="668"/>
      <c r="J223" s="666"/>
      <c r="K223" s="682"/>
      <c r="L223" s="681"/>
      <c r="M223" s="692"/>
      <c r="N223" s="735"/>
      <c r="O223" s="738"/>
      <c r="P223" s="698"/>
      <c r="Q223" s="708"/>
      <c r="R223" s="704"/>
    </row>
    <row r="224" spans="1:18" x14ac:dyDescent="0.25">
      <c r="A224" s="552"/>
      <c r="B224" s="552" t="s">
        <v>398</v>
      </c>
      <c r="C224" s="545" t="s">
        <v>502</v>
      </c>
      <c r="D224" s="550">
        <v>11.54</v>
      </c>
      <c r="E224" s="546">
        <v>78928</v>
      </c>
      <c r="F224" s="639"/>
      <c r="G224" s="651"/>
      <c r="H224" s="650"/>
      <c r="I224" s="668"/>
      <c r="J224" s="666"/>
      <c r="K224" s="682"/>
      <c r="L224" s="681"/>
      <c r="M224" s="692"/>
      <c r="N224" s="735"/>
      <c r="O224" s="738"/>
      <c r="P224" s="698"/>
      <c r="Q224" s="708"/>
      <c r="R224" s="704"/>
    </row>
    <row r="225" spans="1:18" x14ac:dyDescent="0.25">
      <c r="A225" s="552"/>
      <c r="B225" s="552" t="s">
        <v>399</v>
      </c>
      <c r="C225" s="545" t="s">
        <v>131</v>
      </c>
      <c r="D225" s="550">
        <v>492.08</v>
      </c>
      <c r="E225" s="546">
        <v>81160</v>
      </c>
      <c r="F225" s="639"/>
      <c r="G225" s="651"/>
      <c r="H225" s="650"/>
      <c r="I225" s="668"/>
      <c r="J225" s="666"/>
      <c r="K225" s="682"/>
      <c r="L225" s="681"/>
      <c r="M225" s="692"/>
      <c r="N225" s="735"/>
      <c r="O225" s="738"/>
      <c r="P225" s="698"/>
      <c r="Q225" s="708"/>
      <c r="R225" s="704"/>
    </row>
    <row r="226" spans="1:18" x14ac:dyDescent="0.25">
      <c r="A226" s="552"/>
      <c r="B226" s="552" t="s">
        <v>400</v>
      </c>
      <c r="C226" s="545" t="s">
        <v>132</v>
      </c>
      <c r="D226" s="550">
        <v>3.8</v>
      </c>
      <c r="E226" s="546">
        <v>86478</v>
      </c>
      <c r="F226" s="639"/>
      <c r="G226" s="651"/>
      <c r="H226" s="650"/>
      <c r="I226" s="668"/>
      <c r="J226" s="666"/>
      <c r="K226" s="682"/>
      <c r="L226" s="681"/>
      <c r="M226" s="692"/>
      <c r="N226" s="735"/>
      <c r="O226" s="738"/>
      <c r="P226" s="698"/>
      <c r="Q226" s="708"/>
      <c r="R226" s="704"/>
    </row>
    <row r="227" spans="1:18" x14ac:dyDescent="0.25">
      <c r="A227" s="552"/>
      <c r="B227" s="552" t="s">
        <v>401</v>
      </c>
      <c r="C227" s="545" t="s">
        <v>133</v>
      </c>
      <c r="D227" s="550">
        <v>9.74</v>
      </c>
      <c r="E227" s="546">
        <v>96656</v>
      </c>
      <c r="F227" s="635"/>
      <c r="G227" s="649"/>
      <c r="H227" s="650"/>
      <c r="I227" s="665"/>
      <c r="J227" s="666"/>
      <c r="K227" s="680"/>
      <c r="L227" s="681"/>
      <c r="M227" s="691"/>
      <c r="N227" s="735"/>
      <c r="O227" s="736"/>
      <c r="P227" s="698"/>
      <c r="Q227" s="707"/>
      <c r="R227" s="704"/>
    </row>
    <row r="228" spans="1:18" x14ac:dyDescent="0.25">
      <c r="A228" s="552"/>
      <c r="B228" s="552" t="s">
        <v>402</v>
      </c>
      <c r="C228" s="545" t="s">
        <v>144</v>
      </c>
      <c r="D228" s="550">
        <v>1.01</v>
      </c>
      <c r="E228" s="546">
        <v>96575</v>
      </c>
      <c r="F228" s="639"/>
      <c r="G228" s="651"/>
      <c r="H228" s="650"/>
      <c r="I228" s="668"/>
      <c r="J228" s="666"/>
      <c r="K228" s="682"/>
      <c r="L228" s="681"/>
      <c r="M228" s="692"/>
      <c r="N228" s="735"/>
      <c r="O228" s="738"/>
      <c r="P228" s="698"/>
      <c r="Q228" s="708"/>
      <c r="R228" s="704"/>
    </row>
    <row r="229" spans="1:18" x14ac:dyDescent="0.25">
      <c r="A229" s="552"/>
      <c r="B229" s="552" t="s">
        <v>403</v>
      </c>
      <c r="C229" s="545" t="s">
        <v>138</v>
      </c>
      <c r="D229" s="550">
        <v>24.34</v>
      </c>
      <c r="E229" s="546">
        <v>83933</v>
      </c>
      <c r="F229" s="639"/>
      <c r="G229" s="651"/>
      <c r="H229" s="650"/>
      <c r="I229" s="668"/>
      <c r="J229" s="666"/>
      <c r="K229" s="682"/>
      <c r="L229" s="681"/>
      <c r="M229" s="692"/>
      <c r="N229" s="735"/>
      <c r="O229" s="738"/>
      <c r="P229" s="698"/>
      <c r="Q229" s="708"/>
      <c r="R229" s="704"/>
    </row>
    <row r="230" spans="1:18" x14ac:dyDescent="0.25">
      <c r="A230" s="552"/>
      <c r="B230" s="552" t="s">
        <v>405</v>
      </c>
      <c r="C230" s="545" t="s">
        <v>140</v>
      </c>
      <c r="D230" s="550">
        <v>0.12</v>
      </c>
      <c r="E230" s="546">
        <v>59442</v>
      </c>
      <c r="F230" s="639"/>
      <c r="G230" s="651"/>
      <c r="H230" s="650"/>
      <c r="I230" s="668"/>
      <c r="J230" s="666"/>
      <c r="K230" s="682"/>
      <c r="L230" s="681"/>
      <c r="M230" s="692"/>
      <c r="N230" s="735"/>
      <c r="O230" s="738"/>
      <c r="P230" s="698"/>
      <c r="Q230" s="708"/>
      <c r="R230" s="704"/>
    </row>
    <row r="231" spans="1:18" x14ac:dyDescent="0.25">
      <c r="A231" s="552"/>
      <c r="B231" s="552" t="s">
        <v>411</v>
      </c>
      <c r="C231" s="545" t="s">
        <v>134</v>
      </c>
      <c r="D231" s="550">
        <v>1.08</v>
      </c>
      <c r="E231" s="546">
        <v>1616</v>
      </c>
      <c r="F231" s="639"/>
      <c r="G231" s="651"/>
      <c r="H231" s="650"/>
      <c r="I231" s="668"/>
      <c r="J231" s="666"/>
      <c r="K231" s="682"/>
      <c r="L231" s="681"/>
      <c r="M231" s="692"/>
      <c r="N231" s="735"/>
      <c r="O231" s="738"/>
      <c r="P231" s="698"/>
      <c r="Q231" s="708"/>
      <c r="R231" s="704"/>
    </row>
    <row r="232" spans="1:18" x14ac:dyDescent="0.25">
      <c r="A232" s="552"/>
      <c r="B232" s="552" t="s">
        <v>412</v>
      </c>
      <c r="C232" s="545" t="s">
        <v>135</v>
      </c>
      <c r="D232" s="550">
        <v>0.12</v>
      </c>
      <c r="E232" s="546">
        <v>58380</v>
      </c>
      <c r="F232" s="639"/>
      <c r="G232" s="651"/>
      <c r="H232" s="650"/>
      <c r="I232" s="668"/>
      <c r="J232" s="666"/>
      <c r="K232" s="682"/>
      <c r="L232" s="681"/>
      <c r="M232" s="692"/>
      <c r="N232" s="735"/>
      <c r="O232" s="738"/>
      <c r="P232" s="698"/>
      <c r="Q232" s="708"/>
      <c r="R232" s="704"/>
    </row>
    <row r="233" spans="1:18" x14ac:dyDescent="0.25">
      <c r="A233" s="552"/>
      <c r="B233" s="552" t="s">
        <v>413</v>
      </c>
      <c r="C233" s="545" t="s">
        <v>262</v>
      </c>
      <c r="D233" s="550">
        <v>0.24</v>
      </c>
      <c r="E233" s="546">
        <v>67196</v>
      </c>
      <c r="F233" s="639"/>
      <c r="G233" s="651"/>
      <c r="H233" s="650"/>
      <c r="I233" s="668"/>
      <c r="J233" s="666"/>
      <c r="K233" s="682"/>
      <c r="L233" s="681"/>
      <c r="M233" s="692"/>
      <c r="N233" s="735"/>
      <c r="O233" s="738"/>
      <c r="P233" s="698"/>
      <c r="Q233" s="708"/>
      <c r="R233" s="704"/>
    </row>
    <row r="234" spans="1:18" x14ac:dyDescent="0.25">
      <c r="A234" s="552"/>
      <c r="B234" s="552" t="s">
        <v>417</v>
      </c>
      <c r="C234" s="545" t="s">
        <v>105</v>
      </c>
      <c r="D234" s="550">
        <v>4.16</v>
      </c>
      <c r="E234" s="546">
        <v>44095</v>
      </c>
      <c r="F234" s="639"/>
      <c r="G234" s="651"/>
      <c r="H234" s="650"/>
      <c r="I234" s="668"/>
      <c r="J234" s="666"/>
      <c r="K234" s="682"/>
      <c r="L234" s="681"/>
      <c r="M234" s="692"/>
      <c r="N234" s="735"/>
      <c r="O234" s="738"/>
      <c r="P234" s="698"/>
      <c r="Q234" s="708"/>
      <c r="R234" s="704"/>
    </row>
    <row r="235" spans="1:18" x14ac:dyDescent="0.25">
      <c r="A235" s="552"/>
      <c r="B235" s="552" t="s">
        <v>420</v>
      </c>
      <c r="C235" s="545" t="s">
        <v>108</v>
      </c>
      <c r="D235" s="550">
        <v>19.170000000000002</v>
      </c>
      <c r="E235" s="546">
        <v>58607</v>
      </c>
      <c r="F235" s="639"/>
      <c r="G235" s="651"/>
      <c r="H235" s="650"/>
      <c r="I235" s="668"/>
      <c r="J235" s="666"/>
      <c r="K235" s="682"/>
      <c r="L235" s="681"/>
      <c r="M235" s="692"/>
      <c r="N235" s="735"/>
      <c r="O235" s="738"/>
      <c r="P235" s="698"/>
      <c r="Q235" s="708"/>
      <c r="R235" s="704"/>
    </row>
    <row r="236" spans="1:18" x14ac:dyDescent="0.25">
      <c r="A236" s="552"/>
      <c r="B236" s="552" t="s">
        <v>422</v>
      </c>
      <c r="C236" s="545" t="s">
        <v>110</v>
      </c>
      <c r="D236" s="550">
        <v>1.43</v>
      </c>
      <c r="E236" s="546">
        <v>60112</v>
      </c>
      <c r="F236" s="639"/>
      <c r="G236" s="651"/>
      <c r="H236" s="650"/>
      <c r="I236" s="668"/>
      <c r="J236" s="666"/>
      <c r="K236" s="682"/>
      <c r="L236" s="681"/>
      <c r="M236" s="692"/>
      <c r="N236" s="735"/>
      <c r="O236" s="738"/>
      <c r="P236" s="698"/>
      <c r="Q236" s="708"/>
      <c r="R236" s="704"/>
    </row>
    <row r="237" spans="1:18" x14ac:dyDescent="0.25">
      <c r="A237" s="552"/>
      <c r="B237" s="552" t="s">
        <v>424</v>
      </c>
      <c r="C237" s="545" t="s">
        <v>112</v>
      </c>
      <c r="D237" s="550">
        <v>9.52</v>
      </c>
      <c r="E237" s="546">
        <v>64995</v>
      </c>
      <c r="F237" s="639"/>
      <c r="G237" s="651"/>
      <c r="H237" s="650"/>
      <c r="I237" s="668"/>
      <c r="J237" s="666"/>
      <c r="K237" s="682"/>
      <c r="L237" s="681"/>
      <c r="M237" s="692"/>
      <c r="N237" s="735"/>
      <c r="O237" s="738"/>
      <c r="P237" s="698"/>
      <c r="Q237" s="708"/>
      <c r="R237" s="704"/>
    </row>
    <row r="238" spans="1:18" x14ac:dyDescent="0.25">
      <c r="A238" s="552"/>
      <c r="B238" s="552" t="s">
        <v>425</v>
      </c>
      <c r="C238" s="545" t="s">
        <v>104</v>
      </c>
      <c r="D238" s="550">
        <v>0.67</v>
      </c>
      <c r="E238" s="546">
        <v>103662</v>
      </c>
      <c r="F238" s="639"/>
      <c r="G238" s="651"/>
      <c r="H238" s="650"/>
      <c r="I238" s="668"/>
      <c r="J238" s="666"/>
      <c r="K238" s="682"/>
      <c r="L238" s="681"/>
      <c r="M238" s="692"/>
      <c r="N238" s="735"/>
      <c r="O238" s="738"/>
      <c r="P238" s="698"/>
      <c r="Q238" s="708"/>
      <c r="R238" s="704"/>
    </row>
    <row r="239" spans="1:18" s="574" customFormat="1" x14ac:dyDescent="0.25">
      <c r="A239" s="243"/>
      <c r="B239" s="243"/>
      <c r="C239" s="243"/>
      <c r="D239" s="763"/>
      <c r="E239" s="640"/>
      <c r="F239" s="641">
        <f>SUM(D222:D233)</f>
        <v>566.76</v>
      </c>
      <c r="G239" s="653">
        <f>(SUMPRODUCT(D222:D233,E222:E233))</f>
        <v>47427901.839999989</v>
      </c>
      <c r="H239" s="654">
        <f>SUM(D222:D223)</f>
        <v>22.69</v>
      </c>
      <c r="I239" s="669">
        <f>(SUMPRODUCT(D222:D223,E222:E223))</f>
        <v>3137333.15</v>
      </c>
      <c r="J239" s="670">
        <f>SUM(D224:D230)</f>
        <v>542.63</v>
      </c>
      <c r="K239" s="684">
        <f>(SUMPRODUCT(D224:D230,E224:E230))</f>
        <v>44265690.769999988</v>
      </c>
      <c r="L239" s="683">
        <f>SUM(D231:D233)</f>
        <v>1.4400000000000002</v>
      </c>
      <c r="M239" s="692">
        <f>(SUMPRODUCT(D231:D233,E231:E233))</f>
        <v>24877.919999999998</v>
      </c>
      <c r="N239" s="739">
        <f>+H239+J239+L239</f>
        <v>566.7600000000001</v>
      </c>
      <c r="O239" s="740">
        <f>+I239+K239+M239</f>
        <v>47427901.839999989</v>
      </c>
      <c r="P239" s="700">
        <f>SUM(D234:D238)</f>
        <v>34.950000000000003</v>
      </c>
      <c r="Q239" s="709">
        <f>(SUMPRODUCT(D234:D238,E234:E238))</f>
        <v>2081097.4900000002</v>
      </c>
      <c r="R239" s="710"/>
    </row>
    <row r="240" spans="1:18" x14ac:dyDescent="0.25">
      <c r="A240" s="552" t="s">
        <v>557</v>
      </c>
      <c r="B240" s="552" t="s">
        <v>290</v>
      </c>
      <c r="C240" s="545"/>
      <c r="D240" s="550"/>
      <c r="E240" s="546"/>
      <c r="F240" s="635"/>
      <c r="G240" s="649"/>
      <c r="H240" s="650"/>
      <c r="I240" s="665"/>
      <c r="J240" s="666"/>
      <c r="K240" s="680"/>
      <c r="L240" s="681"/>
      <c r="M240" s="691"/>
      <c r="N240" s="735"/>
      <c r="O240" s="736"/>
      <c r="P240" s="698"/>
      <c r="Q240" s="707"/>
      <c r="R240" s="704"/>
    </row>
    <row r="241" spans="1:18" x14ac:dyDescent="0.25">
      <c r="A241" s="552"/>
      <c r="B241" s="552" t="s">
        <v>399</v>
      </c>
      <c r="C241" s="545" t="s">
        <v>131</v>
      </c>
      <c r="D241" s="550">
        <v>1</v>
      </c>
      <c r="E241" s="546">
        <v>78931</v>
      </c>
      <c r="F241" s="639"/>
      <c r="G241" s="651"/>
      <c r="H241" s="650"/>
      <c r="I241" s="668"/>
      <c r="J241" s="666"/>
      <c r="K241" s="682"/>
      <c r="L241" s="681"/>
      <c r="M241" s="692"/>
      <c r="N241" s="735"/>
      <c r="O241" s="738"/>
      <c r="P241" s="698"/>
      <c r="Q241" s="708"/>
      <c r="R241" s="704"/>
    </row>
    <row r="242" spans="1:18" x14ac:dyDescent="0.25">
      <c r="A242" s="552"/>
      <c r="B242" s="552" t="s">
        <v>401</v>
      </c>
      <c r="C242" s="545" t="s">
        <v>133</v>
      </c>
      <c r="D242" s="550">
        <v>2.52</v>
      </c>
      <c r="E242" s="546">
        <v>80531</v>
      </c>
      <c r="F242" s="639"/>
      <c r="G242" s="651"/>
      <c r="H242" s="650"/>
      <c r="I242" s="668"/>
      <c r="J242" s="666"/>
      <c r="K242" s="682"/>
      <c r="L242" s="681"/>
      <c r="M242" s="692"/>
      <c r="N242" s="735"/>
      <c r="O242" s="738"/>
      <c r="P242" s="698"/>
      <c r="Q242" s="708"/>
      <c r="R242" s="704"/>
    </row>
    <row r="243" spans="1:18" x14ac:dyDescent="0.25">
      <c r="A243" s="552"/>
      <c r="B243" s="552" t="s">
        <v>403</v>
      </c>
      <c r="C243" s="545" t="s">
        <v>138</v>
      </c>
      <c r="D243" s="550">
        <v>0.86</v>
      </c>
      <c r="E243" s="546">
        <v>89358</v>
      </c>
      <c r="F243" s="639"/>
      <c r="G243" s="651"/>
      <c r="H243" s="650"/>
      <c r="I243" s="668"/>
      <c r="J243" s="666"/>
      <c r="K243" s="682"/>
      <c r="L243" s="681"/>
      <c r="M243" s="692"/>
      <c r="N243" s="735"/>
      <c r="O243" s="738"/>
      <c r="P243" s="698"/>
      <c r="Q243" s="708"/>
      <c r="R243" s="704"/>
    </row>
    <row r="244" spans="1:18" x14ac:dyDescent="0.25">
      <c r="A244" s="552"/>
      <c r="B244" s="552" t="s">
        <v>417</v>
      </c>
      <c r="C244" s="545" t="s">
        <v>105</v>
      </c>
      <c r="D244" s="550">
        <v>4.8099999999999996</v>
      </c>
      <c r="E244" s="546">
        <v>58077</v>
      </c>
      <c r="F244" s="635"/>
      <c r="G244" s="649"/>
      <c r="H244" s="650"/>
      <c r="I244" s="665"/>
      <c r="J244" s="666"/>
      <c r="K244" s="680"/>
      <c r="L244" s="681"/>
      <c r="M244" s="691"/>
      <c r="N244" s="735"/>
      <c r="O244" s="736"/>
      <c r="P244" s="698"/>
      <c r="Q244" s="707"/>
      <c r="R244" s="704"/>
    </row>
    <row r="245" spans="1:18" x14ac:dyDescent="0.25">
      <c r="A245" s="552"/>
      <c r="B245" s="552" t="s">
        <v>420</v>
      </c>
      <c r="C245" s="545" t="s">
        <v>108</v>
      </c>
      <c r="D245" s="550">
        <v>1.39</v>
      </c>
      <c r="E245" s="546">
        <v>51683</v>
      </c>
      <c r="F245" s="635"/>
      <c r="G245" s="649"/>
      <c r="H245" s="650"/>
      <c r="I245" s="665"/>
      <c r="J245" s="666"/>
      <c r="K245" s="680"/>
      <c r="L245" s="681"/>
      <c r="M245" s="691"/>
      <c r="N245" s="735"/>
      <c r="O245" s="736"/>
      <c r="P245" s="698"/>
      <c r="Q245" s="707"/>
      <c r="R245" s="704"/>
    </row>
    <row r="246" spans="1:18" s="574" customFormat="1" x14ac:dyDescent="0.25">
      <c r="A246" s="243"/>
      <c r="B246" s="243"/>
      <c r="C246" s="243"/>
      <c r="D246" s="763"/>
      <c r="E246" s="640"/>
      <c r="F246" s="641">
        <f>SUM(D241:D243)</f>
        <v>4.38</v>
      </c>
      <c r="G246" s="653">
        <f>(SUMPRODUCT(D241:D243,E241:E243))</f>
        <v>358717</v>
      </c>
      <c r="H246" s="654"/>
      <c r="I246" s="669"/>
      <c r="J246" s="670">
        <f>SUM(D241:D243)</f>
        <v>4.38</v>
      </c>
      <c r="K246" s="684">
        <f>(SUMPRODUCT(D241:D243,E241:E243))</f>
        <v>358717</v>
      </c>
      <c r="L246" s="685"/>
      <c r="M246" s="693"/>
      <c r="N246" s="739">
        <f>+H246+J246+L246</f>
        <v>4.38</v>
      </c>
      <c r="O246" s="740">
        <f>+I246+K246+M246</f>
        <v>358717</v>
      </c>
      <c r="P246" s="700">
        <f>SUM(D244:D245)</f>
        <v>6.1999999999999993</v>
      </c>
      <c r="Q246" s="709">
        <f>(SUMPRODUCT(D244:D245,E244:E245))</f>
        <v>351189.74</v>
      </c>
      <c r="R246" s="710"/>
    </row>
    <row r="247" spans="1:18" x14ac:dyDescent="0.25">
      <c r="A247" s="552" t="s">
        <v>558</v>
      </c>
      <c r="B247" s="552" t="s">
        <v>291</v>
      </c>
      <c r="C247" s="545"/>
      <c r="D247" s="550"/>
      <c r="E247" s="546"/>
      <c r="F247" s="635"/>
      <c r="G247" s="649"/>
      <c r="H247" s="650"/>
      <c r="I247" s="665"/>
      <c r="J247" s="666"/>
      <c r="K247" s="680"/>
      <c r="L247" s="681"/>
      <c r="M247" s="691"/>
      <c r="N247" s="735"/>
      <c r="O247" s="736"/>
      <c r="P247" s="698"/>
      <c r="Q247" s="707"/>
      <c r="R247" s="704"/>
    </row>
    <row r="248" spans="1:18" x14ac:dyDescent="0.25">
      <c r="A248" s="552"/>
      <c r="B248" s="552" t="s">
        <v>420</v>
      </c>
      <c r="C248" s="545" t="s">
        <v>108</v>
      </c>
      <c r="D248" s="550">
        <v>0.41</v>
      </c>
      <c r="E248" s="546">
        <v>41514</v>
      </c>
      <c r="F248" s="635"/>
      <c r="G248" s="649"/>
      <c r="H248" s="650"/>
      <c r="I248" s="665"/>
      <c r="J248" s="666"/>
      <c r="K248" s="680"/>
      <c r="L248" s="681"/>
      <c r="M248" s="691"/>
      <c r="N248" s="735"/>
      <c r="O248" s="736"/>
      <c r="P248" s="698"/>
      <c r="Q248" s="707"/>
      <c r="R248" s="704"/>
    </row>
    <row r="249" spans="1:18" x14ac:dyDescent="0.25">
      <c r="A249" s="552"/>
      <c r="B249" s="552" t="s">
        <v>425</v>
      </c>
      <c r="C249" s="545" t="s">
        <v>104</v>
      </c>
      <c r="D249" s="550">
        <v>0.77</v>
      </c>
      <c r="E249" s="546">
        <v>113121</v>
      </c>
      <c r="F249" s="635"/>
      <c r="G249" s="649"/>
      <c r="H249" s="650"/>
      <c r="I249" s="665"/>
      <c r="J249" s="666"/>
      <c r="K249" s="680"/>
      <c r="L249" s="681"/>
      <c r="M249" s="691"/>
      <c r="N249" s="735"/>
      <c r="O249" s="736"/>
      <c r="P249" s="698"/>
      <c r="Q249" s="707"/>
      <c r="R249" s="704"/>
    </row>
    <row r="250" spans="1:18" x14ac:dyDescent="0.25">
      <c r="A250" s="241"/>
      <c r="B250" s="243"/>
      <c r="C250" s="241"/>
      <c r="D250" s="762"/>
      <c r="E250" s="629"/>
      <c r="F250" s="636"/>
      <c r="G250" s="651"/>
      <c r="H250" s="652"/>
      <c r="I250" s="668"/>
      <c r="J250" s="667"/>
      <c r="K250" s="682"/>
      <c r="L250" s="683"/>
      <c r="M250" s="692"/>
      <c r="N250" s="737">
        <f>+H250+J250+L250</f>
        <v>0</v>
      </c>
      <c r="O250" s="738">
        <f>+I250+K250+M250</f>
        <v>0</v>
      </c>
      <c r="P250" s="699">
        <f>SUM(D248:D249)</f>
        <v>1.18</v>
      </c>
      <c r="Q250" s="708">
        <f>(SUMPRODUCT(D248:D249,E248:E249))</f>
        <v>104123.91</v>
      </c>
      <c r="R250" s="704"/>
    </row>
    <row r="251" spans="1:18" x14ac:dyDescent="0.25">
      <c r="A251" s="552" t="s">
        <v>406</v>
      </c>
      <c r="B251" s="552" t="s">
        <v>559</v>
      </c>
      <c r="C251" s="545"/>
      <c r="D251" s="550"/>
      <c r="E251" s="546"/>
      <c r="F251" s="635"/>
      <c r="G251" s="649"/>
      <c r="H251" s="650"/>
      <c r="I251" s="665"/>
      <c r="J251" s="666"/>
      <c r="K251" s="680"/>
      <c r="L251" s="681"/>
      <c r="M251" s="691"/>
      <c r="N251" s="735"/>
      <c r="O251" s="736"/>
      <c r="P251" s="698"/>
      <c r="Q251" s="707"/>
      <c r="R251" s="704"/>
    </row>
    <row r="252" spans="1:18" x14ac:dyDescent="0.25">
      <c r="A252" s="552"/>
      <c r="B252" s="552" t="s">
        <v>395</v>
      </c>
      <c r="C252" s="545" t="s">
        <v>137</v>
      </c>
      <c r="D252" s="550">
        <v>8.34</v>
      </c>
      <c r="E252" s="546">
        <v>140926</v>
      </c>
      <c r="F252" s="635"/>
      <c r="G252" s="649"/>
      <c r="H252" s="650"/>
      <c r="I252" s="665"/>
      <c r="J252" s="666"/>
      <c r="K252" s="680"/>
      <c r="L252" s="681"/>
      <c r="M252" s="691"/>
      <c r="N252" s="735"/>
      <c r="O252" s="736"/>
      <c r="P252" s="698"/>
      <c r="Q252" s="707"/>
      <c r="R252" s="704"/>
    </row>
    <row r="253" spans="1:18" x14ac:dyDescent="0.25">
      <c r="A253" s="552"/>
      <c r="B253" s="552" t="s">
        <v>396</v>
      </c>
      <c r="C253" s="545" t="s">
        <v>145</v>
      </c>
      <c r="D253" s="550">
        <v>4.25</v>
      </c>
      <c r="E253" s="546">
        <v>134467</v>
      </c>
      <c r="F253" s="635"/>
      <c r="G253" s="649"/>
      <c r="H253" s="650"/>
      <c r="I253" s="665"/>
      <c r="J253" s="666"/>
      <c r="K253" s="680"/>
      <c r="L253" s="681"/>
      <c r="M253" s="691"/>
      <c r="N253" s="735"/>
      <c r="O253" s="736"/>
      <c r="P253" s="698"/>
      <c r="Q253" s="707"/>
      <c r="R253" s="704"/>
    </row>
    <row r="254" spans="1:18" x14ac:dyDescent="0.25">
      <c r="A254" s="552"/>
      <c r="B254" s="552" t="s">
        <v>397</v>
      </c>
      <c r="C254" s="545" t="s">
        <v>130</v>
      </c>
      <c r="D254" s="550">
        <v>12.62</v>
      </c>
      <c r="E254" s="546">
        <v>141260</v>
      </c>
      <c r="F254" s="635"/>
      <c r="G254" s="649"/>
      <c r="H254" s="650"/>
      <c r="I254" s="665"/>
      <c r="J254" s="666"/>
      <c r="K254" s="680"/>
      <c r="L254" s="681"/>
      <c r="M254" s="691"/>
      <c r="N254" s="735"/>
      <c r="O254" s="736"/>
      <c r="P254" s="698"/>
      <c r="Q254" s="707"/>
      <c r="R254" s="704"/>
    </row>
    <row r="255" spans="1:18" x14ac:dyDescent="0.25">
      <c r="A255" s="552"/>
      <c r="B255" s="552" t="s">
        <v>399</v>
      </c>
      <c r="C255" s="545" t="s">
        <v>131</v>
      </c>
      <c r="D255" s="550">
        <v>198.86</v>
      </c>
      <c r="E255" s="546">
        <v>71818</v>
      </c>
      <c r="F255" s="635"/>
      <c r="G255" s="649"/>
      <c r="H255" s="650"/>
      <c r="I255" s="665"/>
      <c r="J255" s="666"/>
      <c r="K255" s="680"/>
      <c r="L255" s="681"/>
      <c r="M255" s="691"/>
      <c r="N255" s="735"/>
      <c r="O255" s="736"/>
      <c r="P255" s="698"/>
      <c r="Q255" s="707"/>
      <c r="R255" s="704"/>
    </row>
    <row r="256" spans="1:18" x14ac:dyDescent="0.25">
      <c r="A256" s="552"/>
      <c r="B256" s="552" t="s">
        <v>400</v>
      </c>
      <c r="C256" s="545" t="s">
        <v>132</v>
      </c>
      <c r="D256" s="550">
        <v>1</v>
      </c>
      <c r="E256" s="546">
        <v>88123</v>
      </c>
      <c r="F256" s="635"/>
      <c r="G256" s="649"/>
      <c r="H256" s="650"/>
      <c r="I256" s="665"/>
      <c r="J256" s="666"/>
      <c r="K256" s="680"/>
      <c r="L256" s="681"/>
      <c r="M256" s="691"/>
      <c r="N256" s="735"/>
      <c r="O256" s="736"/>
      <c r="P256" s="698"/>
      <c r="Q256" s="707"/>
      <c r="R256" s="704"/>
    </row>
    <row r="257" spans="1:18" x14ac:dyDescent="0.25">
      <c r="A257" s="552"/>
      <c r="B257" s="552" t="s">
        <v>401</v>
      </c>
      <c r="C257" s="545" t="s">
        <v>133</v>
      </c>
      <c r="D257" s="550">
        <v>2.2999999999999998</v>
      </c>
      <c r="E257" s="546">
        <v>85294</v>
      </c>
      <c r="F257" s="635"/>
      <c r="G257" s="649"/>
      <c r="H257" s="650"/>
      <c r="I257" s="665"/>
      <c r="J257" s="666"/>
      <c r="K257" s="680"/>
      <c r="L257" s="681"/>
      <c r="M257" s="691"/>
      <c r="N257" s="735"/>
      <c r="O257" s="736"/>
      <c r="P257" s="698"/>
      <c r="Q257" s="707"/>
      <c r="R257" s="704"/>
    </row>
    <row r="258" spans="1:18" x14ac:dyDescent="0.25">
      <c r="A258" s="552"/>
      <c r="B258" s="552" t="s">
        <v>403</v>
      </c>
      <c r="C258" s="545" t="s">
        <v>138</v>
      </c>
      <c r="D258" s="550">
        <v>1.5</v>
      </c>
      <c r="E258" s="546">
        <v>94896</v>
      </c>
      <c r="F258" s="635"/>
      <c r="G258" s="649"/>
      <c r="H258" s="650"/>
      <c r="I258" s="665"/>
      <c r="J258" s="666"/>
      <c r="K258" s="680"/>
      <c r="L258" s="681"/>
      <c r="M258" s="691"/>
      <c r="N258" s="735"/>
      <c r="O258" s="736"/>
      <c r="P258" s="698"/>
      <c r="Q258" s="707"/>
      <c r="R258" s="704"/>
    </row>
    <row r="259" spans="1:18" x14ac:dyDescent="0.25">
      <c r="A259" s="552"/>
      <c r="B259" s="552" t="s">
        <v>408</v>
      </c>
      <c r="C259" s="545" t="s">
        <v>142</v>
      </c>
      <c r="D259" s="550">
        <v>0.2</v>
      </c>
      <c r="E259" s="546">
        <v>75375</v>
      </c>
      <c r="F259" s="635"/>
      <c r="G259" s="649"/>
      <c r="H259" s="650"/>
      <c r="I259" s="665"/>
      <c r="J259" s="666"/>
      <c r="K259" s="680"/>
      <c r="L259" s="681"/>
      <c r="M259" s="691"/>
      <c r="N259" s="735"/>
      <c r="O259" s="736"/>
      <c r="P259" s="698"/>
      <c r="Q259" s="707"/>
      <c r="R259" s="704"/>
    </row>
    <row r="260" spans="1:18" x14ac:dyDescent="0.25">
      <c r="A260" s="552"/>
      <c r="B260" s="552" t="s">
        <v>414</v>
      </c>
      <c r="C260" s="545" t="s">
        <v>193</v>
      </c>
      <c r="D260" s="550">
        <v>2</v>
      </c>
      <c r="E260" s="546">
        <v>69610</v>
      </c>
      <c r="F260" s="635"/>
      <c r="G260" s="649"/>
      <c r="H260" s="650"/>
      <c r="I260" s="665"/>
      <c r="J260" s="666"/>
      <c r="K260" s="680"/>
      <c r="L260" s="681"/>
      <c r="M260" s="691"/>
      <c r="N260" s="735"/>
      <c r="O260" s="736"/>
      <c r="P260" s="698"/>
      <c r="Q260" s="707"/>
      <c r="R260" s="704"/>
    </row>
    <row r="261" spans="1:18" x14ac:dyDescent="0.25">
      <c r="A261" s="552"/>
      <c r="B261" s="552" t="s">
        <v>417</v>
      </c>
      <c r="C261" s="545" t="s">
        <v>105</v>
      </c>
      <c r="D261" s="550">
        <v>9.1199999999999992</v>
      </c>
      <c r="E261" s="546">
        <v>50253</v>
      </c>
      <c r="F261" s="635"/>
      <c r="G261" s="649"/>
      <c r="H261" s="650"/>
      <c r="I261" s="665"/>
      <c r="J261" s="666"/>
      <c r="K261" s="680"/>
      <c r="L261" s="681"/>
      <c r="M261" s="691"/>
      <c r="N261" s="735"/>
      <c r="O261" s="736"/>
      <c r="P261" s="698"/>
      <c r="Q261" s="707"/>
      <c r="R261" s="704"/>
    </row>
    <row r="262" spans="1:18" x14ac:dyDescent="0.25">
      <c r="A262" s="552"/>
      <c r="B262" s="552" t="s">
        <v>418</v>
      </c>
      <c r="C262" s="545" t="s">
        <v>106</v>
      </c>
      <c r="D262" s="550">
        <v>0.22</v>
      </c>
      <c r="E262" s="546">
        <v>70573</v>
      </c>
      <c r="F262" s="635"/>
      <c r="G262" s="649"/>
      <c r="H262" s="650"/>
      <c r="I262" s="665"/>
      <c r="J262" s="666"/>
      <c r="K262" s="680"/>
      <c r="L262" s="681"/>
      <c r="M262" s="691"/>
      <c r="N262" s="735"/>
      <c r="O262" s="736"/>
      <c r="P262" s="698"/>
      <c r="Q262" s="707"/>
      <c r="R262" s="704"/>
    </row>
    <row r="263" spans="1:18" x14ac:dyDescent="0.25">
      <c r="A263" s="552"/>
      <c r="B263" s="552" t="s">
        <v>420</v>
      </c>
      <c r="C263" s="545" t="s">
        <v>108</v>
      </c>
      <c r="D263" s="550">
        <v>37.869999999999997</v>
      </c>
      <c r="E263" s="546">
        <v>56103</v>
      </c>
      <c r="F263" s="635"/>
      <c r="G263" s="649"/>
      <c r="H263" s="650"/>
      <c r="I263" s="665"/>
      <c r="J263" s="666"/>
      <c r="K263" s="680"/>
      <c r="L263" s="681"/>
      <c r="M263" s="691"/>
      <c r="N263" s="735"/>
      <c r="O263" s="736"/>
      <c r="P263" s="698"/>
      <c r="Q263" s="707"/>
      <c r="R263" s="704"/>
    </row>
    <row r="264" spans="1:18" x14ac:dyDescent="0.25">
      <c r="A264" s="552"/>
      <c r="B264" s="552" t="s">
        <v>422</v>
      </c>
      <c r="C264" s="545" t="s">
        <v>110</v>
      </c>
      <c r="D264" s="550">
        <v>1.69</v>
      </c>
      <c r="E264" s="546">
        <v>83921</v>
      </c>
      <c r="F264" s="635"/>
      <c r="G264" s="649"/>
      <c r="H264" s="650"/>
      <c r="I264" s="665"/>
      <c r="J264" s="666"/>
      <c r="K264" s="680"/>
      <c r="L264" s="681"/>
      <c r="M264" s="691"/>
      <c r="N264" s="735"/>
      <c r="O264" s="736"/>
      <c r="P264" s="698"/>
      <c r="Q264" s="707"/>
      <c r="R264" s="704"/>
    </row>
    <row r="265" spans="1:18" x14ac:dyDescent="0.25">
      <c r="A265" s="552"/>
      <c r="B265" s="552" t="s">
        <v>423</v>
      </c>
      <c r="C265" s="545" t="s">
        <v>111</v>
      </c>
      <c r="D265" s="550">
        <v>14.92</v>
      </c>
      <c r="E265" s="546">
        <v>50696</v>
      </c>
      <c r="F265" s="635"/>
      <c r="G265" s="649"/>
      <c r="H265" s="650"/>
      <c r="I265" s="665"/>
      <c r="J265" s="666"/>
      <c r="K265" s="680"/>
      <c r="L265" s="681"/>
      <c r="M265" s="691"/>
      <c r="N265" s="735"/>
      <c r="O265" s="736"/>
      <c r="P265" s="698"/>
      <c r="Q265" s="707"/>
      <c r="R265" s="704"/>
    </row>
    <row r="266" spans="1:18" x14ac:dyDescent="0.25">
      <c r="A266" s="552"/>
      <c r="B266" s="552" t="s">
        <v>424</v>
      </c>
      <c r="C266" s="545" t="s">
        <v>112</v>
      </c>
      <c r="D266" s="550">
        <v>1.46</v>
      </c>
      <c r="E266" s="546">
        <v>69024</v>
      </c>
      <c r="F266" s="635"/>
      <c r="G266" s="649"/>
      <c r="H266" s="650"/>
      <c r="I266" s="665"/>
      <c r="J266" s="666"/>
      <c r="K266" s="680"/>
      <c r="L266" s="681"/>
      <c r="M266" s="691"/>
      <c r="N266" s="735"/>
      <c r="O266" s="736"/>
      <c r="P266" s="698"/>
      <c r="Q266" s="707"/>
      <c r="R266" s="704"/>
    </row>
    <row r="267" spans="1:18" x14ac:dyDescent="0.25">
      <c r="A267" s="552"/>
      <c r="B267" s="552" t="s">
        <v>425</v>
      </c>
      <c r="C267" s="545" t="s">
        <v>104</v>
      </c>
      <c r="D267" s="550">
        <v>1</v>
      </c>
      <c r="E267" s="546">
        <v>88164</v>
      </c>
      <c r="F267" s="635"/>
      <c r="G267" s="649"/>
      <c r="H267" s="650"/>
      <c r="I267" s="665"/>
      <c r="J267" s="666"/>
      <c r="K267" s="680"/>
      <c r="L267" s="681"/>
      <c r="M267" s="691"/>
      <c r="N267" s="735"/>
      <c r="O267" s="736"/>
      <c r="P267" s="698"/>
      <c r="Q267" s="707"/>
      <c r="R267" s="704"/>
    </row>
    <row r="268" spans="1:18" x14ac:dyDescent="0.25">
      <c r="A268" s="241"/>
      <c r="B268" s="243"/>
      <c r="C268" s="241"/>
      <c r="D268" s="762"/>
      <c r="E268" s="629"/>
      <c r="F268" s="636">
        <f>SUM(D252:D260)</f>
        <v>231.07000000000002</v>
      </c>
      <c r="G268" s="651">
        <f>(SUMPRODUCT(D252:D260,E252:E260))</f>
        <v>18392174.469999999</v>
      </c>
      <c r="H268" s="652">
        <f>SUM(D252:D254)</f>
        <v>25.21</v>
      </c>
      <c r="I268" s="668">
        <f>(SUMPRODUCT(D252:D254,E252:E254))</f>
        <v>3529508.79</v>
      </c>
      <c r="J268" s="667">
        <f>SUM(D255:D260)</f>
        <v>205.86</v>
      </c>
      <c r="K268" s="686">
        <f>(SUMPRODUCT(D255:D260,E255:E260))</f>
        <v>14862665.68</v>
      </c>
      <c r="L268" s="683"/>
      <c r="M268" s="692"/>
      <c r="N268" s="737">
        <f>+H268+J268+L268</f>
        <v>231.07000000000002</v>
      </c>
      <c r="O268" s="738">
        <f>+I268+K268+M268</f>
        <v>18392174.469999999</v>
      </c>
      <c r="P268" s="699">
        <f>SUM(D261:D267)</f>
        <v>66.279999999999987</v>
      </c>
      <c r="Q268" s="708">
        <f>(SUMPRODUCT(D261:D267,E261:E267))</f>
        <v>3685603.8799999994</v>
      </c>
      <c r="R268" s="704"/>
    </row>
    <row r="269" spans="1:18" x14ac:dyDescent="0.25">
      <c r="A269" s="552" t="s">
        <v>407</v>
      </c>
      <c r="B269" s="552" t="s">
        <v>560</v>
      </c>
      <c r="C269" s="545"/>
      <c r="D269" s="550"/>
      <c r="E269" s="546"/>
      <c r="F269" s="635"/>
      <c r="G269" s="649"/>
      <c r="H269" s="650"/>
      <c r="I269" s="665"/>
      <c r="J269" s="666"/>
      <c r="K269" s="680"/>
      <c r="L269" s="681"/>
      <c r="M269" s="691"/>
      <c r="N269" s="735"/>
      <c r="O269" s="736"/>
      <c r="P269" s="698"/>
      <c r="Q269" s="707"/>
      <c r="R269" s="704"/>
    </row>
    <row r="270" spans="1:18" x14ac:dyDescent="0.25">
      <c r="A270" s="552"/>
      <c r="B270" s="552" t="s">
        <v>401</v>
      </c>
      <c r="C270" s="545" t="s">
        <v>133</v>
      </c>
      <c r="D270" s="550">
        <v>0.4</v>
      </c>
      <c r="E270" s="546">
        <v>90377</v>
      </c>
      <c r="F270" s="635"/>
      <c r="G270" s="649"/>
      <c r="H270" s="650"/>
      <c r="I270" s="665"/>
      <c r="J270" s="666"/>
      <c r="K270" s="680"/>
      <c r="L270" s="681"/>
      <c r="M270" s="691"/>
      <c r="N270" s="735"/>
      <c r="O270" s="736"/>
      <c r="P270" s="698"/>
      <c r="Q270" s="707"/>
      <c r="R270" s="704"/>
    </row>
    <row r="271" spans="1:18" x14ac:dyDescent="0.25">
      <c r="A271" s="241"/>
      <c r="B271" s="243"/>
      <c r="C271" s="241"/>
      <c r="D271" s="762"/>
      <c r="E271" s="629"/>
      <c r="F271" s="636">
        <f>SUM(D270:D270)</f>
        <v>0.4</v>
      </c>
      <c r="G271" s="651">
        <f>(SUMPRODUCT(D270:D270,E270:E270))</f>
        <v>36150.800000000003</v>
      </c>
      <c r="H271" s="652"/>
      <c r="I271" s="668"/>
      <c r="J271" s="667">
        <f>SUM(D270:D270)</f>
        <v>0.4</v>
      </c>
      <c r="K271" s="682">
        <f>(SUMPRODUCT(D270:D270,E270:E270))</f>
        <v>36150.800000000003</v>
      </c>
      <c r="L271" s="683"/>
      <c r="M271" s="692"/>
      <c r="N271" s="737">
        <f>+H271+J271+L271</f>
        <v>0.4</v>
      </c>
      <c r="O271" s="738">
        <f>+I271+K271+M271</f>
        <v>36150.800000000003</v>
      </c>
      <c r="P271" s="699"/>
      <c r="Q271" s="708"/>
      <c r="R271" s="704"/>
    </row>
    <row r="272" spans="1:18" x14ac:dyDescent="0.25">
      <c r="A272" s="552" t="s">
        <v>411</v>
      </c>
      <c r="B272" s="552" t="s">
        <v>292</v>
      </c>
      <c r="C272" s="545"/>
      <c r="D272" s="550"/>
      <c r="E272" s="546"/>
      <c r="F272" s="639"/>
      <c r="G272" s="651"/>
      <c r="H272" s="650"/>
      <c r="I272" s="668"/>
      <c r="J272" s="666"/>
      <c r="K272" s="682"/>
      <c r="L272" s="681"/>
      <c r="M272" s="692"/>
      <c r="N272" s="735"/>
      <c r="O272" s="738"/>
      <c r="P272" s="698"/>
      <c r="Q272" s="708"/>
      <c r="R272" s="704"/>
    </row>
    <row r="273" spans="1:18" x14ac:dyDescent="0.25">
      <c r="A273" s="552"/>
      <c r="B273" s="552" t="s">
        <v>391</v>
      </c>
      <c r="C273" s="545" t="s">
        <v>128</v>
      </c>
      <c r="D273" s="550">
        <v>0.35</v>
      </c>
      <c r="E273" s="546">
        <v>144951</v>
      </c>
      <c r="F273" s="635"/>
      <c r="G273" s="649"/>
      <c r="H273" s="650"/>
      <c r="I273" s="665"/>
      <c r="J273" s="666"/>
      <c r="K273" s="680"/>
      <c r="L273" s="681"/>
      <c r="M273" s="691"/>
      <c r="N273" s="735"/>
      <c r="O273" s="736"/>
      <c r="P273" s="698"/>
      <c r="Q273" s="707"/>
      <c r="R273" s="704"/>
    </row>
    <row r="274" spans="1:18" x14ac:dyDescent="0.25">
      <c r="A274" s="552"/>
      <c r="B274" s="552" t="s">
        <v>392</v>
      </c>
      <c r="C274" s="545" t="s">
        <v>129</v>
      </c>
      <c r="D274" s="550">
        <v>29.15</v>
      </c>
      <c r="E274" s="546">
        <v>136424</v>
      </c>
      <c r="F274" s="635"/>
      <c r="G274" s="649"/>
      <c r="H274" s="650"/>
      <c r="I274" s="665"/>
      <c r="J274" s="666"/>
      <c r="K274" s="680"/>
      <c r="L274" s="681"/>
      <c r="M274" s="691"/>
      <c r="N274" s="735"/>
      <c r="O274" s="736"/>
      <c r="P274" s="698"/>
      <c r="Q274" s="707"/>
      <c r="R274" s="704"/>
    </row>
    <row r="275" spans="1:18" x14ac:dyDescent="0.25">
      <c r="A275" s="552"/>
      <c r="B275" s="552" t="s">
        <v>393</v>
      </c>
      <c r="C275" s="545" t="s">
        <v>136</v>
      </c>
      <c r="D275" s="550">
        <v>0.25</v>
      </c>
      <c r="E275" s="546">
        <v>122120</v>
      </c>
      <c r="F275" s="635"/>
      <c r="G275" s="649"/>
      <c r="H275" s="650"/>
      <c r="I275" s="665"/>
      <c r="J275" s="666"/>
      <c r="K275" s="680"/>
      <c r="L275" s="681"/>
      <c r="M275" s="691"/>
      <c r="N275" s="735"/>
      <c r="O275" s="736"/>
      <c r="P275" s="698"/>
      <c r="Q275" s="707"/>
      <c r="R275" s="704"/>
    </row>
    <row r="276" spans="1:18" x14ac:dyDescent="0.25">
      <c r="A276" s="552"/>
      <c r="B276" s="552" t="s">
        <v>394</v>
      </c>
      <c r="C276" s="545" t="s">
        <v>146</v>
      </c>
      <c r="D276" s="550">
        <v>1.86</v>
      </c>
      <c r="E276" s="546">
        <v>131475</v>
      </c>
      <c r="F276" s="635"/>
      <c r="G276" s="649"/>
      <c r="H276" s="650"/>
      <c r="I276" s="665"/>
      <c r="J276" s="666"/>
      <c r="K276" s="680"/>
      <c r="L276" s="681"/>
      <c r="M276" s="691"/>
      <c r="N276" s="735"/>
      <c r="O276" s="736"/>
      <c r="P276" s="698"/>
      <c r="Q276" s="707"/>
      <c r="R276" s="704"/>
    </row>
    <row r="277" spans="1:18" x14ac:dyDescent="0.25">
      <c r="A277" s="552"/>
      <c r="B277" s="552" t="s">
        <v>395</v>
      </c>
      <c r="C277" s="545" t="s">
        <v>137</v>
      </c>
      <c r="D277" s="550">
        <v>0.1</v>
      </c>
      <c r="E277" s="546">
        <v>73330</v>
      </c>
      <c r="F277" s="635"/>
      <c r="G277" s="649"/>
      <c r="H277" s="650"/>
      <c r="I277" s="665"/>
      <c r="J277" s="666"/>
      <c r="K277" s="680"/>
      <c r="L277" s="681"/>
      <c r="M277" s="691"/>
      <c r="N277" s="735"/>
      <c r="O277" s="736"/>
      <c r="P277" s="698"/>
      <c r="Q277" s="707"/>
      <c r="R277" s="704"/>
    </row>
    <row r="278" spans="1:18" x14ac:dyDescent="0.25">
      <c r="A278" s="552"/>
      <c r="B278" s="552" t="s">
        <v>396</v>
      </c>
      <c r="C278" s="545" t="s">
        <v>145</v>
      </c>
      <c r="D278" s="550">
        <v>0.2</v>
      </c>
      <c r="E278" s="546">
        <v>61020</v>
      </c>
      <c r="F278" s="635"/>
      <c r="G278" s="649"/>
      <c r="H278" s="650"/>
      <c r="I278" s="665"/>
      <c r="J278" s="666"/>
      <c r="K278" s="680"/>
      <c r="L278" s="681"/>
      <c r="M278" s="691"/>
      <c r="N278" s="735"/>
      <c r="O278" s="736"/>
      <c r="P278" s="698"/>
      <c r="Q278" s="707"/>
      <c r="R278" s="704"/>
    </row>
    <row r="279" spans="1:18" x14ac:dyDescent="0.25">
      <c r="A279" s="552"/>
      <c r="B279" s="552" t="s">
        <v>397</v>
      </c>
      <c r="C279" s="545" t="s">
        <v>130</v>
      </c>
      <c r="D279" s="550">
        <v>5.31</v>
      </c>
      <c r="E279" s="546">
        <v>124179</v>
      </c>
      <c r="F279" s="639"/>
      <c r="G279" s="651"/>
      <c r="H279" s="650"/>
      <c r="I279" s="668"/>
      <c r="J279" s="666"/>
      <c r="K279" s="682"/>
      <c r="L279" s="681"/>
      <c r="M279" s="692"/>
      <c r="N279" s="735"/>
      <c r="O279" s="738"/>
      <c r="P279" s="698"/>
      <c r="Q279" s="708"/>
      <c r="R279" s="704"/>
    </row>
    <row r="280" spans="1:18" x14ac:dyDescent="0.25">
      <c r="A280" s="552"/>
      <c r="B280" s="552" t="s">
        <v>398</v>
      </c>
      <c r="C280" s="545" t="s">
        <v>502</v>
      </c>
      <c r="D280" s="550">
        <v>198.74</v>
      </c>
      <c r="E280" s="546">
        <v>78262</v>
      </c>
      <c r="F280" s="639"/>
      <c r="G280" s="651"/>
      <c r="H280" s="650"/>
      <c r="I280" s="668"/>
      <c r="J280" s="666"/>
      <c r="K280" s="682"/>
      <c r="L280" s="681"/>
      <c r="M280" s="692"/>
      <c r="N280" s="735"/>
      <c r="O280" s="738"/>
      <c r="P280" s="698"/>
      <c r="Q280" s="708"/>
      <c r="R280" s="704"/>
    </row>
    <row r="281" spans="1:18" x14ac:dyDescent="0.25">
      <c r="A281" s="552"/>
      <c r="B281" s="552" t="s">
        <v>399</v>
      </c>
      <c r="C281" s="545" t="s">
        <v>131</v>
      </c>
      <c r="D281" s="550">
        <v>100.52</v>
      </c>
      <c r="E281" s="546">
        <v>77780</v>
      </c>
      <c r="F281" s="639"/>
      <c r="G281" s="651"/>
      <c r="H281" s="650"/>
      <c r="I281" s="668"/>
      <c r="J281" s="666"/>
      <c r="K281" s="682"/>
      <c r="L281" s="681"/>
      <c r="M281" s="692"/>
      <c r="N281" s="735"/>
      <c r="O281" s="738"/>
      <c r="P281" s="698"/>
      <c r="Q281" s="708"/>
      <c r="R281" s="704"/>
    </row>
    <row r="282" spans="1:18" x14ac:dyDescent="0.25">
      <c r="A282" s="552"/>
      <c r="B282" s="552" t="s">
        <v>400</v>
      </c>
      <c r="C282" s="545" t="s">
        <v>132</v>
      </c>
      <c r="D282" s="550">
        <v>378.18</v>
      </c>
      <c r="E282" s="546">
        <v>86901</v>
      </c>
      <c r="F282" s="635"/>
      <c r="G282" s="649"/>
      <c r="H282" s="650"/>
      <c r="I282" s="665"/>
      <c r="J282" s="666"/>
      <c r="K282" s="680"/>
      <c r="L282" s="681"/>
      <c r="M282" s="691"/>
      <c r="N282" s="735"/>
      <c r="O282" s="736"/>
      <c r="P282" s="698"/>
      <c r="Q282" s="707"/>
      <c r="R282" s="704"/>
    </row>
    <row r="283" spans="1:18" x14ac:dyDescent="0.25">
      <c r="A283" s="552"/>
      <c r="B283" s="552" t="s">
        <v>503</v>
      </c>
      <c r="C283" s="545" t="s">
        <v>504</v>
      </c>
      <c r="D283" s="550">
        <v>95.11</v>
      </c>
      <c r="E283" s="546">
        <v>86559</v>
      </c>
      <c r="F283" s="635"/>
      <c r="G283" s="649"/>
      <c r="H283" s="650"/>
      <c r="I283" s="665"/>
      <c r="J283" s="666"/>
      <c r="K283" s="680"/>
      <c r="L283" s="681"/>
      <c r="M283" s="691"/>
      <c r="N283" s="735"/>
      <c r="O283" s="736"/>
      <c r="P283" s="698"/>
      <c r="Q283" s="707"/>
      <c r="R283" s="704"/>
    </row>
    <row r="284" spans="1:18" x14ac:dyDescent="0.25">
      <c r="A284" s="552"/>
      <c r="B284" s="552" t="s">
        <v>401</v>
      </c>
      <c r="C284" s="545" t="s">
        <v>133</v>
      </c>
      <c r="D284" s="550">
        <v>202.03</v>
      </c>
      <c r="E284" s="546">
        <v>86503</v>
      </c>
      <c r="F284" s="635"/>
      <c r="G284" s="649"/>
      <c r="H284" s="650"/>
      <c r="I284" s="665"/>
      <c r="J284" s="666"/>
      <c r="K284" s="680"/>
      <c r="L284" s="681"/>
      <c r="M284" s="691"/>
      <c r="N284" s="735"/>
      <c r="O284" s="736"/>
      <c r="P284" s="698"/>
      <c r="Q284" s="707"/>
      <c r="R284" s="704"/>
    </row>
    <row r="285" spans="1:18" x14ac:dyDescent="0.25">
      <c r="A285" s="552"/>
      <c r="B285" s="552" t="s">
        <v>402</v>
      </c>
      <c r="C285" s="545" t="s">
        <v>144</v>
      </c>
      <c r="D285" s="550">
        <v>0.36</v>
      </c>
      <c r="E285" s="546">
        <v>86344</v>
      </c>
      <c r="F285" s="635"/>
      <c r="G285" s="649"/>
      <c r="H285" s="650"/>
      <c r="I285" s="665"/>
      <c r="J285" s="666"/>
      <c r="K285" s="680"/>
      <c r="L285" s="681"/>
      <c r="M285" s="691"/>
      <c r="N285" s="735"/>
      <c r="O285" s="736"/>
      <c r="P285" s="698"/>
      <c r="Q285" s="707"/>
      <c r="R285" s="704"/>
    </row>
    <row r="286" spans="1:18" x14ac:dyDescent="0.25">
      <c r="A286" s="552"/>
      <c r="B286" s="552" t="s">
        <v>403</v>
      </c>
      <c r="C286" s="545" t="s">
        <v>138</v>
      </c>
      <c r="D286" s="550">
        <v>56.72</v>
      </c>
      <c r="E286" s="546">
        <v>77495</v>
      </c>
      <c r="F286" s="635"/>
      <c r="G286" s="649"/>
      <c r="H286" s="650"/>
      <c r="I286" s="665"/>
      <c r="J286" s="666"/>
      <c r="K286" s="680"/>
      <c r="L286" s="681"/>
      <c r="M286" s="691"/>
      <c r="N286" s="735"/>
      <c r="O286" s="736"/>
      <c r="P286" s="698"/>
      <c r="Q286" s="707"/>
      <c r="R286" s="704"/>
    </row>
    <row r="287" spans="1:18" x14ac:dyDescent="0.25">
      <c r="A287" s="552"/>
      <c r="B287" s="552" t="s">
        <v>404</v>
      </c>
      <c r="C287" s="545" t="s">
        <v>139</v>
      </c>
      <c r="D287" s="550">
        <v>0.5</v>
      </c>
      <c r="E287" s="546">
        <v>69816</v>
      </c>
      <c r="F287" s="635"/>
      <c r="G287" s="649"/>
      <c r="H287" s="650"/>
      <c r="I287" s="665"/>
      <c r="J287" s="666"/>
      <c r="K287" s="680"/>
      <c r="L287" s="681"/>
      <c r="M287" s="691"/>
      <c r="N287" s="735"/>
      <c r="O287" s="736"/>
      <c r="P287" s="698"/>
      <c r="Q287" s="707"/>
      <c r="R287" s="704"/>
    </row>
    <row r="288" spans="1:18" x14ac:dyDescent="0.25">
      <c r="A288" s="552"/>
      <c r="B288" s="552" t="s">
        <v>405</v>
      </c>
      <c r="C288" s="545" t="s">
        <v>140</v>
      </c>
      <c r="D288" s="550">
        <v>9.81</v>
      </c>
      <c r="E288" s="546">
        <v>83886</v>
      </c>
      <c r="F288" s="635"/>
      <c r="G288" s="649"/>
      <c r="H288" s="650"/>
      <c r="I288" s="665"/>
      <c r="J288" s="666"/>
      <c r="K288" s="680"/>
      <c r="L288" s="681"/>
      <c r="M288" s="691"/>
      <c r="N288" s="735"/>
      <c r="O288" s="736"/>
      <c r="P288" s="698"/>
      <c r="Q288" s="707"/>
      <c r="R288" s="704"/>
    </row>
    <row r="289" spans="1:18" x14ac:dyDescent="0.25">
      <c r="A289" s="552"/>
      <c r="B289" s="552" t="s">
        <v>408</v>
      </c>
      <c r="C289" s="545" t="s">
        <v>142</v>
      </c>
      <c r="D289" s="550">
        <v>0.59</v>
      </c>
      <c r="E289" s="546">
        <v>56153</v>
      </c>
      <c r="F289" s="635"/>
      <c r="G289" s="649"/>
      <c r="H289" s="650"/>
      <c r="I289" s="665"/>
      <c r="J289" s="666"/>
      <c r="K289" s="680"/>
      <c r="L289" s="681"/>
      <c r="M289" s="691"/>
      <c r="N289" s="735"/>
      <c r="O289" s="736"/>
      <c r="P289" s="698"/>
      <c r="Q289" s="707"/>
      <c r="R289" s="704"/>
    </row>
    <row r="290" spans="1:18" x14ac:dyDescent="0.25">
      <c r="A290" s="552"/>
      <c r="B290" s="552" t="s">
        <v>410</v>
      </c>
      <c r="C290" s="545" t="s">
        <v>534</v>
      </c>
      <c r="D290" s="550">
        <v>1.08</v>
      </c>
      <c r="E290" s="546">
        <v>65258</v>
      </c>
      <c r="F290" s="635"/>
      <c r="G290" s="649"/>
      <c r="H290" s="650"/>
      <c r="I290" s="665"/>
      <c r="J290" s="666"/>
      <c r="K290" s="680"/>
      <c r="L290" s="681"/>
      <c r="M290" s="691"/>
      <c r="N290" s="735"/>
      <c r="O290" s="736"/>
      <c r="P290" s="698"/>
      <c r="Q290" s="707"/>
      <c r="R290" s="704"/>
    </row>
    <row r="291" spans="1:18" x14ac:dyDescent="0.25">
      <c r="A291" s="552"/>
      <c r="B291" s="552" t="s">
        <v>412</v>
      </c>
      <c r="C291" s="545" t="s">
        <v>135</v>
      </c>
      <c r="D291" s="550">
        <v>0.2</v>
      </c>
      <c r="E291" s="546">
        <v>48785</v>
      </c>
      <c r="F291" s="635"/>
      <c r="G291" s="649"/>
      <c r="H291" s="650"/>
      <c r="I291" s="665"/>
      <c r="J291" s="666"/>
      <c r="K291" s="680"/>
      <c r="L291" s="681"/>
      <c r="M291" s="691"/>
      <c r="N291" s="735"/>
      <c r="O291" s="736"/>
      <c r="P291" s="698"/>
      <c r="Q291" s="707"/>
      <c r="R291" s="704"/>
    </row>
    <row r="292" spans="1:18" x14ac:dyDescent="0.25">
      <c r="A292" s="552"/>
      <c r="B292" s="552" t="s">
        <v>417</v>
      </c>
      <c r="C292" s="545" t="s">
        <v>105</v>
      </c>
      <c r="D292" s="550">
        <v>520.84</v>
      </c>
      <c r="E292" s="546">
        <v>43749</v>
      </c>
      <c r="F292" s="635"/>
      <c r="G292" s="649"/>
      <c r="H292" s="650"/>
      <c r="I292" s="665"/>
      <c r="J292" s="666"/>
      <c r="K292" s="680"/>
      <c r="L292" s="681"/>
      <c r="M292" s="691"/>
      <c r="N292" s="735"/>
      <c r="O292" s="736"/>
      <c r="P292" s="698"/>
      <c r="Q292" s="707"/>
      <c r="R292" s="704"/>
    </row>
    <row r="293" spans="1:18" x14ac:dyDescent="0.25">
      <c r="A293" s="552"/>
      <c r="B293" s="552" t="s">
        <v>420</v>
      </c>
      <c r="C293" s="545" t="s">
        <v>108</v>
      </c>
      <c r="D293" s="550">
        <v>44</v>
      </c>
      <c r="E293" s="546">
        <v>54950</v>
      </c>
      <c r="F293" s="635"/>
      <c r="G293" s="649"/>
      <c r="H293" s="650"/>
      <c r="I293" s="665"/>
      <c r="J293" s="666"/>
      <c r="K293" s="680"/>
      <c r="L293" s="681"/>
      <c r="M293" s="691"/>
      <c r="N293" s="735"/>
      <c r="O293" s="736"/>
      <c r="P293" s="698"/>
      <c r="Q293" s="707"/>
      <c r="R293" s="704"/>
    </row>
    <row r="294" spans="1:18" x14ac:dyDescent="0.25">
      <c r="A294" s="552"/>
      <c r="B294" s="552" t="s">
        <v>422</v>
      </c>
      <c r="C294" s="545" t="s">
        <v>110</v>
      </c>
      <c r="D294" s="550">
        <v>62.03</v>
      </c>
      <c r="E294" s="546">
        <v>66654</v>
      </c>
      <c r="F294" s="635"/>
      <c r="G294" s="649"/>
      <c r="H294" s="650"/>
      <c r="I294" s="665"/>
      <c r="J294" s="666"/>
      <c r="K294" s="680"/>
      <c r="L294" s="681"/>
      <c r="M294" s="691"/>
      <c r="N294" s="735"/>
      <c r="O294" s="736"/>
      <c r="P294" s="698"/>
      <c r="Q294" s="707"/>
      <c r="R294" s="704"/>
    </row>
    <row r="295" spans="1:18" x14ac:dyDescent="0.25">
      <c r="A295" s="552"/>
      <c r="B295" s="552" t="s">
        <v>423</v>
      </c>
      <c r="C295" s="545" t="s">
        <v>111</v>
      </c>
      <c r="D295" s="550">
        <v>1.42</v>
      </c>
      <c r="E295" s="546">
        <v>61421</v>
      </c>
      <c r="F295" s="635"/>
      <c r="G295" s="649"/>
      <c r="H295" s="650"/>
      <c r="I295" s="665"/>
      <c r="J295" s="666"/>
      <c r="K295" s="680"/>
      <c r="L295" s="681"/>
      <c r="M295" s="691"/>
      <c r="N295" s="735"/>
      <c r="O295" s="736"/>
      <c r="P295" s="698"/>
      <c r="Q295" s="707"/>
      <c r="R295" s="704"/>
    </row>
    <row r="296" spans="1:18" x14ac:dyDescent="0.25">
      <c r="A296" s="552"/>
      <c r="B296" s="552" t="s">
        <v>424</v>
      </c>
      <c r="C296" s="545" t="s">
        <v>112</v>
      </c>
      <c r="D296" s="550">
        <v>4.82</v>
      </c>
      <c r="E296" s="546">
        <v>82220</v>
      </c>
      <c r="F296" s="635"/>
      <c r="G296" s="649"/>
      <c r="H296" s="650"/>
      <c r="I296" s="665"/>
      <c r="J296" s="666"/>
      <c r="K296" s="680"/>
      <c r="L296" s="681"/>
      <c r="M296" s="691"/>
      <c r="N296" s="735"/>
      <c r="O296" s="736"/>
      <c r="P296" s="698"/>
      <c r="Q296" s="707"/>
      <c r="R296" s="704"/>
    </row>
    <row r="297" spans="1:18" x14ac:dyDescent="0.25">
      <c r="A297" s="552"/>
      <c r="B297" s="552" t="s">
        <v>425</v>
      </c>
      <c r="C297" s="545" t="s">
        <v>104</v>
      </c>
      <c r="D297" s="550">
        <v>8.44</v>
      </c>
      <c r="E297" s="546">
        <v>96121</v>
      </c>
      <c r="F297" s="635"/>
      <c r="G297" s="649"/>
      <c r="H297" s="650"/>
      <c r="I297" s="665"/>
      <c r="J297" s="666"/>
      <c r="K297" s="680"/>
      <c r="L297" s="681"/>
      <c r="M297" s="691"/>
      <c r="N297" s="735"/>
      <c r="O297" s="736"/>
      <c r="P297" s="698"/>
      <c r="Q297" s="707"/>
      <c r="R297" s="704"/>
    </row>
    <row r="298" spans="1:18" x14ac:dyDescent="0.25">
      <c r="A298" s="241"/>
      <c r="B298" s="243"/>
      <c r="C298" s="241"/>
      <c r="D298" s="762"/>
      <c r="E298" s="629"/>
      <c r="F298" s="636">
        <f>SUM(D273:D291)</f>
        <v>1081.06</v>
      </c>
      <c r="G298" s="651">
        <f>(SUMPRODUCT(D273:D291,E273:E291))</f>
        <v>92324572.49000001</v>
      </c>
      <c r="H298" s="652">
        <f>SUM(D273:D279)</f>
        <v>37.22</v>
      </c>
      <c r="I298" s="668">
        <f>(SUMPRODUCT(D273:D279,E273:E279))</f>
        <v>4981493.4399999995</v>
      </c>
      <c r="J298" s="667">
        <f>SUM(D280:D290)</f>
        <v>1043.6399999999999</v>
      </c>
      <c r="K298" s="682">
        <f>(SUMPRODUCT(D280:D290,E280:E290))</f>
        <v>87333322.049999997</v>
      </c>
      <c r="L298" s="683">
        <f>SUM(D291:D291)</f>
        <v>0.2</v>
      </c>
      <c r="M298" s="692">
        <f>(SUMPRODUCT(D291:D291,E291:E291))</f>
        <v>9757</v>
      </c>
      <c r="N298" s="737">
        <f>+H298+J298+L298</f>
        <v>1081.06</v>
      </c>
      <c r="O298" s="738">
        <f>+I298+K298+M298</f>
        <v>92324572.489999995</v>
      </c>
      <c r="P298" s="699">
        <f>SUM(D292:D297)</f>
        <v>641.55000000000007</v>
      </c>
      <c r="Q298" s="708">
        <f>(SUMPRODUCT(D292:D297,E292:E297))</f>
        <v>30633356.239999998</v>
      </c>
      <c r="R298" s="704"/>
    </row>
    <row r="299" spans="1:18" x14ac:dyDescent="0.25">
      <c r="A299" s="552" t="s">
        <v>412</v>
      </c>
      <c r="B299" s="552" t="s">
        <v>293</v>
      </c>
      <c r="C299" s="545"/>
      <c r="D299" s="550"/>
      <c r="E299" s="546"/>
      <c r="F299" s="639"/>
      <c r="G299" s="651"/>
      <c r="H299" s="650"/>
      <c r="I299" s="668"/>
      <c r="J299" s="666"/>
      <c r="K299" s="682"/>
      <c r="L299" s="681"/>
      <c r="M299" s="692"/>
      <c r="N299" s="735"/>
      <c r="O299" s="738"/>
      <c r="P299" s="698"/>
      <c r="Q299" s="708"/>
      <c r="R299" s="704"/>
    </row>
    <row r="300" spans="1:18" x14ac:dyDescent="0.25">
      <c r="A300" s="552"/>
      <c r="B300" s="552" t="s">
        <v>392</v>
      </c>
      <c r="C300" s="545" t="s">
        <v>129</v>
      </c>
      <c r="D300" s="550">
        <v>12.1</v>
      </c>
      <c r="E300" s="546">
        <v>107610</v>
      </c>
      <c r="F300" s="639"/>
      <c r="G300" s="651"/>
      <c r="H300" s="650"/>
      <c r="I300" s="668"/>
      <c r="J300" s="666"/>
      <c r="K300" s="682"/>
      <c r="L300" s="681"/>
      <c r="M300" s="692"/>
      <c r="N300" s="735"/>
      <c r="O300" s="738"/>
      <c r="P300" s="698"/>
      <c r="Q300" s="708"/>
      <c r="R300" s="704"/>
    </row>
    <row r="301" spans="1:18" x14ac:dyDescent="0.25">
      <c r="A301" s="552"/>
      <c r="B301" s="552" t="s">
        <v>393</v>
      </c>
      <c r="C301" s="545" t="s">
        <v>136</v>
      </c>
      <c r="D301" s="550">
        <v>0.5</v>
      </c>
      <c r="E301" s="546">
        <v>126078</v>
      </c>
      <c r="F301" s="639"/>
      <c r="G301" s="651"/>
      <c r="H301" s="650"/>
      <c r="I301" s="668"/>
      <c r="J301" s="666"/>
      <c r="K301" s="682"/>
      <c r="L301" s="681"/>
      <c r="M301" s="692"/>
      <c r="N301" s="735"/>
      <c r="O301" s="738"/>
      <c r="P301" s="698"/>
      <c r="Q301" s="708"/>
      <c r="R301" s="704"/>
    </row>
    <row r="302" spans="1:18" x14ac:dyDescent="0.25">
      <c r="A302" s="552"/>
      <c r="B302" s="552" t="s">
        <v>395</v>
      </c>
      <c r="C302" s="545" t="s">
        <v>137</v>
      </c>
      <c r="D302" s="550">
        <v>0.2</v>
      </c>
      <c r="E302" s="546">
        <v>157085</v>
      </c>
      <c r="F302" s="639"/>
      <c r="G302" s="651"/>
      <c r="H302" s="650"/>
      <c r="I302" s="668"/>
      <c r="J302" s="666"/>
      <c r="K302" s="682"/>
      <c r="L302" s="681"/>
      <c r="M302" s="692"/>
      <c r="N302" s="735"/>
      <c r="O302" s="738"/>
      <c r="P302" s="698"/>
      <c r="Q302" s="708"/>
      <c r="R302" s="704"/>
    </row>
    <row r="303" spans="1:18" x14ac:dyDescent="0.25">
      <c r="A303" s="552"/>
      <c r="B303" s="552" t="s">
        <v>397</v>
      </c>
      <c r="C303" s="545" t="s">
        <v>130</v>
      </c>
      <c r="D303" s="550">
        <v>2.4300000000000002</v>
      </c>
      <c r="E303" s="546">
        <v>131318</v>
      </c>
      <c r="F303" s="639"/>
      <c r="G303" s="651"/>
      <c r="H303" s="650"/>
      <c r="I303" s="668"/>
      <c r="J303" s="666"/>
      <c r="K303" s="682"/>
      <c r="L303" s="681"/>
      <c r="M303" s="692"/>
      <c r="N303" s="735"/>
      <c r="O303" s="738"/>
      <c r="P303" s="698"/>
      <c r="Q303" s="708"/>
      <c r="R303" s="704"/>
    </row>
    <row r="304" spans="1:18" x14ac:dyDescent="0.25">
      <c r="A304" s="552"/>
      <c r="B304" s="552" t="s">
        <v>398</v>
      </c>
      <c r="C304" s="545" t="s">
        <v>502</v>
      </c>
      <c r="D304" s="550">
        <v>9.4600000000000009</v>
      </c>
      <c r="E304" s="546">
        <v>71314</v>
      </c>
      <c r="F304" s="639"/>
      <c r="G304" s="651"/>
      <c r="H304" s="650"/>
      <c r="I304" s="668"/>
      <c r="J304" s="666"/>
      <c r="K304" s="682"/>
      <c r="L304" s="681"/>
      <c r="M304" s="692"/>
      <c r="N304" s="735"/>
      <c r="O304" s="738"/>
      <c r="P304" s="698"/>
      <c r="Q304" s="708"/>
      <c r="R304" s="704"/>
    </row>
    <row r="305" spans="1:18" x14ac:dyDescent="0.25">
      <c r="A305" s="552"/>
      <c r="B305" s="552" t="s">
        <v>399</v>
      </c>
      <c r="C305" s="545" t="s">
        <v>131</v>
      </c>
      <c r="D305" s="550">
        <v>7.34</v>
      </c>
      <c r="E305" s="546">
        <v>84395</v>
      </c>
      <c r="F305" s="639"/>
      <c r="G305" s="651"/>
      <c r="H305" s="650"/>
      <c r="I305" s="668"/>
      <c r="J305" s="666"/>
      <c r="K305" s="682"/>
      <c r="L305" s="681"/>
      <c r="M305" s="692"/>
      <c r="N305" s="735"/>
      <c r="O305" s="738"/>
      <c r="P305" s="698"/>
      <c r="Q305" s="708"/>
      <c r="R305" s="704"/>
    </row>
    <row r="306" spans="1:18" x14ac:dyDescent="0.25">
      <c r="A306" s="552"/>
      <c r="B306" s="552" t="s">
        <v>400</v>
      </c>
      <c r="C306" s="545" t="s">
        <v>132</v>
      </c>
      <c r="D306" s="550">
        <v>18.690000000000001</v>
      </c>
      <c r="E306" s="546">
        <v>84263</v>
      </c>
      <c r="F306" s="639"/>
      <c r="G306" s="651"/>
      <c r="H306" s="650"/>
      <c r="I306" s="668"/>
      <c r="J306" s="666"/>
      <c r="K306" s="682"/>
      <c r="L306" s="681"/>
      <c r="M306" s="692"/>
      <c r="N306" s="735"/>
      <c r="O306" s="738"/>
      <c r="P306" s="698"/>
      <c r="Q306" s="708"/>
      <c r="R306" s="704"/>
    </row>
    <row r="307" spans="1:18" x14ac:dyDescent="0.25">
      <c r="A307" s="552"/>
      <c r="B307" s="552" t="s">
        <v>503</v>
      </c>
      <c r="C307" s="545" t="s">
        <v>504</v>
      </c>
      <c r="D307" s="550">
        <v>2.21</v>
      </c>
      <c r="E307" s="546">
        <v>95608</v>
      </c>
      <c r="F307" s="639"/>
      <c r="G307" s="651"/>
      <c r="H307" s="650"/>
      <c r="I307" s="668"/>
      <c r="J307" s="666"/>
      <c r="K307" s="682"/>
      <c r="L307" s="681"/>
      <c r="M307" s="692"/>
      <c r="N307" s="735"/>
      <c r="O307" s="738"/>
      <c r="P307" s="698"/>
      <c r="Q307" s="708"/>
      <c r="R307" s="704"/>
    </row>
    <row r="308" spans="1:18" x14ac:dyDescent="0.25">
      <c r="A308" s="552"/>
      <c r="B308" s="552" t="s">
        <v>401</v>
      </c>
      <c r="C308" s="545" t="s">
        <v>133</v>
      </c>
      <c r="D308" s="550">
        <v>106.09</v>
      </c>
      <c r="E308" s="546">
        <v>92548</v>
      </c>
      <c r="F308" s="635"/>
      <c r="G308" s="649"/>
      <c r="H308" s="650"/>
      <c r="I308" s="665"/>
      <c r="J308" s="666"/>
      <c r="K308" s="680"/>
      <c r="L308" s="681"/>
      <c r="M308" s="691"/>
      <c r="N308" s="735"/>
      <c r="O308" s="736"/>
      <c r="P308" s="698"/>
      <c r="Q308" s="707"/>
      <c r="R308" s="704"/>
    </row>
    <row r="309" spans="1:18" x14ac:dyDescent="0.25">
      <c r="A309" s="552"/>
      <c r="B309" s="552" t="s">
        <v>403</v>
      </c>
      <c r="C309" s="545" t="s">
        <v>138</v>
      </c>
      <c r="D309" s="550">
        <v>2.33</v>
      </c>
      <c r="E309" s="546">
        <v>80999</v>
      </c>
      <c r="F309" s="639"/>
      <c r="G309" s="651"/>
      <c r="H309" s="650"/>
      <c r="I309" s="668"/>
      <c r="J309" s="666"/>
      <c r="K309" s="682"/>
      <c r="L309" s="681"/>
      <c r="M309" s="692"/>
      <c r="N309" s="735"/>
      <c r="O309" s="738"/>
      <c r="P309" s="698"/>
      <c r="Q309" s="708"/>
      <c r="R309" s="704"/>
    </row>
    <row r="310" spans="1:18" x14ac:dyDescent="0.25">
      <c r="A310" s="552"/>
      <c r="B310" s="552" t="s">
        <v>405</v>
      </c>
      <c r="C310" s="545" t="s">
        <v>140</v>
      </c>
      <c r="D310" s="550">
        <v>2.44</v>
      </c>
      <c r="E310" s="546">
        <v>63230</v>
      </c>
      <c r="F310" s="639"/>
      <c r="G310" s="651"/>
      <c r="H310" s="650"/>
      <c r="I310" s="668"/>
      <c r="J310" s="666"/>
      <c r="K310" s="682"/>
      <c r="L310" s="681"/>
      <c r="M310" s="692"/>
      <c r="N310" s="735"/>
      <c r="O310" s="738"/>
      <c r="P310" s="698"/>
      <c r="Q310" s="708"/>
      <c r="R310" s="704"/>
    </row>
    <row r="311" spans="1:18" x14ac:dyDescent="0.25">
      <c r="A311" s="552"/>
      <c r="B311" s="552" t="s">
        <v>412</v>
      </c>
      <c r="C311" s="545" t="s">
        <v>135</v>
      </c>
      <c r="D311" s="550">
        <v>0.38</v>
      </c>
      <c r="E311" s="546">
        <v>27577</v>
      </c>
      <c r="F311" s="639"/>
      <c r="G311" s="651"/>
      <c r="H311" s="650"/>
      <c r="I311" s="668"/>
      <c r="J311" s="666"/>
      <c r="K311" s="682"/>
      <c r="L311" s="681"/>
      <c r="M311" s="692"/>
      <c r="N311" s="735"/>
      <c r="O311" s="738"/>
      <c r="P311" s="698"/>
      <c r="Q311" s="708"/>
      <c r="R311" s="704"/>
    </row>
    <row r="312" spans="1:18" x14ac:dyDescent="0.25">
      <c r="A312" s="552"/>
      <c r="B312" s="552" t="s">
        <v>417</v>
      </c>
      <c r="C312" s="545" t="s">
        <v>105</v>
      </c>
      <c r="D312" s="550">
        <v>14.7</v>
      </c>
      <c r="E312" s="546">
        <v>41402</v>
      </c>
      <c r="F312" s="639"/>
      <c r="G312" s="651"/>
      <c r="H312" s="650"/>
      <c r="I312" s="668"/>
      <c r="J312" s="666"/>
      <c r="K312" s="682"/>
      <c r="L312" s="681"/>
      <c r="M312" s="692"/>
      <c r="N312" s="735"/>
      <c r="O312" s="738"/>
      <c r="P312" s="698"/>
      <c r="Q312" s="708"/>
      <c r="R312" s="704"/>
    </row>
    <row r="313" spans="1:18" x14ac:dyDescent="0.25">
      <c r="A313" s="552"/>
      <c r="B313" s="552" t="s">
        <v>420</v>
      </c>
      <c r="C313" s="545" t="s">
        <v>108</v>
      </c>
      <c r="D313" s="550">
        <v>5.09</v>
      </c>
      <c r="E313" s="546">
        <v>56170</v>
      </c>
      <c r="F313" s="639"/>
      <c r="G313" s="651"/>
      <c r="H313" s="650"/>
      <c r="I313" s="668"/>
      <c r="J313" s="666"/>
      <c r="K313" s="682"/>
      <c r="L313" s="681"/>
      <c r="M313" s="692"/>
      <c r="N313" s="735"/>
      <c r="O313" s="738"/>
      <c r="P313" s="698"/>
      <c r="Q313" s="708"/>
      <c r="R313" s="704"/>
    </row>
    <row r="314" spans="1:18" x14ac:dyDescent="0.25">
      <c r="A314" s="552"/>
      <c r="B314" s="552" t="s">
        <v>422</v>
      </c>
      <c r="C314" s="545" t="s">
        <v>110</v>
      </c>
      <c r="D314" s="550">
        <v>19.52</v>
      </c>
      <c r="E314" s="546">
        <v>59657</v>
      </c>
      <c r="F314" s="639"/>
      <c r="G314" s="651"/>
      <c r="H314" s="650"/>
      <c r="I314" s="668"/>
      <c r="J314" s="666"/>
      <c r="K314" s="682"/>
      <c r="L314" s="681"/>
      <c r="M314" s="692"/>
      <c r="N314" s="735"/>
      <c r="O314" s="738"/>
      <c r="P314" s="698"/>
      <c r="Q314" s="708"/>
      <c r="R314" s="704"/>
    </row>
    <row r="315" spans="1:18" x14ac:dyDescent="0.25">
      <c r="A315" s="552"/>
      <c r="B315" s="552" t="s">
        <v>423</v>
      </c>
      <c r="C315" s="545" t="s">
        <v>111</v>
      </c>
      <c r="D315" s="550">
        <v>0.35</v>
      </c>
      <c r="E315" s="546">
        <v>75687</v>
      </c>
      <c r="F315" s="639"/>
      <c r="G315" s="651"/>
      <c r="H315" s="650"/>
      <c r="I315" s="668"/>
      <c r="J315" s="666"/>
      <c r="K315" s="682"/>
      <c r="L315" s="681"/>
      <c r="M315" s="692"/>
      <c r="N315" s="735"/>
      <c r="O315" s="738"/>
      <c r="P315" s="698"/>
      <c r="Q315" s="708"/>
      <c r="R315" s="704"/>
    </row>
    <row r="316" spans="1:18" x14ac:dyDescent="0.25">
      <c r="A316" s="552"/>
      <c r="B316" s="552" t="s">
        <v>424</v>
      </c>
      <c r="C316" s="545" t="s">
        <v>112</v>
      </c>
      <c r="D316" s="550">
        <v>1.1100000000000001</v>
      </c>
      <c r="E316" s="546">
        <v>83495</v>
      </c>
      <c r="F316" s="639"/>
      <c r="G316" s="651"/>
      <c r="H316" s="650"/>
      <c r="I316" s="668"/>
      <c r="J316" s="666"/>
      <c r="K316" s="682"/>
      <c r="L316" s="681"/>
      <c r="M316" s="692"/>
      <c r="N316" s="735"/>
      <c r="O316" s="738"/>
      <c r="P316" s="698"/>
      <c r="Q316" s="708"/>
      <c r="R316" s="704"/>
    </row>
    <row r="317" spans="1:18" x14ac:dyDescent="0.25">
      <c r="A317" s="552"/>
      <c r="B317" s="552" t="s">
        <v>425</v>
      </c>
      <c r="C317" s="545" t="s">
        <v>104</v>
      </c>
      <c r="D317" s="550">
        <v>3.7</v>
      </c>
      <c r="E317" s="546">
        <v>72594</v>
      </c>
      <c r="F317" s="639"/>
      <c r="G317" s="651"/>
      <c r="H317" s="650"/>
      <c r="I317" s="668"/>
      <c r="J317" s="666"/>
      <c r="K317" s="682"/>
      <c r="L317" s="681"/>
      <c r="M317" s="692"/>
      <c r="N317" s="735"/>
      <c r="O317" s="738"/>
      <c r="P317" s="698"/>
      <c r="Q317" s="708"/>
      <c r="R317" s="704"/>
    </row>
    <row r="318" spans="1:18" x14ac:dyDescent="0.25">
      <c r="A318" s="241"/>
      <c r="B318" s="243"/>
      <c r="C318" s="241"/>
      <c r="D318" s="762"/>
      <c r="E318" s="629"/>
      <c r="F318" s="636">
        <f>SUM(D300:D311)</f>
        <v>164.17000000000002</v>
      </c>
      <c r="G318" s="651">
        <f>(SUMPRODUCT(D300:D311,E300:E311))</f>
        <v>14967804.079999998</v>
      </c>
      <c r="H318" s="652">
        <f>SUM(D300:D303)</f>
        <v>15.229999999999999</v>
      </c>
      <c r="I318" s="668">
        <f>(SUMPRODUCT(D300:D303,E300:E303))</f>
        <v>1715639.74</v>
      </c>
      <c r="J318" s="667">
        <f>SUM(D304:D310)</f>
        <v>148.56000000000003</v>
      </c>
      <c r="K318" s="682">
        <f>(SUMPRODUCT(D304:D310,E304:E310))</f>
        <v>13241685.08</v>
      </c>
      <c r="L318" s="683">
        <f>SUM(D311:D311)</f>
        <v>0.38</v>
      </c>
      <c r="M318" s="692">
        <f>(SUMPRODUCT(D311:D311,E311:E311))</f>
        <v>10479.26</v>
      </c>
      <c r="N318" s="737">
        <f>+H318+J318+L318</f>
        <v>164.17000000000002</v>
      </c>
      <c r="O318" s="738">
        <f>+I318+K318+M318</f>
        <v>14967804.08</v>
      </c>
      <c r="P318" s="699">
        <f>SUM(D312:D317)</f>
        <v>44.470000000000006</v>
      </c>
      <c r="Q318" s="708">
        <f>(SUMPRODUCT(D312:D317,E312:E317))</f>
        <v>2446787.0399999996</v>
      </c>
      <c r="R318" s="704"/>
    </row>
    <row r="319" spans="1:18" x14ac:dyDescent="0.25">
      <c r="A319" s="552" t="s">
        <v>561</v>
      </c>
      <c r="B319" s="552" t="s">
        <v>294</v>
      </c>
      <c r="C319" s="545"/>
      <c r="D319" s="550"/>
      <c r="E319" s="546"/>
      <c r="F319" s="635"/>
      <c r="G319" s="649"/>
      <c r="H319" s="650"/>
      <c r="I319" s="665"/>
      <c r="J319" s="666"/>
      <c r="K319" s="680"/>
      <c r="L319" s="681"/>
      <c r="M319" s="691"/>
      <c r="N319" s="735"/>
      <c r="O319" s="736"/>
      <c r="P319" s="698"/>
      <c r="Q319" s="707"/>
      <c r="R319" s="704"/>
    </row>
    <row r="320" spans="1:18" x14ac:dyDescent="0.25">
      <c r="A320" s="552"/>
      <c r="B320" s="552" t="s">
        <v>392</v>
      </c>
      <c r="C320" s="545" t="s">
        <v>129</v>
      </c>
      <c r="D320" s="550">
        <v>4.3600000000000003</v>
      </c>
      <c r="E320" s="546">
        <v>116288</v>
      </c>
      <c r="F320" s="635"/>
      <c r="G320" s="649"/>
      <c r="H320" s="650"/>
      <c r="I320" s="665"/>
      <c r="J320" s="666"/>
      <c r="K320" s="680"/>
      <c r="L320" s="681"/>
      <c r="M320" s="691"/>
      <c r="N320" s="735"/>
      <c r="O320" s="736"/>
      <c r="P320" s="698"/>
      <c r="Q320" s="707"/>
      <c r="R320" s="704"/>
    </row>
    <row r="321" spans="1:18" x14ac:dyDescent="0.25">
      <c r="A321" s="552"/>
      <c r="B321" s="552" t="s">
        <v>395</v>
      </c>
      <c r="C321" s="545" t="s">
        <v>137</v>
      </c>
      <c r="D321" s="550">
        <v>1</v>
      </c>
      <c r="E321" s="546">
        <v>147633</v>
      </c>
      <c r="F321" s="635"/>
      <c r="G321" s="649"/>
      <c r="H321" s="650"/>
      <c r="I321" s="665"/>
      <c r="J321" s="666"/>
      <c r="K321" s="680"/>
      <c r="L321" s="681"/>
      <c r="M321" s="691"/>
      <c r="N321" s="735"/>
      <c r="O321" s="736"/>
      <c r="P321" s="698"/>
      <c r="Q321" s="707"/>
      <c r="R321" s="704"/>
    </row>
    <row r="322" spans="1:18" x14ac:dyDescent="0.25">
      <c r="A322" s="552"/>
      <c r="B322" s="552" t="s">
        <v>397</v>
      </c>
      <c r="C322" s="545" t="s">
        <v>130</v>
      </c>
      <c r="D322" s="550">
        <v>0.83</v>
      </c>
      <c r="E322" s="546">
        <v>106602</v>
      </c>
      <c r="F322" s="639"/>
      <c r="G322" s="651"/>
      <c r="H322" s="650"/>
      <c r="I322" s="668"/>
      <c r="J322" s="666"/>
      <c r="K322" s="682"/>
      <c r="L322" s="681"/>
      <c r="M322" s="692"/>
      <c r="N322" s="735"/>
      <c r="O322" s="738"/>
      <c r="P322" s="698"/>
      <c r="Q322" s="708"/>
      <c r="R322" s="704"/>
    </row>
    <row r="323" spans="1:18" x14ac:dyDescent="0.25">
      <c r="A323" s="552"/>
      <c r="B323" s="552" t="s">
        <v>398</v>
      </c>
      <c r="C323" s="545" t="s">
        <v>502</v>
      </c>
      <c r="D323" s="550">
        <v>0.14000000000000001</v>
      </c>
      <c r="E323" s="546">
        <v>72927</v>
      </c>
      <c r="F323" s="635"/>
      <c r="G323" s="649"/>
      <c r="H323" s="650"/>
      <c r="I323" s="665"/>
      <c r="J323" s="666"/>
      <c r="K323" s="680"/>
      <c r="L323" s="681"/>
      <c r="M323" s="691"/>
      <c r="N323" s="735"/>
      <c r="O323" s="736"/>
      <c r="P323" s="698"/>
      <c r="Q323" s="707"/>
      <c r="R323" s="704"/>
    </row>
    <row r="324" spans="1:18" x14ac:dyDescent="0.25">
      <c r="A324" s="552"/>
      <c r="B324" s="552" t="s">
        <v>399</v>
      </c>
      <c r="C324" s="545" t="s">
        <v>131</v>
      </c>
      <c r="D324" s="550">
        <v>2.85</v>
      </c>
      <c r="E324" s="546">
        <v>80479</v>
      </c>
      <c r="F324" s="635"/>
      <c r="G324" s="649"/>
      <c r="H324" s="650"/>
      <c r="I324" s="665"/>
      <c r="J324" s="666"/>
      <c r="K324" s="680"/>
      <c r="L324" s="681"/>
      <c r="M324" s="691"/>
      <c r="N324" s="735"/>
      <c r="O324" s="736"/>
      <c r="P324" s="698"/>
      <c r="Q324" s="707"/>
      <c r="R324" s="704"/>
    </row>
    <row r="325" spans="1:18" x14ac:dyDescent="0.25">
      <c r="A325" s="552"/>
      <c r="B325" s="552" t="s">
        <v>400</v>
      </c>
      <c r="C325" s="545" t="s">
        <v>132</v>
      </c>
      <c r="D325" s="550">
        <v>0.3</v>
      </c>
      <c r="E325" s="546">
        <v>95263</v>
      </c>
      <c r="F325" s="635"/>
      <c r="G325" s="649"/>
      <c r="H325" s="650"/>
      <c r="I325" s="665"/>
      <c r="J325" s="666"/>
      <c r="K325" s="680"/>
      <c r="L325" s="681"/>
      <c r="M325" s="691"/>
      <c r="N325" s="735"/>
      <c r="O325" s="736"/>
      <c r="P325" s="698"/>
      <c r="Q325" s="707"/>
      <c r="R325" s="704"/>
    </row>
    <row r="326" spans="1:18" x14ac:dyDescent="0.25">
      <c r="A326" s="552"/>
      <c r="B326" s="552" t="s">
        <v>503</v>
      </c>
      <c r="C326" s="545" t="s">
        <v>504</v>
      </c>
      <c r="D326" s="550">
        <v>0.2</v>
      </c>
      <c r="E326" s="546">
        <v>92565</v>
      </c>
      <c r="F326" s="635"/>
      <c r="G326" s="649"/>
      <c r="H326" s="650"/>
      <c r="I326" s="665"/>
      <c r="J326" s="666"/>
      <c r="K326" s="680"/>
      <c r="L326" s="681"/>
      <c r="M326" s="691"/>
      <c r="N326" s="735"/>
      <c r="O326" s="736"/>
      <c r="P326" s="698"/>
      <c r="Q326" s="707"/>
      <c r="R326" s="704"/>
    </row>
    <row r="327" spans="1:18" x14ac:dyDescent="0.25">
      <c r="A327" s="552"/>
      <c r="B327" s="552" t="s">
        <v>401</v>
      </c>
      <c r="C327" s="545" t="s">
        <v>133</v>
      </c>
      <c r="D327" s="550">
        <v>4.96</v>
      </c>
      <c r="E327" s="546">
        <v>73858</v>
      </c>
      <c r="F327" s="635"/>
      <c r="G327" s="649"/>
      <c r="H327" s="650"/>
      <c r="I327" s="665"/>
      <c r="J327" s="666"/>
      <c r="K327" s="680"/>
      <c r="L327" s="681"/>
      <c r="M327" s="691"/>
      <c r="N327" s="735"/>
      <c r="O327" s="736"/>
      <c r="P327" s="698"/>
      <c r="Q327" s="707"/>
      <c r="R327" s="704"/>
    </row>
    <row r="328" spans="1:18" x14ac:dyDescent="0.25">
      <c r="A328" s="552"/>
      <c r="B328" s="552" t="s">
        <v>403</v>
      </c>
      <c r="C328" s="545" t="s">
        <v>138</v>
      </c>
      <c r="D328" s="550">
        <v>11.63</v>
      </c>
      <c r="E328" s="546">
        <v>71393</v>
      </c>
      <c r="F328" s="635"/>
      <c r="G328" s="649"/>
      <c r="H328" s="650"/>
      <c r="I328" s="665"/>
      <c r="J328" s="666"/>
      <c r="K328" s="680"/>
      <c r="L328" s="681"/>
      <c r="M328" s="691"/>
      <c r="N328" s="735"/>
      <c r="O328" s="736"/>
      <c r="P328" s="698"/>
      <c r="Q328" s="707"/>
      <c r="R328" s="704"/>
    </row>
    <row r="329" spans="1:18" x14ac:dyDescent="0.25">
      <c r="A329" s="552"/>
      <c r="B329" s="552" t="s">
        <v>405</v>
      </c>
      <c r="C329" s="545" t="s">
        <v>140</v>
      </c>
      <c r="D329" s="550">
        <v>3.12</v>
      </c>
      <c r="E329" s="546">
        <v>82469</v>
      </c>
      <c r="F329" s="635"/>
      <c r="G329" s="649"/>
      <c r="H329" s="650"/>
      <c r="I329" s="665"/>
      <c r="J329" s="666"/>
      <c r="K329" s="680"/>
      <c r="L329" s="681"/>
      <c r="M329" s="691"/>
      <c r="N329" s="735"/>
      <c r="O329" s="736"/>
      <c r="P329" s="698"/>
      <c r="Q329" s="707"/>
      <c r="R329" s="704"/>
    </row>
    <row r="330" spans="1:18" x14ac:dyDescent="0.25">
      <c r="A330" s="552"/>
      <c r="B330" s="552" t="s">
        <v>408</v>
      </c>
      <c r="C330" s="545" t="s">
        <v>142</v>
      </c>
      <c r="D330" s="550">
        <v>1.56</v>
      </c>
      <c r="E330" s="546">
        <v>61584</v>
      </c>
      <c r="F330" s="635"/>
      <c r="G330" s="649"/>
      <c r="H330" s="650"/>
      <c r="I330" s="665"/>
      <c r="J330" s="666"/>
      <c r="K330" s="680"/>
      <c r="L330" s="681"/>
      <c r="M330" s="691"/>
      <c r="N330" s="735"/>
      <c r="O330" s="736"/>
      <c r="P330" s="698"/>
      <c r="Q330" s="707"/>
      <c r="R330" s="704"/>
    </row>
    <row r="331" spans="1:18" x14ac:dyDescent="0.25">
      <c r="A331" s="552"/>
      <c r="B331" s="552" t="s">
        <v>416</v>
      </c>
      <c r="C331" s="545" t="s">
        <v>263</v>
      </c>
      <c r="D331" s="550">
        <v>0.06</v>
      </c>
      <c r="E331" s="546">
        <v>21197</v>
      </c>
      <c r="F331" s="635"/>
      <c r="G331" s="649"/>
      <c r="H331" s="650"/>
      <c r="I331" s="665"/>
      <c r="J331" s="666"/>
      <c r="K331" s="680"/>
      <c r="L331" s="681"/>
      <c r="M331" s="691"/>
      <c r="N331" s="735"/>
      <c r="O331" s="736"/>
      <c r="P331" s="698"/>
      <c r="Q331" s="707"/>
      <c r="R331" s="704"/>
    </row>
    <row r="332" spans="1:18" x14ac:dyDescent="0.25">
      <c r="A332" s="552"/>
      <c r="B332" s="552" t="s">
        <v>417</v>
      </c>
      <c r="C332" s="545" t="s">
        <v>105</v>
      </c>
      <c r="D332" s="550">
        <v>65.22</v>
      </c>
      <c r="E332" s="546">
        <v>43430</v>
      </c>
      <c r="F332" s="635"/>
      <c r="G332" s="649"/>
      <c r="H332" s="650"/>
      <c r="I332" s="665"/>
      <c r="J332" s="666"/>
      <c r="K332" s="680"/>
      <c r="L332" s="681"/>
      <c r="M332" s="691"/>
      <c r="N332" s="735"/>
      <c r="O332" s="736"/>
      <c r="P332" s="698"/>
      <c r="Q332" s="707"/>
      <c r="R332" s="704"/>
    </row>
    <row r="333" spans="1:18" x14ac:dyDescent="0.25">
      <c r="A333" s="552"/>
      <c r="B333" s="552" t="s">
        <v>420</v>
      </c>
      <c r="C333" s="545" t="s">
        <v>108</v>
      </c>
      <c r="D333" s="550">
        <v>55.51</v>
      </c>
      <c r="E333" s="546">
        <v>51427</v>
      </c>
      <c r="F333" s="635"/>
      <c r="G333" s="649"/>
      <c r="H333" s="650"/>
      <c r="I333" s="665"/>
      <c r="J333" s="666"/>
      <c r="K333" s="680"/>
      <c r="L333" s="681"/>
      <c r="M333" s="691"/>
      <c r="N333" s="735"/>
      <c r="O333" s="736"/>
      <c r="P333" s="698"/>
      <c r="Q333" s="707"/>
      <c r="R333" s="704"/>
    </row>
    <row r="334" spans="1:18" x14ac:dyDescent="0.25">
      <c r="A334" s="552"/>
      <c r="B334" s="552" t="s">
        <v>422</v>
      </c>
      <c r="C334" s="545" t="s">
        <v>110</v>
      </c>
      <c r="D334" s="550">
        <v>14.75</v>
      </c>
      <c r="E334" s="546">
        <v>62634</v>
      </c>
      <c r="F334" s="635"/>
      <c r="G334" s="649"/>
      <c r="H334" s="650"/>
      <c r="I334" s="665"/>
      <c r="J334" s="666"/>
      <c r="K334" s="680"/>
      <c r="L334" s="681"/>
      <c r="M334" s="691"/>
      <c r="N334" s="735"/>
      <c r="O334" s="736"/>
      <c r="P334" s="698"/>
      <c r="Q334" s="707"/>
      <c r="R334" s="704"/>
    </row>
    <row r="335" spans="1:18" x14ac:dyDescent="0.25">
      <c r="A335" s="552"/>
      <c r="B335" s="552" t="s">
        <v>424</v>
      </c>
      <c r="C335" s="545" t="s">
        <v>112</v>
      </c>
      <c r="D335" s="550">
        <v>0.81</v>
      </c>
      <c r="E335" s="546">
        <v>67861</v>
      </c>
      <c r="F335" s="635"/>
      <c r="G335" s="649"/>
      <c r="H335" s="650"/>
      <c r="I335" s="665"/>
      <c r="J335" s="666"/>
      <c r="K335" s="680"/>
      <c r="L335" s="681"/>
      <c r="M335" s="691"/>
      <c r="N335" s="735"/>
      <c r="O335" s="736"/>
      <c r="P335" s="698"/>
      <c r="Q335" s="707"/>
      <c r="R335" s="704"/>
    </row>
    <row r="336" spans="1:18" x14ac:dyDescent="0.25">
      <c r="A336" s="552"/>
      <c r="B336" s="552" t="s">
        <v>425</v>
      </c>
      <c r="C336" s="545" t="s">
        <v>104</v>
      </c>
      <c r="D336" s="550">
        <v>1.77</v>
      </c>
      <c r="E336" s="546">
        <v>81183</v>
      </c>
      <c r="F336" s="635"/>
      <c r="G336" s="649"/>
      <c r="H336" s="650"/>
      <c r="I336" s="665"/>
      <c r="J336" s="666"/>
      <c r="K336" s="680"/>
      <c r="L336" s="681"/>
      <c r="M336" s="691"/>
      <c r="N336" s="735"/>
      <c r="O336" s="736"/>
      <c r="P336" s="698"/>
      <c r="Q336" s="707"/>
      <c r="R336" s="704"/>
    </row>
    <row r="337" spans="1:18" x14ac:dyDescent="0.25">
      <c r="A337" s="241"/>
      <c r="B337" s="243"/>
      <c r="C337" s="241"/>
      <c r="D337" s="762"/>
      <c r="E337" s="629"/>
      <c r="F337" s="636">
        <f>SUM(D320:D330)</f>
        <v>30.950000000000003</v>
      </c>
      <c r="G337" s="651">
        <f>(SUMPRODUCT(D320:D330,E320:E330))</f>
        <v>2579805.7600000002</v>
      </c>
      <c r="H337" s="652">
        <f>SUM(D320:D322)</f>
        <v>6.19</v>
      </c>
      <c r="I337" s="668">
        <f>(SUMPRODUCT(D320:D322,E320:E322))</f>
        <v>743128.34000000008</v>
      </c>
      <c r="J337" s="667">
        <f>SUM(D323:D330)</f>
        <v>24.759999999999998</v>
      </c>
      <c r="K337" s="682">
        <f>(SUMPRODUCT(D323:D330,E323:E330))</f>
        <v>1836677.4200000002</v>
      </c>
      <c r="L337" s="683"/>
      <c r="M337" s="692"/>
      <c r="N337" s="737">
        <f>+H337+J337+L337</f>
        <v>30.95</v>
      </c>
      <c r="O337" s="738">
        <f>+I337+K337+M337</f>
        <v>2579805.7600000002</v>
      </c>
      <c r="P337" s="699">
        <f>SUM(D331:D336)</f>
        <v>138.12</v>
      </c>
      <c r="Q337" s="708">
        <f>(SUMPRODUCT(D331:D336,E331:E336))</f>
        <v>6811002.0099999998</v>
      </c>
      <c r="R337" s="704"/>
    </row>
    <row r="338" spans="1:18" x14ac:dyDescent="0.25">
      <c r="A338" s="552" t="s">
        <v>542</v>
      </c>
      <c r="B338" s="552" t="s">
        <v>607</v>
      </c>
      <c r="C338" s="545"/>
      <c r="D338" s="550"/>
      <c r="E338" s="546"/>
      <c r="F338" s="635"/>
      <c r="G338" s="649"/>
      <c r="H338" s="650"/>
      <c r="I338" s="665"/>
      <c r="J338" s="666"/>
      <c r="K338" s="680"/>
      <c r="L338" s="681"/>
      <c r="M338" s="691"/>
      <c r="N338" s="735"/>
      <c r="O338" s="736"/>
      <c r="P338" s="698"/>
      <c r="Q338" s="707"/>
      <c r="R338" s="704"/>
    </row>
    <row r="339" spans="1:18" x14ac:dyDescent="0.25">
      <c r="A339" s="552"/>
      <c r="B339" s="552" t="s">
        <v>417</v>
      </c>
      <c r="C339" s="545" t="s">
        <v>105</v>
      </c>
      <c r="D339" s="550">
        <v>0.14000000000000001</v>
      </c>
      <c r="E339" s="546">
        <v>50297</v>
      </c>
      <c r="F339" s="635"/>
      <c r="G339" s="649"/>
      <c r="H339" s="650"/>
      <c r="I339" s="665"/>
      <c r="J339" s="666"/>
      <c r="K339" s="680"/>
      <c r="L339" s="681"/>
      <c r="M339" s="691"/>
      <c r="N339" s="735"/>
      <c r="O339" s="736"/>
      <c r="P339" s="698"/>
      <c r="Q339" s="707"/>
      <c r="R339" s="704"/>
    </row>
    <row r="340" spans="1:18" x14ac:dyDescent="0.25">
      <c r="A340" s="241"/>
      <c r="B340" s="243"/>
      <c r="C340" s="241"/>
      <c r="D340" s="762"/>
      <c r="E340" s="629"/>
      <c r="F340" s="636"/>
      <c r="G340" s="651"/>
      <c r="H340" s="652"/>
      <c r="I340" s="668"/>
      <c r="J340" s="667"/>
      <c r="K340" s="682"/>
      <c r="L340" s="683"/>
      <c r="M340" s="692"/>
      <c r="N340" s="737"/>
      <c r="O340" s="738"/>
      <c r="P340" s="699">
        <f>SUM(D339:D339)</f>
        <v>0.14000000000000001</v>
      </c>
      <c r="Q340" s="708">
        <f>(SUMPRODUCT(D339:D339,E339:E339))</f>
        <v>7041.5800000000008</v>
      </c>
      <c r="R340" s="704"/>
    </row>
    <row r="341" spans="1:18" x14ac:dyDescent="0.25">
      <c r="A341" s="552" t="s">
        <v>562</v>
      </c>
      <c r="B341" s="552" t="s">
        <v>295</v>
      </c>
      <c r="C341" s="545"/>
      <c r="D341" s="550"/>
      <c r="E341" s="546"/>
      <c r="F341" s="639"/>
      <c r="G341" s="651"/>
      <c r="H341" s="650"/>
      <c r="I341" s="668"/>
      <c r="J341" s="666"/>
      <c r="K341" s="682"/>
      <c r="L341" s="681"/>
      <c r="M341" s="692"/>
      <c r="N341" s="735"/>
      <c r="O341" s="738"/>
      <c r="P341" s="698"/>
      <c r="Q341" s="708"/>
      <c r="R341" s="704"/>
    </row>
    <row r="342" spans="1:18" x14ac:dyDescent="0.25">
      <c r="A342" s="552"/>
      <c r="B342" s="552" t="s">
        <v>391</v>
      </c>
      <c r="C342" s="545" t="s">
        <v>128</v>
      </c>
      <c r="D342" s="550">
        <v>0.95</v>
      </c>
      <c r="E342" s="546">
        <v>164668</v>
      </c>
      <c r="F342" s="635"/>
      <c r="G342" s="649"/>
      <c r="H342" s="650"/>
      <c r="I342" s="665"/>
      <c r="J342" s="666"/>
      <c r="K342" s="680"/>
      <c r="L342" s="681"/>
      <c r="M342" s="691"/>
      <c r="N342" s="735"/>
      <c r="O342" s="736"/>
      <c r="P342" s="698"/>
      <c r="Q342" s="707"/>
      <c r="R342" s="704"/>
    </row>
    <row r="343" spans="1:18" x14ac:dyDescent="0.25">
      <c r="A343" s="552"/>
      <c r="B343" s="552" t="s">
        <v>392</v>
      </c>
      <c r="C343" s="545" t="s">
        <v>129</v>
      </c>
      <c r="D343" s="550">
        <v>45.19</v>
      </c>
      <c r="E343" s="546">
        <v>130463</v>
      </c>
      <c r="F343" s="635"/>
      <c r="G343" s="649"/>
      <c r="H343" s="650"/>
      <c r="I343" s="665"/>
      <c r="J343" s="666"/>
      <c r="K343" s="680"/>
      <c r="L343" s="681"/>
      <c r="M343" s="691"/>
      <c r="N343" s="735"/>
      <c r="O343" s="736"/>
      <c r="P343" s="698"/>
      <c r="Q343" s="707"/>
      <c r="R343" s="704"/>
    </row>
    <row r="344" spans="1:18" x14ac:dyDescent="0.25">
      <c r="A344" s="552"/>
      <c r="B344" s="552" t="s">
        <v>393</v>
      </c>
      <c r="C344" s="545" t="s">
        <v>136</v>
      </c>
      <c r="D344" s="550">
        <v>0.25</v>
      </c>
      <c r="E344" s="546">
        <v>122116</v>
      </c>
      <c r="F344" s="635"/>
      <c r="G344" s="649"/>
      <c r="H344" s="650"/>
      <c r="I344" s="665"/>
      <c r="J344" s="666"/>
      <c r="K344" s="680"/>
      <c r="L344" s="681"/>
      <c r="M344" s="691"/>
      <c r="N344" s="735"/>
      <c r="O344" s="736"/>
      <c r="P344" s="698"/>
      <c r="Q344" s="707"/>
      <c r="R344" s="704"/>
    </row>
    <row r="345" spans="1:18" x14ac:dyDescent="0.25">
      <c r="A345" s="552"/>
      <c r="B345" s="552" t="s">
        <v>395</v>
      </c>
      <c r="C345" s="545" t="s">
        <v>137</v>
      </c>
      <c r="D345" s="550">
        <v>0.1</v>
      </c>
      <c r="E345" s="546">
        <v>73330</v>
      </c>
      <c r="F345" s="635"/>
      <c r="G345" s="649"/>
      <c r="H345" s="650"/>
      <c r="I345" s="665"/>
      <c r="J345" s="666"/>
      <c r="K345" s="680"/>
      <c r="L345" s="681"/>
      <c r="M345" s="691"/>
      <c r="N345" s="735"/>
      <c r="O345" s="736"/>
      <c r="P345" s="698"/>
      <c r="Q345" s="707"/>
      <c r="R345" s="704"/>
    </row>
    <row r="346" spans="1:18" x14ac:dyDescent="0.25">
      <c r="A346" s="552"/>
      <c r="B346" s="552" t="s">
        <v>397</v>
      </c>
      <c r="C346" s="545" t="s">
        <v>130</v>
      </c>
      <c r="D346" s="550">
        <v>8.43</v>
      </c>
      <c r="E346" s="546">
        <v>114623</v>
      </c>
      <c r="F346" s="635"/>
      <c r="G346" s="649"/>
      <c r="H346" s="650"/>
      <c r="I346" s="665"/>
      <c r="J346" s="666"/>
      <c r="K346" s="680"/>
      <c r="L346" s="681"/>
      <c r="M346" s="691"/>
      <c r="N346" s="735"/>
      <c r="O346" s="736"/>
      <c r="P346" s="698"/>
      <c r="Q346" s="707"/>
      <c r="R346" s="704"/>
    </row>
    <row r="347" spans="1:18" x14ac:dyDescent="0.25">
      <c r="A347" s="552"/>
      <c r="B347" s="552" t="s">
        <v>398</v>
      </c>
      <c r="C347" s="545" t="s">
        <v>502</v>
      </c>
      <c r="D347" s="550">
        <v>284.79000000000002</v>
      </c>
      <c r="E347" s="546">
        <v>81072</v>
      </c>
      <c r="F347" s="635"/>
      <c r="G347" s="649"/>
      <c r="H347" s="650"/>
      <c r="I347" s="665"/>
      <c r="J347" s="666"/>
      <c r="K347" s="680"/>
      <c r="L347" s="681"/>
      <c r="M347" s="691"/>
      <c r="N347" s="735"/>
      <c r="O347" s="736"/>
      <c r="P347" s="698"/>
      <c r="Q347" s="707"/>
      <c r="R347" s="704"/>
    </row>
    <row r="348" spans="1:18" x14ac:dyDescent="0.25">
      <c r="A348" s="552"/>
      <c r="B348" s="552" t="s">
        <v>399</v>
      </c>
      <c r="C348" s="545" t="s">
        <v>131</v>
      </c>
      <c r="D348" s="550">
        <v>307.86</v>
      </c>
      <c r="E348" s="546">
        <v>77234</v>
      </c>
      <c r="F348" s="635"/>
      <c r="G348" s="649"/>
      <c r="H348" s="650"/>
      <c r="I348" s="665"/>
      <c r="J348" s="666"/>
      <c r="K348" s="680"/>
      <c r="L348" s="681"/>
      <c r="M348" s="691"/>
      <c r="N348" s="735"/>
      <c r="O348" s="736"/>
      <c r="P348" s="698"/>
      <c r="Q348" s="707"/>
      <c r="R348" s="704"/>
    </row>
    <row r="349" spans="1:18" x14ac:dyDescent="0.25">
      <c r="A349" s="552"/>
      <c r="B349" s="552" t="s">
        <v>400</v>
      </c>
      <c r="C349" s="545" t="s">
        <v>132</v>
      </c>
      <c r="D349" s="550">
        <v>666.25</v>
      </c>
      <c r="E349" s="546">
        <v>87044</v>
      </c>
      <c r="F349" s="635"/>
      <c r="G349" s="649"/>
      <c r="H349" s="650"/>
      <c r="I349" s="665"/>
      <c r="J349" s="666"/>
      <c r="K349" s="680"/>
      <c r="L349" s="681"/>
      <c r="M349" s="691"/>
      <c r="N349" s="735"/>
      <c r="O349" s="736"/>
      <c r="P349" s="698"/>
      <c r="Q349" s="707"/>
      <c r="R349" s="704"/>
    </row>
    <row r="350" spans="1:18" x14ac:dyDescent="0.25">
      <c r="A350" s="552"/>
      <c r="B350" s="552" t="s">
        <v>503</v>
      </c>
      <c r="C350" s="545" t="s">
        <v>504</v>
      </c>
      <c r="D350" s="550">
        <v>295.66000000000003</v>
      </c>
      <c r="E350" s="546">
        <v>88407</v>
      </c>
      <c r="F350" s="635"/>
      <c r="G350" s="649"/>
      <c r="H350" s="650"/>
      <c r="I350" s="665"/>
      <c r="J350" s="666"/>
      <c r="K350" s="680"/>
      <c r="L350" s="681"/>
      <c r="M350" s="691"/>
      <c r="N350" s="735"/>
      <c r="O350" s="736"/>
      <c r="P350" s="698"/>
      <c r="Q350" s="707"/>
      <c r="R350" s="704"/>
    </row>
    <row r="351" spans="1:18" x14ac:dyDescent="0.25">
      <c r="A351" s="552"/>
      <c r="B351" s="552" t="s">
        <v>401</v>
      </c>
      <c r="C351" s="545" t="s">
        <v>133</v>
      </c>
      <c r="D351" s="550">
        <v>293.69</v>
      </c>
      <c r="E351" s="546">
        <v>87720</v>
      </c>
      <c r="F351" s="635"/>
      <c r="G351" s="649"/>
      <c r="H351" s="650"/>
      <c r="I351" s="665"/>
      <c r="J351" s="666"/>
      <c r="K351" s="680"/>
      <c r="L351" s="681"/>
      <c r="M351" s="691"/>
      <c r="N351" s="735"/>
      <c r="O351" s="736"/>
      <c r="P351" s="698"/>
      <c r="Q351" s="707"/>
      <c r="R351" s="704"/>
    </row>
    <row r="352" spans="1:18" x14ac:dyDescent="0.25">
      <c r="A352" s="552"/>
      <c r="B352" s="552" t="s">
        <v>403</v>
      </c>
      <c r="C352" s="545" t="s">
        <v>138</v>
      </c>
      <c r="D352" s="550">
        <v>64.88</v>
      </c>
      <c r="E352" s="546">
        <v>71607</v>
      </c>
      <c r="F352" s="635"/>
      <c r="G352" s="649"/>
      <c r="H352" s="650"/>
      <c r="I352" s="665"/>
      <c r="J352" s="666"/>
      <c r="K352" s="680"/>
      <c r="L352" s="681"/>
      <c r="M352" s="691"/>
      <c r="N352" s="735"/>
      <c r="O352" s="736"/>
      <c r="P352" s="698"/>
      <c r="Q352" s="707"/>
      <c r="R352" s="704"/>
    </row>
    <row r="353" spans="1:18" x14ac:dyDescent="0.25">
      <c r="A353" s="552"/>
      <c r="B353" s="552" t="s">
        <v>404</v>
      </c>
      <c r="C353" s="545" t="s">
        <v>139</v>
      </c>
      <c r="D353" s="550">
        <v>0.8</v>
      </c>
      <c r="E353" s="546">
        <v>91137</v>
      </c>
      <c r="F353" s="635"/>
      <c r="G353" s="649"/>
      <c r="H353" s="650"/>
      <c r="I353" s="665"/>
      <c r="J353" s="666"/>
      <c r="K353" s="680"/>
      <c r="L353" s="681"/>
      <c r="M353" s="691"/>
      <c r="N353" s="735"/>
      <c r="O353" s="736"/>
      <c r="P353" s="698"/>
      <c r="Q353" s="707"/>
      <c r="R353" s="704"/>
    </row>
    <row r="354" spans="1:18" x14ac:dyDescent="0.25">
      <c r="A354" s="552"/>
      <c r="B354" s="552" t="s">
        <v>405</v>
      </c>
      <c r="C354" s="545" t="s">
        <v>140</v>
      </c>
      <c r="D354" s="550">
        <v>17.809999999999999</v>
      </c>
      <c r="E354" s="546">
        <v>66491</v>
      </c>
      <c r="F354" s="635"/>
      <c r="G354" s="649"/>
      <c r="H354" s="650"/>
      <c r="I354" s="665"/>
      <c r="J354" s="666"/>
      <c r="K354" s="680"/>
      <c r="L354" s="681"/>
      <c r="M354" s="691"/>
      <c r="N354" s="735"/>
      <c r="O354" s="736"/>
      <c r="P354" s="698"/>
      <c r="Q354" s="707"/>
      <c r="R354" s="704"/>
    </row>
    <row r="355" spans="1:18" x14ac:dyDescent="0.25">
      <c r="A355" s="552"/>
      <c r="B355" s="552" t="s">
        <v>407</v>
      </c>
      <c r="C355" s="545" t="s">
        <v>141</v>
      </c>
      <c r="D355" s="550">
        <v>0.6</v>
      </c>
      <c r="E355" s="546">
        <v>57258</v>
      </c>
      <c r="F355" s="635"/>
      <c r="G355" s="649"/>
      <c r="H355" s="650"/>
      <c r="I355" s="665"/>
      <c r="J355" s="666"/>
      <c r="K355" s="680"/>
      <c r="L355" s="681"/>
      <c r="M355" s="691"/>
      <c r="N355" s="735"/>
      <c r="O355" s="736"/>
      <c r="P355" s="698"/>
      <c r="Q355" s="707"/>
      <c r="R355" s="704"/>
    </row>
    <row r="356" spans="1:18" x14ac:dyDescent="0.25">
      <c r="A356" s="552"/>
      <c r="B356" s="552" t="s">
        <v>410</v>
      </c>
      <c r="C356" s="545" t="s">
        <v>534</v>
      </c>
      <c r="D356" s="550">
        <v>1.85</v>
      </c>
      <c r="E356" s="546">
        <v>83191</v>
      </c>
      <c r="F356" s="635"/>
      <c r="G356" s="649"/>
      <c r="H356" s="650"/>
      <c r="I356" s="665"/>
      <c r="J356" s="666"/>
      <c r="K356" s="680"/>
      <c r="L356" s="681"/>
      <c r="M356" s="691"/>
      <c r="N356" s="735"/>
      <c r="O356" s="736"/>
      <c r="P356" s="698"/>
      <c r="Q356" s="707"/>
      <c r="R356" s="704"/>
    </row>
    <row r="357" spans="1:18" x14ac:dyDescent="0.25">
      <c r="A357" s="552"/>
      <c r="B357" s="552" t="s">
        <v>412</v>
      </c>
      <c r="C357" s="545" t="s">
        <v>135</v>
      </c>
      <c r="D357" s="550">
        <v>2.2999999999999998</v>
      </c>
      <c r="E357" s="546">
        <v>66701</v>
      </c>
      <c r="F357" s="635"/>
      <c r="G357" s="649"/>
      <c r="H357" s="650"/>
      <c r="I357" s="665"/>
      <c r="J357" s="666"/>
      <c r="K357" s="680"/>
      <c r="L357" s="681"/>
      <c r="M357" s="691"/>
      <c r="N357" s="735"/>
      <c r="O357" s="736"/>
      <c r="P357" s="698"/>
      <c r="Q357" s="707"/>
      <c r="R357" s="704"/>
    </row>
    <row r="358" spans="1:18" x14ac:dyDescent="0.25">
      <c r="A358" s="552"/>
      <c r="B358" s="552" t="s">
        <v>414</v>
      </c>
      <c r="C358" s="545" t="s">
        <v>193</v>
      </c>
      <c r="D358" s="550">
        <v>0.96</v>
      </c>
      <c r="E358" s="546">
        <v>65425</v>
      </c>
      <c r="F358" s="635"/>
      <c r="G358" s="649"/>
      <c r="H358" s="650"/>
      <c r="I358" s="665"/>
      <c r="J358" s="666"/>
      <c r="K358" s="680"/>
      <c r="L358" s="681"/>
      <c r="M358" s="691"/>
      <c r="N358" s="735"/>
      <c r="O358" s="736"/>
      <c r="P358" s="698"/>
      <c r="Q358" s="707"/>
      <c r="R358" s="704"/>
    </row>
    <row r="359" spans="1:18" x14ac:dyDescent="0.25">
      <c r="A359" s="552"/>
      <c r="B359" s="552" t="s">
        <v>415</v>
      </c>
      <c r="C359" s="545" t="s">
        <v>194</v>
      </c>
      <c r="D359" s="550">
        <v>0.15</v>
      </c>
      <c r="E359" s="546">
        <v>65253</v>
      </c>
      <c r="F359" s="635"/>
      <c r="G359" s="649"/>
      <c r="H359" s="650"/>
      <c r="I359" s="665"/>
      <c r="J359" s="666"/>
      <c r="K359" s="680"/>
      <c r="L359" s="681"/>
      <c r="M359" s="691"/>
      <c r="N359" s="735"/>
      <c r="O359" s="736"/>
      <c r="P359" s="698"/>
      <c r="Q359" s="707"/>
      <c r="R359" s="704"/>
    </row>
    <row r="360" spans="1:18" x14ac:dyDescent="0.25">
      <c r="A360" s="552"/>
      <c r="B360" s="552" t="s">
        <v>417</v>
      </c>
      <c r="C360" s="545" t="s">
        <v>105</v>
      </c>
      <c r="D360" s="550">
        <v>1169.0899999999999</v>
      </c>
      <c r="E360" s="546">
        <v>43741</v>
      </c>
      <c r="F360" s="635"/>
      <c r="G360" s="649"/>
      <c r="H360" s="650"/>
      <c r="I360" s="665"/>
      <c r="J360" s="666"/>
      <c r="K360" s="680"/>
      <c r="L360" s="681"/>
      <c r="M360" s="691"/>
      <c r="N360" s="735"/>
      <c r="O360" s="736"/>
      <c r="P360" s="698"/>
      <c r="Q360" s="707"/>
      <c r="R360" s="704"/>
    </row>
    <row r="361" spans="1:18" x14ac:dyDescent="0.25">
      <c r="A361" s="552"/>
      <c r="B361" s="552" t="s">
        <v>420</v>
      </c>
      <c r="C361" s="545" t="s">
        <v>108</v>
      </c>
      <c r="D361" s="550">
        <v>41.48</v>
      </c>
      <c r="E361" s="546">
        <v>54052</v>
      </c>
      <c r="F361" s="635"/>
      <c r="G361" s="649"/>
      <c r="H361" s="650"/>
      <c r="I361" s="665"/>
      <c r="J361" s="666"/>
      <c r="K361" s="680"/>
      <c r="L361" s="681"/>
      <c r="M361" s="691"/>
      <c r="N361" s="735"/>
      <c r="O361" s="736"/>
      <c r="P361" s="698"/>
      <c r="Q361" s="707"/>
      <c r="R361" s="704"/>
    </row>
    <row r="362" spans="1:18" x14ac:dyDescent="0.25">
      <c r="A362" s="552"/>
      <c r="B362" s="552" t="s">
        <v>422</v>
      </c>
      <c r="C362" s="545" t="s">
        <v>110</v>
      </c>
      <c r="D362" s="550">
        <v>100.75</v>
      </c>
      <c r="E362" s="546">
        <v>62297</v>
      </c>
      <c r="F362" s="635"/>
      <c r="G362" s="649"/>
      <c r="H362" s="650"/>
      <c r="I362" s="665"/>
      <c r="J362" s="666"/>
      <c r="K362" s="680"/>
      <c r="L362" s="681"/>
      <c r="M362" s="691"/>
      <c r="N362" s="735"/>
      <c r="O362" s="736"/>
      <c r="P362" s="698"/>
      <c r="Q362" s="707"/>
      <c r="R362" s="704"/>
    </row>
    <row r="363" spans="1:18" x14ac:dyDescent="0.25">
      <c r="A363" s="552"/>
      <c r="B363" s="552" t="s">
        <v>424</v>
      </c>
      <c r="C363" s="545" t="s">
        <v>112</v>
      </c>
      <c r="D363" s="550">
        <v>9.93</v>
      </c>
      <c r="E363" s="546">
        <v>81890</v>
      </c>
      <c r="F363" s="635"/>
      <c r="G363" s="649"/>
      <c r="H363" s="650"/>
      <c r="I363" s="665"/>
      <c r="J363" s="666"/>
      <c r="K363" s="680"/>
      <c r="L363" s="681"/>
      <c r="M363" s="691"/>
      <c r="N363" s="735"/>
      <c r="O363" s="736"/>
      <c r="P363" s="698"/>
      <c r="Q363" s="707"/>
      <c r="R363" s="704"/>
    </row>
    <row r="364" spans="1:18" x14ac:dyDescent="0.25">
      <c r="A364" s="552"/>
      <c r="B364" s="552" t="s">
        <v>425</v>
      </c>
      <c r="C364" s="545" t="s">
        <v>104</v>
      </c>
      <c r="D364" s="550">
        <v>6.6</v>
      </c>
      <c r="E364" s="546">
        <v>94397</v>
      </c>
      <c r="F364" s="635"/>
      <c r="G364" s="649"/>
      <c r="H364" s="650"/>
      <c r="I364" s="665"/>
      <c r="J364" s="666"/>
      <c r="K364" s="680"/>
      <c r="L364" s="681"/>
      <c r="M364" s="691"/>
      <c r="N364" s="735"/>
      <c r="O364" s="736"/>
      <c r="P364" s="698"/>
      <c r="Q364" s="707"/>
      <c r="R364" s="704"/>
    </row>
    <row r="365" spans="1:18" x14ac:dyDescent="0.25">
      <c r="A365" s="241"/>
      <c r="B365" s="243"/>
      <c r="C365" s="241"/>
      <c r="D365" s="762"/>
      <c r="E365" s="629"/>
      <c r="F365" s="636">
        <f>SUM(D342:D359)</f>
        <v>1992.52</v>
      </c>
      <c r="G365" s="651">
        <f>(SUMPRODUCT(D342:D359,E342:E359))</f>
        <v>170133153.87000003</v>
      </c>
      <c r="H365" s="652">
        <f>SUM(D342:D346)</f>
        <v>54.92</v>
      </c>
      <c r="I365" s="668">
        <f>(SUMPRODUCT(D342:D346,E342:E346))</f>
        <v>7056191.459999999</v>
      </c>
      <c r="J365" s="667">
        <f>SUM(D347:D356,D358:D359)</f>
        <v>1935.3</v>
      </c>
      <c r="K365" s="682">
        <f>(SUMPRODUCT(D347:D356,E347:E356))+(SUMPRODUCT(D358:D359,E358:E359))</f>
        <v>162923550.11000001</v>
      </c>
      <c r="L365" s="683">
        <f>SUM(D357:D357)</f>
        <v>2.2999999999999998</v>
      </c>
      <c r="M365" s="692">
        <f>(SUMPRODUCT(D357:D357,E357:E357))</f>
        <v>153412.29999999999</v>
      </c>
      <c r="N365" s="737">
        <f>+H365+J365+L365</f>
        <v>1992.52</v>
      </c>
      <c r="O365" s="738">
        <f>+I365+K365+M365</f>
        <v>170133153.87000003</v>
      </c>
      <c r="P365" s="699">
        <f>SUM(D360:D364)</f>
        <v>1327.85</v>
      </c>
      <c r="Q365" s="708">
        <f>(SUMPRODUCT(D360:D364,E360:E364))</f>
        <v>61091853.300000004</v>
      </c>
      <c r="R365" s="704"/>
    </row>
    <row r="366" spans="1:18" x14ac:dyDescent="0.25">
      <c r="A366" s="552" t="s">
        <v>563</v>
      </c>
      <c r="B366" s="552" t="s">
        <v>296</v>
      </c>
      <c r="C366" s="545"/>
      <c r="D366" s="550"/>
      <c r="E366" s="546"/>
      <c r="F366" s="639"/>
      <c r="G366" s="651"/>
      <c r="H366" s="650"/>
      <c r="I366" s="668"/>
      <c r="J366" s="666"/>
      <c r="K366" s="682"/>
      <c r="L366" s="681"/>
      <c r="M366" s="692"/>
      <c r="N366" s="735"/>
      <c r="O366" s="738"/>
      <c r="P366" s="698"/>
      <c r="Q366" s="708"/>
      <c r="R366" s="704"/>
    </row>
    <row r="367" spans="1:18" x14ac:dyDescent="0.25">
      <c r="A367" s="552"/>
      <c r="B367" s="552" t="s">
        <v>392</v>
      </c>
      <c r="C367" s="545" t="s">
        <v>129</v>
      </c>
      <c r="D367" s="550">
        <v>0.25</v>
      </c>
      <c r="E367" s="546">
        <v>131112</v>
      </c>
      <c r="F367" s="635"/>
      <c r="G367" s="649"/>
      <c r="H367" s="650"/>
      <c r="I367" s="665"/>
      <c r="J367" s="666"/>
      <c r="K367" s="680"/>
      <c r="L367" s="681"/>
      <c r="M367" s="691"/>
      <c r="N367" s="735"/>
      <c r="O367" s="736"/>
      <c r="P367" s="698"/>
      <c r="Q367" s="707"/>
      <c r="R367" s="704"/>
    </row>
    <row r="368" spans="1:18" x14ac:dyDescent="0.25">
      <c r="A368" s="552"/>
      <c r="B368" s="552" t="s">
        <v>395</v>
      </c>
      <c r="C368" s="545" t="s">
        <v>137</v>
      </c>
      <c r="D368" s="550">
        <v>2.77</v>
      </c>
      <c r="E368" s="546">
        <v>146972</v>
      </c>
      <c r="F368" s="635"/>
      <c r="G368" s="649"/>
      <c r="H368" s="650"/>
      <c r="I368" s="665"/>
      <c r="J368" s="666"/>
      <c r="K368" s="680"/>
      <c r="L368" s="681"/>
      <c r="M368" s="691"/>
      <c r="N368" s="735"/>
      <c r="O368" s="736"/>
      <c r="P368" s="698"/>
      <c r="Q368" s="707"/>
      <c r="R368" s="704"/>
    </row>
    <row r="369" spans="1:18" x14ac:dyDescent="0.25">
      <c r="A369" s="552"/>
      <c r="B369" s="552" t="s">
        <v>396</v>
      </c>
      <c r="C369" s="545" t="s">
        <v>145</v>
      </c>
      <c r="D369" s="550">
        <v>1.61</v>
      </c>
      <c r="E369" s="546">
        <v>132344</v>
      </c>
      <c r="F369" s="635"/>
      <c r="G369" s="649"/>
      <c r="H369" s="650"/>
      <c r="I369" s="665"/>
      <c r="J369" s="666"/>
      <c r="K369" s="680"/>
      <c r="L369" s="681"/>
      <c r="M369" s="691"/>
      <c r="N369" s="735"/>
      <c r="O369" s="736"/>
      <c r="P369" s="698"/>
      <c r="Q369" s="707"/>
      <c r="R369" s="704"/>
    </row>
    <row r="370" spans="1:18" x14ac:dyDescent="0.25">
      <c r="A370" s="552"/>
      <c r="B370" s="552" t="s">
        <v>397</v>
      </c>
      <c r="C370" s="545" t="s">
        <v>130</v>
      </c>
      <c r="D370" s="550">
        <v>0.25</v>
      </c>
      <c r="E370" s="546">
        <v>118372</v>
      </c>
      <c r="F370" s="635"/>
      <c r="G370" s="649"/>
      <c r="H370" s="650"/>
      <c r="I370" s="665"/>
      <c r="J370" s="666"/>
      <c r="K370" s="680"/>
      <c r="L370" s="681"/>
      <c r="M370" s="691"/>
      <c r="N370" s="735"/>
      <c r="O370" s="736"/>
      <c r="P370" s="698"/>
      <c r="Q370" s="707"/>
      <c r="R370" s="704"/>
    </row>
    <row r="371" spans="1:18" x14ac:dyDescent="0.25">
      <c r="A371" s="552"/>
      <c r="B371" s="552" t="s">
        <v>399</v>
      </c>
      <c r="C371" s="545" t="s">
        <v>131</v>
      </c>
      <c r="D371" s="550">
        <v>34.61</v>
      </c>
      <c r="E371" s="546">
        <v>80894</v>
      </c>
      <c r="F371" s="635"/>
      <c r="G371" s="649"/>
      <c r="H371" s="650"/>
      <c r="I371" s="665"/>
      <c r="J371" s="666"/>
      <c r="K371" s="680"/>
      <c r="L371" s="681"/>
      <c r="M371" s="691"/>
      <c r="N371" s="735"/>
      <c r="O371" s="736"/>
      <c r="P371" s="698"/>
      <c r="Q371" s="707"/>
      <c r="R371" s="704"/>
    </row>
    <row r="372" spans="1:18" x14ac:dyDescent="0.25">
      <c r="A372" s="552"/>
      <c r="B372" s="552" t="s">
        <v>400</v>
      </c>
      <c r="C372" s="545" t="s">
        <v>132</v>
      </c>
      <c r="D372" s="550">
        <v>11.25</v>
      </c>
      <c r="E372" s="546">
        <v>79833</v>
      </c>
      <c r="F372" s="635"/>
      <c r="G372" s="649"/>
      <c r="H372" s="650"/>
      <c r="I372" s="665"/>
      <c r="J372" s="666"/>
      <c r="K372" s="680"/>
      <c r="L372" s="681"/>
      <c r="M372" s="691"/>
      <c r="N372" s="735"/>
      <c r="O372" s="736"/>
      <c r="P372" s="698"/>
      <c r="Q372" s="707"/>
      <c r="R372" s="704"/>
    </row>
    <row r="373" spans="1:18" x14ac:dyDescent="0.25">
      <c r="A373" s="552"/>
      <c r="B373" s="552" t="s">
        <v>403</v>
      </c>
      <c r="C373" s="545" t="s">
        <v>138</v>
      </c>
      <c r="D373" s="550">
        <v>1.2</v>
      </c>
      <c r="E373" s="546">
        <v>91861</v>
      </c>
      <c r="F373" s="635"/>
      <c r="G373" s="649"/>
      <c r="H373" s="650"/>
      <c r="I373" s="665"/>
      <c r="J373" s="666"/>
      <c r="K373" s="680"/>
      <c r="L373" s="681"/>
      <c r="M373" s="691"/>
      <c r="N373" s="735"/>
      <c r="O373" s="736"/>
      <c r="P373" s="698"/>
      <c r="Q373" s="707"/>
      <c r="R373" s="704"/>
    </row>
    <row r="374" spans="1:18" x14ac:dyDescent="0.25">
      <c r="A374" s="552"/>
      <c r="B374" s="552" t="s">
        <v>408</v>
      </c>
      <c r="C374" s="545" t="s">
        <v>142</v>
      </c>
      <c r="D374" s="550">
        <v>0.2</v>
      </c>
      <c r="E374" s="546">
        <v>51095</v>
      </c>
      <c r="F374" s="635"/>
      <c r="G374" s="649"/>
      <c r="H374" s="650"/>
      <c r="I374" s="665"/>
      <c r="J374" s="666"/>
      <c r="K374" s="680"/>
      <c r="L374" s="681"/>
      <c r="M374" s="691"/>
      <c r="N374" s="735"/>
      <c r="O374" s="736"/>
      <c r="P374" s="698"/>
      <c r="Q374" s="707"/>
      <c r="R374" s="704"/>
    </row>
    <row r="375" spans="1:18" x14ac:dyDescent="0.25">
      <c r="A375" s="552"/>
      <c r="B375" s="552" t="s">
        <v>417</v>
      </c>
      <c r="C375" s="545" t="s">
        <v>105</v>
      </c>
      <c r="D375" s="550">
        <v>6.5</v>
      </c>
      <c r="E375" s="546">
        <v>50463</v>
      </c>
      <c r="F375" s="635"/>
      <c r="G375" s="649"/>
      <c r="H375" s="650"/>
      <c r="I375" s="665"/>
      <c r="J375" s="666"/>
      <c r="K375" s="680"/>
      <c r="L375" s="681"/>
      <c r="M375" s="691"/>
      <c r="N375" s="735"/>
      <c r="O375" s="736"/>
      <c r="P375" s="698"/>
      <c r="Q375" s="707"/>
      <c r="R375" s="704"/>
    </row>
    <row r="376" spans="1:18" x14ac:dyDescent="0.25">
      <c r="A376" s="552"/>
      <c r="B376" s="552" t="s">
        <v>420</v>
      </c>
      <c r="C376" s="545" t="s">
        <v>108</v>
      </c>
      <c r="D376" s="550">
        <v>5.36</v>
      </c>
      <c r="E376" s="546">
        <v>51148</v>
      </c>
      <c r="F376" s="635"/>
      <c r="G376" s="649"/>
      <c r="H376" s="650"/>
      <c r="I376" s="665"/>
      <c r="J376" s="666"/>
      <c r="K376" s="680"/>
      <c r="L376" s="681"/>
      <c r="M376" s="691"/>
      <c r="N376" s="735"/>
      <c r="O376" s="736"/>
      <c r="P376" s="698"/>
      <c r="Q376" s="707"/>
      <c r="R376" s="704"/>
    </row>
    <row r="377" spans="1:18" x14ac:dyDescent="0.25">
      <c r="A377" s="552"/>
      <c r="B377" s="552" t="s">
        <v>422</v>
      </c>
      <c r="C377" s="545" t="s">
        <v>110</v>
      </c>
      <c r="D377" s="550">
        <v>0.31</v>
      </c>
      <c r="E377" s="546">
        <v>55022</v>
      </c>
      <c r="F377" s="635"/>
      <c r="G377" s="649"/>
      <c r="H377" s="650"/>
      <c r="I377" s="665"/>
      <c r="J377" s="666"/>
      <c r="K377" s="680"/>
      <c r="L377" s="681"/>
      <c r="M377" s="691"/>
      <c r="N377" s="735"/>
      <c r="O377" s="736"/>
      <c r="P377" s="698"/>
      <c r="Q377" s="707"/>
      <c r="R377" s="704"/>
    </row>
    <row r="378" spans="1:18" x14ac:dyDescent="0.25">
      <c r="A378" s="552"/>
      <c r="B378" s="552" t="s">
        <v>424</v>
      </c>
      <c r="C378" s="545" t="s">
        <v>112</v>
      </c>
      <c r="D378" s="550">
        <v>0.41</v>
      </c>
      <c r="E378" s="546">
        <v>62667</v>
      </c>
      <c r="F378" s="635"/>
      <c r="G378" s="649"/>
      <c r="H378" s="650"/>
      <c r="I378" s="665"/>
      <c r="J378" s="666"/>
      <c r="K378" s="680"/>
      <c r="L378" s="681"/>
      <c r="M378" s="691"/>
      <c r="N378" s="735"/>
      <c r="O378" s="736"/>
      <c r="P378" s="698"/>
      <c r="Q378" s="707"/>
      <c r="R378" s="704"/>
    </row>
    <row r="379" spans="1:18" x14ac:dyDescent="0.25">
      <c r="A379" s="241"/>
      <c r="B379" s="243"/>
      <c r="C379" s="241"/>
      <c r="D379" s="762"/>
      <c r="E379" s="629"/>
      <c r="F379" s="636">
        <f>SUM(D367:D374)</f>
        <v>52.140000000000008</v>
      </c>
      <c r="G379" s="651">
        <f>(SUMPRODUCT(D367:D374,E367:E374))</f>
        <v>4500872.07</v>
      </c>
      <c r="H379" s="652">
        <f>SUM(D367:D370)</f>
        <v>4.88</v>
      </c>
      <c r="I379" s="668">
        <f>(SUMPRODUCT(D367:D370,E367:E370))</f>
        <v>682557.28</v>
      </c>
      <c r="J379" s="667">
        <f>SUM(D371:D374)</f>
        <v>47.260000000000005</v>
      </c>
      <c r="K379" s="682">
        <f>(SUMPRODUCT(D371:D374,E371:E374))</f>
        <v>3818314.79</v>
      </c>
      <c r="L379" s="683"/>
      <c r="M379" s="692"/>
      <c r="N379" s="737">
        <f>+H379+J379+L379</f>
        <v>52.140000000000008</v>
      </c>
      <c r="O379" s="738">
        <f>+I379+K379+M379</f>
        <v>4500872.07</v>
      </c>
      <c r="P379" s="699">
        <f>SUM(D375:D378)</f>
        <v>12.58</v>
      </c>
      <c r="Q379" s="708">
        <f>(SUMPRODUCT(D375:D378,E375:E378))</f>
        <v>644913.06999999995</v>
      </c>
      <c r="R379" s="704"/>
    </row>
    <row r="380" spans="1:18" x14ac:dyDescent="0.25">
      <c r="A380" s="552" t="s">
        <v>564</v>
      </c>
      <c r="B380" s="552" t="s">
        <v>297</v>
      </c>
      <c r="C380" s="545"/>
      <c r="D380" s="550"/>
      <c r="E380" s="546"/>
      <c r="F380" s="639"/>
      <c r="G380" s="651"/>
      <c r="H380" s="650"/>
      <c r="I380" s="668"/>
      <c r="J380" s="666"/>
      <c r="K380" s="682"/>
      <c r="L380" s="681"/>
      <c r="M380" s="692"/>
      <c r="N380" s="735"/>
      <c r="O380" s="738"/>
      <c r="P380" s="698"/>
      <c r="Q380" s="708"/>
      <c r="R380" s="704"/>
    </row>
    <row r="381" spans="1:18" x14ac:dyDescent="0.25">
      <c r="A381" s="552"/>
      <c r="B381" s="552" t="s">
        <v>397</v>
      </c>
      <c r="C381" s="545" t="s">
        <v>130</v>
      </c>
      <c r="D381" s="550">
        <v>0.14000000000000001</v>
      </c>
      <c r="E381" s="546">
        <v>121965</v>
      </c>
      <c r="F381" s="635"/>
      <c r="G381" s="649"/>
      <c r="H381" s="650"/>
      <c r="I381" s="665"/>
      <c r="J381" s="666"/>
      <c r="K381" s="680"/>
      <c r="L381" s="681"/>
      <c r="M381" s="691"/>
      <c r="N381" s="735"/>
      <c r="O381" s="736"/>
      <c r="P381" s="698"/>
      <c r="Q381" s="707"/>
      <c r="R381" s="704"/>
    </row>
    <row r="382" spans="1:18" x14ac:dyDescent="0.25">
      <c r="A382" s="552"/>
      <c r="B382" s="552" t="s">
        <v>399</v>
      </c>
      <c r="C382" s="545" t="s">
        <v>131</v>
      </c>
      <c r="D382" s="550">
        <v>2.27</v>
      </c>
      <c r="E382" s="546">
        <v>75203</v>
      </c>
      <c r="F382" s="635"/>
      <c r="G382" s="649"/>
      <c r="H382" s="650"/>
      <c r="I382" s="665"/>
      <c r="J382" s="666"/>
      <c r="K382" s="680"/>
      <c r="L382" s="681"/>
      <c r="M382" s="691"/>
      <c r="N382" s="735"/>
      <c r="O382" s="736"/>
      <c r="P382" s="698"/>
      <c r="Q382" s="707"/>
      <c r="R382" s="704"/>
    </row>
    <row r="383" spans="1:18" x14ac:dyDescent="0.25">
      <c r="A383" s="552"/>
      <c r="B383" s="552" t="s">
        <v>401</v>
      </c>
      <c r="C383" s="545" t="s">
        <v>133</v>
      </c>
      <c r="D383" s="550">
        <v>2</v>
      </c>
      <c r="E383" s="546">
        <v>86159</v>
      </c>
      <c r="F383" s="635"/>
      <c r="G383" s="649"/>
      <c r="H383" s="650"/>
      <c r="I383" s="665"/>
      <c r="J383" s="666"/>
      <c r="K383" s="680"/>
      <c r="L383" s="681"/>
      <c r="M383" s="691"/>
      <c r="N383" s="735"/>
      <c r="O383" s="736"/>
      <c r="P383" s="698"/>
      <c r="Q383" s="707"/>
      <c r="R383" s="704"/>
    </row>
    <row r="384" spans="1:18" x14ac:dyDescent="0.25">
      <c r="A384" s="552"/>
      <c r="B384" s="552" t="s">
        <v>403</v>
      </c>
      <c r="C384" s="545" t="s">
        <v>138</v>
      </c>
      <c r="D384" s="550">
        <v>0.3</v>
      </c>
      <c r="E384" s="546">
        <v>85640</v>
      </c>
      <c r="F384" s="635"/>
      <c r="G384" s="649"/>
      <c r="H384" s="650"/>
      <c r="I384" s="665"/>
      <c r="J384" s="666"/>
      <c r="K384" s="680"/>
      <c r="L384" s="681"/>
      <c r="M384" s="691"/>
      <c r="N384" s="735"/>
      <c r="O384" s="736"/>
      <c r="P384" s="698"/>
      <c r="Q384" s="707"/>
      <c r="R384" s="704"/>
    </row>
    <row r="385" spans="1:18" x14ac:dyDescent="0.25">
      <c r="A385" s="552"/>
      <c r="B385" s="552" t="s">
        <v>417</v>
      </c>
      <c r="C385" s="545" t="s">
        <v>105</v>
      </c>
      <c r="D385" s="550">
        <v>10.76</v>
      </c>
      <c r="E385" s="546">
        <v>50052</v>
      </c>
      <c r="F385" s="635"/>
      <c r="G385" s="649"/>
      <c r="H385" s="650"/>
      <c r="I385" s="665"/>
      <c r="J385" s="666"/>
      <c r="K385" s="680"/>
      <c r="L385" s="681"/>
      <c r="M385" s="691"/>
      <c r="N385" s="735"/>
      <c r="O385" s="736"/>
      <c r="P385" s="698"/>
      <c r="Q385" s="707"/>
      <c r="R385" s="704"/>
    </row>
    <row r="386" spans="1:18" x14ac:dyDescent="0.25">
      <c r="A386" s="552"/>
      <c r="B386" s="552" t="s">
        <v>420</v>
      </c>
      <c r="C386" s="545" t="s">
        <v>108</v>
      </c>
      <c r="D386" s="550">
        <v>2.0099999999999998</v>
      </c>
      <c r="E386" s="546">
        <v>58569</v>
      </c>
      <c r="F386" s="635"/>
      <c r="G386" s="649"/>
      <c r="H386" s="650"/>
      <c r="I386" s="665"/>
      <c r="J386" s="666"/>
      <c r="K386" s="680"/>
      <c r="L386" s="681"/>
      <c r="M386" s="691"/>
      <c r="N386" s="735"/>
      <c r="O386" s="736"/>
      <c r="P386" s="698"/>
      <c r="Q386" s="707"/>
      <c r="R386" s="704"/>
    </row>
    <row r="387" spans="1:18" x14ac:dyDescent="0.25">
      <c r="A387" s="552"/>
      <c r="B387" s="552" t="s">
        <v>422</v>
      </c>
      <c r="C387" s="545" t="s">
        <v>110</v>
      </c>
      <c r="D387" s="550">
        <v>0.61</v>
      </c>
      <c r="E387" s="546">
        <v>54654</v>
      </c>
      <c r="F387" s="635"/>
      <c r="G387" s="649"/>
      <c r="H387" s="650"/>
      <c r="I387" s="665"/>
      <c r="J387" s="666"/>
      <c r="K387" s="680"/>
      <c r="L387" s="681"/>
      <c r="M387" s="691"/>
      <c r="N387" s="735"/>
      <c r="O387" s="736"/>
      <c r="P387" s="698"/>
      <c r="Q387" s="707"/>
      <c r="R387" s="704"/>
    </row>
    <row r="388" spans="1:18" x14ac:dyDescent="0.25">
      <c r="A388" s="241"/>
      <c r="B388" s="243"/>
      <c r="C388" s="241"/>
      <c r="D388" s="762"/>
      <c r="E388" s="629"/>
      <c r="F388" s="636">
        <f>SUM(D381:D384)</f>
        <v>4.71</v>
      </c>
      <c r="G388" s="651">
        <f>(SUMPRODUCT(D381:D384,E381:E384))</f>
        <v>385795.91000000003</v>
      </c>
      <c r="H388" s="652">
        <f>SUM(D381:D381)</f>
        <v>0.14000000000000001</v>
      </c>
      <c r="I388" s="668">
        <f>(SUMPRODUCT(D381:D381,E381:E381))</f>
        <v>17075.100000000002</v>
      </c>
      <c r="J388" s="667">
        <f>SUM(D382:D384)</f>
        <v>4.5699999999999994</v>
      </c>
      <c r="K388" s="682">
        <f>(SUMPRODUCT(D382:D384,E382:E384))</f>
        <v>368720.81</v>
      </c>
      <c r="L388" s="683"/>
      <c r="M388" s="692"/>
      <c r="N388" s="737">
        <f>+H388+J388+L388</f>
        <v>4.7099999999999991</v>
      </c>
      <c r="O388" s="738">
        <f>+I388+K388+M388</f>
        <v>385795.91</v>
      </c>
      <c r="P388" s="699">
        <f>SUM(D385:D387)</f>
        <v>13.379999999999999</v>
      </c>
      <c r="Q388" s="708">
        <f>(SUMPRODUCT(D385:D387,E385:E387))</f>
        <v>689622.14999999991</v>
      </c>
      <c r="R388" s="704"/>
    </row>
    <row r="389" spans="1:18" x14ac:dyDescent="0.25">
      <c r="A389" s="552" t="s">
        <v>565</v>
      </c>
      <c r="B389" s="552" t="s">
        <v>298</v>
      </c>
      <c r="C389" s="545"/>
      <c r="D389" s="550"/>
      <c r="E389" s="546"/>
      <c r="F389" s="635"/>
      <c r="G389" s="649"/>
      <c r="H389" s="650"/>
      <c r="I389" s="665"/>
      <c r="J389" s="666"/>
      <c r="K389" s="680"/>
      <c r="L389" s="681"/>
      <c r="M389" s="691"/>
      <c r="N389" s="735"/>
      <c r="O389" s="736"/>
      <c r="P389" s="698"/>
      <c r="Q389" s="707"/>
      <c r="R389" s="704"/>
    </row>
    <row r="390" spans="1:18" x14ac:dyDescent="0.25">
      <c r="A390" s="552"/>
      <c r="B390" s="552" t="s">
        <v>392</v>
      </c>
      <c r="C390" s="545" t="s">
        <v>129</v>
      </c>
      <c r="D390" s="550">
        <v>5.73</v>
      </c>
      <c r="E390" s="546">
        <v>136272</v>
      </c>
      <c r="F390" s="635"/>
      <c r="G390" s="649"/>
      <c r="H390" s="650"/>
      <c r="I390" s="665"/>
      <c r="J390" s="666"/>
      <c r="K390" s="680"/>
      <c r="L390" s="681"/>
      <c r="M390" s="691"/>
      <c r="N390" s="735"/>
      <c r="O390" s="736"/>
      <c r="P390" s="698"/>
      <c r="Q390" s="707"/>
      <c r="R390" s="704"/>
    </row>
    <row r="391" spans="1:18" x14ac:dyDescent="0.25">
      <c r="A391" s="552"/>
      <c r="B391" s="552" t="s">
        <v>396</v>
      </c>
      <c r="C391" s="545" t="s">
        <v>145</v>
      </c>
      <c r="D391" s="550">
        <v>0.3</v>
      </c>
      <c r="E391" s="546">
        <v>135277</v>
      </c>
      <c r="F391" s="635"/>
      <c r="G391" s="649"/>
      <c r="H391" s="650"/>
      <c r="I391" s="665"/>
      <c r="J391" s="666"/>
      <c r="K391" s="680"/>
      <c r="L391" s="681"/>
      <c r="M391" s="691"/>
      <c r="N391" s="735"/>
      <c r="O391" s="736"/>
      <c r="P391" s="698"/>
      <c r="Q391" s="707"/>
      <c r="R391" s="704"/>
    </row>
    <row r="392" spans="1:18" x14ac:dyDescent="0.25">
      <c r="A392" s="552"/>
      <c r="B392" s="552" t="s">
        <v>397</v>
      </c>
      <c r="C392" s="545" t="s">
        <v>130</v>
      </c>
      <c r="D392" s="550">
        <v>0.31</v>
      </c>
      <c r="E392" s="546">
        <v>132760</v>
      </c>
      <c r="F392" s="635"/>
      <c r="G392" s="649"/>
      <c r="H392" s="650"/>
      <c r="I392" s="665"/>
      <c r="J392" s="666"/>
      <c r="K392" s="680"/>
      <c r="L392" s="681"/>
      <c r="M392" s="691"/>
      <c r="N392" s="735"/>
      <c r="O392" s="736"/>
      <c r="P392" s="698"/>
      <c r="Q392" s="707"/>
      <c r="R392" s="704"/>
    </row>
    <row r="393" spans="1:18" x14ac:dyDescent="0.25">
      <c r="A393" s="552"/>
      <c r="B393" s="552" t="s">
        <v>398</v>
      </c>
      <c r="C393" s="545" t="s">
        <v>502</v>
      </c>
      <c r="D393" s="550">
        <v>2.89</v>
      </c>
      <c r="E393" s="546">
        <v>78118</v>
      </c>
      <c r="F393" s="635"/>
      <c r="G393" s="649"/>
      <c r="H393" s="650"/>
      <c r="I393" s="665"/>
      <c r="J393" s="666"/>
      <c r="K393" s="680"/>
      <c r="L393" s="681"/>
      <c r="M393" s="691"/>
      <c r="N393" s="735"/>
      <c r="O393" s="736"/>
      <c r="P393" s="698"/>
      <c r="Q393" s="707"/>
      <c r="R393" s="704"/>
    </row>
    <row r="394" spans="1:18" x14ac:dyDescent="0.25">
      <c r="A394" s="552"/>
      <c r="B394" s="552" t="s">
        <v>399</v>
      </c>
      <c r="C394" s="545" t="s">
        <v>131</v>
      </c>
      <c r="D394" s="550">
        <v>1.47</v>
      </c>
      <c r="E394" s="546">
        <v>78630</v>
      </c>
      <c r="F394" s="635"/>
      <c r="G394" s="649"/>
      <c r="H394" s="650"/>
      <c r="I394" s="665"/>
      <c r="J394" s="666"/>
      <c r="K394" s="680"/>
      <c r="L394" s="681"/>
      <c r="M394" s="691"/>
      <c r="N394" s="735"/>
      <c r="O394" s="736"/>
      <c r="P394" s="698"/>
      <c r="Q394" s="707"/>
      <c r="R394" s="704"/>
    </row>
    <row r="395" spans="1:18" x14ac:dyDescent="0.25">
      <c r="A395" s="552"/>
      <c r="B395" s="552" t="s">
        <v>400</v>
      </c>
      <c r="C395" s="545" t="s">
        <v>132</v>
      </c>
      <c r="D395" s="550">
        <v>5.14</v>
      </c>
      <c r="E395" s="546">
        <v>89048</v>
      </c>
      <c r="F395" s="635"/>
      <c r="G395" s="649"/>
      <c r="H395" s="650"/>
      <c r="I395" s="665"/>
      <c r="J395" s="666"/>
      <c r="K395" s="680"/>
      <c r="L395" s="681"/>
      <c r="M395" s="691"/>
      <c r="N395" s="735"/>
      <c r="O395" s="736"/>
      <c r="P395" s="698"/>
      <c r="Q395" s="707"/>
      <c r="R395" s="704"/>
    </row>
    <row r="396" spans="1:18" x14ac:dyDescent="0.25">
      <c r="A396" s="552"/>
      <c r="B396" s="552" t="s">
        <v>401</v>
      </c>
      <c r="C396" s="545" t="s">
        <v>133</v>
      </c>
      <c r="D396" s="550">
        <v>25.63</v>
      </c>
      <c r="E396" s="546">
        <v>92111</v>
      </c>
      <c r="F396" s="635"/>
      <c r="G396" s="649"/>
      <c r="H396" s="650"/>
      <c r="I396" s="665"/>
      <c r="J396" s="666"/>
      <c r="K396" s="680"/>
      <c r="L396" s="681"/>
      <c r="M396" s="691"/>
      <c r="N396" s="735"/>
      <c r="O396" s="736"/>
      <c r="P396" s="698"/>
      <c r="Q396" s="707"/>
      <c r="R396" s="704"/>
    </row>
    <row r="397" spans="1:18" x14ac:dyDescent="0.25">
      <c r="A397" s="552"/>
      <c r="B397" s="552" t="s">
        <v>403</v>
      </c>
      <c r="C397" s="545" t="s">
        <v>138</v>
      </c>
      <c r="D397" s="550">
        <v>1.32</v>
      </c>
      <c r="E397" s="546">
        <v>78998</v>
      </c>
      <c r="F397" s="635"/>
      <c r="G397" s="649"/>
      <c r="H397" s="650"/>
      <c r="I397" s="665"/>
      <c r="J397" s="666"/>
      <c r="K397" s="680"/>
      <c r="L397" s="681"/>
      <c r="M397" s="691"/>
      <c r="N397" s="735"/>
      <c r="O397" s="736"/>
      <c r="P397" s="698"/>
      <c r="Q397" s="707"/>
      <c r="R397" s="704"/>
    </row>
    <row r="398" spans="1:18" x14ac:dyDescent="0.25">
      <c r="A398" s="552"/>
      <c r="B398" s="552" t="s">
        <v>405</v>
      </c>
      <c r="C398" s="545" t="s">
        <v>140</v>
      </c>
      <c r="D398" s="550">
        <v>0.2</v>
      </c>
      <c r="E398" s="546">
        <v>68215</v>
      </c>
      <c r="F398" s="635"/>
      <c r="G398" s="649"/>
      <c r="H398" s="650"/>
      <c r="I398" s="665"/>
      <c r="J398" s="666"/>
      <c r="K398" s="680"/>
      <c r="L398" s="681"/>
      <c r="M398" s="691"/>
      <c r="N398" s="735"/>
      <c r="O398" s="736"/>
      <c r="P398" s="698"/>
      <c r="Q398" s="707"/>
      <c r="R398" s="704"/>
    </row>
    <row r="399" spans="1:18" x14ac:dyDescent="0.25">
      <c r="A399" s="552"/>
      <c r="B399" s="552" t="s">
        <v>408</v>
      </c>
      <c r="C399" s="545" t="s">
        <v>142</v>
      </c>
      <c r="D399" s="550">
        <v>0.05</v>
      </c>
      <c r="E399" s="546">
        <v>53280</v>
      </c>
      <c r="F399" s="635"/>
      <c r="G399" s="649"/>
      <c r="H399" s="650"/>
      <c r="I399" s="665"/>
      <c r="J399" s="666"/>
      <c r="K399" s="680"/>
      <c r="L399" s="681"/>
      <c r="M399" s="691"/>
      <c r="N399" s="735"/>
      <c r="O399" s="736"/>
      <c r="P399" s="698"/>
      <c r="Q399" s="707"/>
      <c r="R399" s="704"/>
    </row>
    <row r="400" spans="1:18" x14ac:dyDescent="0.25">
      <c r="A400" s="552"/>
      <c r="B400" s="552" t="s">
        <v>410</v>
      </c>
      <c r="C400" s="545" t="s">
        <v>534</v>
      </c>
      <c r="D400" s="550">
        <v>0.27</v>
      </c>
      <c r="E400" s="546">
        <v>84533</v>
      </c>
      <c r="F400" s="635"/>
      <c r="G400" s="649"/>
      <c r="H400" s="650"/>
      <c r="I400" s="665"/>
      <c r="J400" s="666"/>
      <c r="K400" s="680"/>
      <c r="L400" s="681"/>
      <c r="M400" s="691"/>
      <c r="N400" s="735"/>
      <c r="O400" s="736"/>
      <c r="P400" s="698"/>
      <c r="Q400" s="707"/>
      <c r="R400" s="704"/>
    </row>
    <row r="401" spans="1:18" x14ac:dyDescent="0.25">
      <c r="A401" s="552"/>
      <c r="B401" s="552" t="s">
        <v>417</v>
      </c>
      <c r="C401" s="545" t="s">
        <v>105</v>
      </c>
      <c r="D401" s="550">
        <v>34.99</v>
      </c>
      <c r="E401" s="546">
        <v>41919</v>
      </c>
      <c r="F401" s="635"/>
      <c r="G401" s="649"/>
      <c r="H401" s="650"/>
      <c r="I401" s="665"/>
      <c r="J401" s="666"/>
      <c r="K401" s="680"/>
      <c r="L401" s="681"/>
      <c r="M401" s="691"/>
      <c r="N401" s="735"/>
      <c r="O401" s="736"/>
      <c r="P401" s="698"/>
      <c r="Q401" s="707"/>
      <c r="R401" s="704"/>
    </row>
    <row r="402" spans="1:18" x14ac:dyDescent="0.25">
      <c r="A402" s="552"/>
      <c r="B402" s="552" t="s">
        <v>420</v>
      </c>
      <c r="C402" s="545" t="s">
        <v>108</v>
      </c>
      <c r="D402" s="550">
        <v>6.13</v>
      </c>
      <c r="E402" s="546">
        <v>50835</v>
      </c>
      <c r="F402" s="635"/>
      <c r="G402" s="649"/>
      <c r="H402" s="650"/>
      <c r="I402" s="665"/>
      <c r="J402" s="666"/>
      <c r="K402" s="680"/>
      <c r="L402" s="681"/>
      <c r="M402" s="691"/>
      <c r="N402" s="735"/>
      <c r="O402" s="736"/>
      <c r="P402" s="698"/>
      <c r="Q402" s="707"/>
      <c r="R402" s="704"/>
    </row>
    <row r="403" spans="1:18" x14ac:dyDescent="0.25">
      <c r="A403" s="552"/>
      <c r="B403" s="552" t="s">
        <v>421</v>
      </c>
      <c r="C403" s="545" t="s">
        <v>109</v>
      </c>
      <c r="D403" s="550">
        <v>0.5</v>
      </c>
      <c r="E403" s="546">
        <v>77848</v>
      </c>
      <c r="F403" s="635"/>
      <c r="G403" s="649"/>
      <c r="H403" s="650"/>
      <c r="I403" s="665"/>
      <c r="J403" s="666"/>
      <c r="K403" s="680"/>
      <c r="L403" s="681"/>
      <c r="M403" s="691"/>
      <c r="N403" s="735"/>
      <c r="O403" s="736"/>
      <c r="P403" s="698"/>
      <c r="Q403" s="707"/>
      <c r="R403" s="704"/>
    </row>
    <row r="404" spans="1:18" x14ac:dyDescent="0.25">
      <c r="A404" s="552"/>
      <c r="B404" s="552" t="s">
        <v>422</v>
      </c>
      <c r="C404" s="545" t="s">
        <v>110</v>
      </c>
      <c r="D404" s="550">
        <v>11.81</v>
      </c>
      <c r="E404" s="546">
        <v>59650</v>
      </c>
      <c r="F404" s="635"/>
      <c r="G404" s="649"/>
      <c r="H404" s="650"/>
      <c r="I404" s="665"/>
      <c r="J404" s="666"/>
      <c r="K404" s="680"/>
      <c r="L404" s="681"/>
      <c r="M404" s="691"/>
      <c r="N404" s="735"/>
      <c r="O404" s="736"/>
      <c r="P404" s="698"/>
      <c r="Q404" s="707"/>
      <c r="R404" s="704"/>
    </row>
    <row r="405" spans="1:18" x14ac:dyDescent="0.25">
      <c r="A405" s="552"/>
      <c r="B405" s="552" t="s">
        <v>424</v>
      </c>
      <c r="C405" s="545" t="s">
        <v>112</v>
      </c>
      <c r="D405" s="550">
        <v>0.48</v>
      </c>
      <c r="E405" s="546">
        <v>52518</v>
      </c>
      <c r="F405" s="635"/>
      <c r="G405" s="649"/>
      <c r="H405" s="650"/>
      <c r="I405" s="665"/>
      <c r="J405" s="666"/>
      <c r="K405" s="680"/>
      <c r="L405" s="681"/>
      <c r="M405" s="691"/>
      <c r="N405" s="735"/>
      <c r="O405" s="736"/>
      <c r="P405" s="698"/>
      <c r="Q405" s="707"/>
      <c r="R405" s="704"/>
    </row>
    <row r="406" spans="1:18" x14ac:dyDescent="0.25">
      <c r="A406" s="552"/>
      <c r="B406" s="552" t="s">
        <v>425</v>
      </c>
      <c r="C406" s="545" t="s">
        <v>104</v>
      </c>
      <c r="D406" s="550">
        <v>4.16</v>
      </c>
      <c r="E406" s="546">
        <v>71403</v>
      </c>
      <c r="F406" s="635"/>
      <c r="G406" s="649"/>
      <c r="H406" s="650"/>
      <c r="I406" s="665"/>
      <c r="J406" s="666"/>
      <c r="K406" s="680"/>
      <c r="L406" s="681"/>
      <c r="M406" s="691"/>
      <c r="N406" s="735"/>
      <c r="O406" s="736"/>
      <c r="P406" s="698"/>
      <c r="Q406" s="707"/>
      <c r="R406" s="704"/>
    </row>
    <row r="407" spans="1:18" x14ac:dyDescent="0.25">
      <c r="A407" s="241"/>
      <c r="B407" s="243"/>
      <c r="C407" s="241"/>
      <c r="D407" s="762"/>
      <c r="E407" s="629"/>
      <c r="F407" s="636">
        <f>SUM(D390:D400)</f>
        <v>43.31</v>
      </c>
      <c r="G407" s="651">
        <f>(SUMPRODUCT(D390:D400,E390:E400))</f>
        <v>4165844.3</v>
      </c>
      <c r="H407" s="652">
        <f>SUM(D390:D392)</f>
        <v>6.34</v>
      </c>
      <c r="I407" s="668">
        <f>(SUMPRODUCT(D390:D392,E390:E392))</f>
        <v>862577.26</v>
      </c>
      <c r="J407" s="667">
        <f>SUM(D393:D400)</f>
        <v>36.97</v>
      </c>
      <c r="K407" s="682">
        <f>(SUMPRODUCT(D393:D400,E393:E400))</f>
        <v>3303267.0399999996</v>
      </c>
      <c r="L407" s="683"/>
      <c r="M407" s="692"/>
      <c r="N407" s="737">
        <f>+H407+J407+L407</f>
        <v>43.31</v>
      </c>
      <c r="O407" s="738">
        <f>+I407+K407+M407</f>
        <v>4165844.3</v>
      </c>
      <c r="P407" s="699">
        <f>SUM(D401:D406)</f>
        <v>58.070000000000007</v>
      </c>
      <c r="Q407" s="708">
        <f>(SUMPRODUCT(D401:D406,E401:E406))</f>
        <v>2843999.9800000004</v>
      </c>
      <c r="R407" s="704"/>
    </row>
    <row r="408" spans="1:18" x14ac:dyDescent="0.25">
      <c r="A408" s="552" t="s">
        <v>566</v>
      </c>
      <c r="B408" s="552" t="s">
        <v>567</v>
      </c>
      <c r="C408" s="545"/>
      <c r="D408" s="550"/>
      <c r="E408" s="546"/>
      <c r="F408" s="635"/>
      <c r="G408" s="649"/>
      <c r="H408" s="650"/>
      <c r="I408" s="665"/>
      <c r="J408" s="666"/>
      <c r="K408" s="680"/>
      <c r="L408" s="681"/>
      <c r="M408" s="691"/>
      <c r="N408" s="735"/>
      <c r="O408" s="736"/>
      <c r="P408" s="698"/>
      <c r="Q408" s="707"/>
      <c r="R408" s="704"/>
    </row>
    <row r="409" spans="1:18" x14ac:dyDescent="0.25">
      <c r="A409" s="552"/>
      <c r="B409" s="552" t="s">
        <v>399</v>
      </c>
      <c r="C409" s="545" t="s">
        <v>131</v>
      </c>
      <c r="D409" s="550">
        <v>1</v>
      </c>
      <c r="E409" s="546">
        <v>85405</v>
      </c>
      <c r="F409" s="639"/>
      <c r="G409" s="651"/>
      <c r="H409" s="650"/>
      <c r="I409" s="668"/>
      <c r="J409" s="666"/>
      <c r="K409" s="682"/>
      <c r="L409" s="681"/>
      <c r="M409" s="692"/>
      <c r="N409" s="735"/>
      <c r="O409" s="738"/>
      <c r="P409" s="698"/>
      <c r="Q409" s="708"/>
      <c r="R409" s="704"/>
    </row>
    <row r="410" spans="1:18" x14ac:dyDescent="0.25">
      <c r="A410" s="241"/>
      <c r="B410" s="243"/>
      <c r="C410" s="241"/>
      <c r="D410" s="762"/>
      <c r="E410" s="629"/>
      <c r="F410" s="636">
        <f>SUM(D409:D409)</f>
        <v>1</v>
      </c>
      <c r="G410" s="651">
        <f>(SUMPRODUCT(D409:D409,E409:E409))</f>
        <v>85405</v>
      </c>
      <c r="H410" s="652"/>
      <c r="I410" s="668"/>
      <c r="J410" s="667">
        <f>SUM(D409:D409)</f>
        <v>1</v>
      </c>
      <c r="K410" s="682">
        <f>(SUMPRODUCT(D409:D409,E409:E409))</f>
        <v>85405</v>
      </c>
      <c r="L410" s="683"/>
      <c r="M410" s="692"/>
      <c r="N410" s="737">
        <f>+H410+J410+L410</f>
        <v>1</v>
      </c>
      <c r="O410" s="738">
        <f>+I410+K410+M410</f>
        <v>85405</v>
      </c>
      <c r="P410" s="699"/>
      <c r="Q410" s="708"/>
      <c r="R410" s="704"/>
    </row>
    <row r="411" spans="1:18" x14ac:dyDescent="0.25">
      <c r="A411" s="552" t="s">
        <v>413</v>
      </c>
      <c r="B411" s="552" t="s">
        <v>299</v>
      </c>
      <c r="C411" s="545"/>
      <c r="D411" s="550"/>
      <c r="E411" s="546"/>
      <c r="F411" s="635"/>
      <c r="G411" s="649"/>
      <c r="H411" s="650"/>
      <c r="I411" s="665"/>
      <c r="J411" s="666"/>
      <c r="K411" s="680"/>
      <c r="L411" s="681"/>
      <c r="M411" s="691"/>
      <c r="N411" s="735"/>
      <c r="O411" s="736"/>
      <c r="P411" s="698"/>
      <c r="Q411" s="707"/>
      <c r="R411" s="704"/>
    </row>
    <row r="412" spans="1:18" x14ac:dyDescent="0.25">
      <c r="A412" s="552"/>
      <c r="B412" s="552" t="s">
        <v>392</v>
      </c>
      <c r="C412" s="545" t="s">
        <v>129</v>
      </c>
      <c r="D412" s="550">
        <v>0.04</v>
      </c>
      <c r="E412" s="546">
        <v>127048</v>
      </c>
      <c r="F412" s="635"/>
      <c r="G412" s="649"/>
      <c r="H412" s="650"/>
      <c r="I412" s="665"/>
      <c r="J412" s="666"/>
      <c r="K412" s="680"/>
      <c r="L412" s="681"/>
      <c r="M412" s="691"/>
      <c r="N412" s="735"/>
      <c r="O412" s="736"/>
      <c r="P412" s="698"/>
      <c r="Q412" s="707"/>
      <c r="R412" s="704"/>
    </row>
    <row r="413" spans="1:18" x14ac:dyDescent="0.25">
      <c r="A413" s="552"/>
      <c r="B413" s="552" t="s">
        <v>393</v>
      </c>
      <c r="C413" s="545" t="s">
        <v>136</v>
      </c>
      <c r="D413" s="550">
        <v>0.1</v>
      </c>
      <c r="E413" s="546">
        <v>150420</v>
      </c>
      <c r="F413" s="635"/>
      <c r="G413" s="649"/>
      <c r="H413" s="650"/>
      <c r="I413" s="665"/>
      <c r="J413" s="666"/>
      <c r="K413" s="680"/>
      <c r="L413" s="681"/>
      <c r="M413" s="691"/>
      <c r="N413" s="735"/>
      <c r="O413" s="736"/>
      <c r="P413" s="698"/>
      <c r="Q413" s="707"/>
      <c r="R413" s="704"/>
    </row>
    <row r="414" spans="1:18" x14ac:dyDescent="0.25">
      <c r="A414" s="552"/>
      <c r="B414" s="552" t="s">
        <v>394</v>
      </c>
      <c r="C414" s="545" t="s">
        <v>146</v>
      </c>
      <c r="D414" s="550">
        <v>7.0000000000000007E-2</v>
      </c>
      <c r="E414" s="546">
        <v>127957</v>
      </c>
      <c r="F414" s="635"/>
      <c r="G414" s="649"/>
      <c r="H414" s="650"/>
      <c r="I414" s="665"/>
      <c r="J414" s="666"/>
      <c r="K414" s="680"/>
      <c r="L414" s="681"/>
      <c r="M414" s="691"/>
      <c r="N414" s="735"/>
      <c r="O414" s="736"/>
      <c r="P414" s="698"/>
      <c r="Q414" s="707"/>
      <c r="R414" s="704"/>
    </row>
    <row r="415" spans="1:18" x14ac:dyDescent="0.25">
      <c r="A415" s="552"/>
      <c r="B415" s="552" t="s">
        <v>400</v>
      </c>
      <c r="C415" s="545" t="s">
        <v>132</v>
      </c>
      <c r="D415" s="550">
        <v>1</v>
      </c>
      <c r="E415" s="546">
        <v>49988</v>
      </c>
      <c r="F415" s="635"/>
      <c r="G415" s="649"/>
      <c r="H415" s="650"/>
      <c r="I415" s="665"/>
      <c r="J415" s="666"/>
      <c r="K415" s="680"/>
      <c r="L415" s="681"/>
      <c r="M415" s="691"/>
      <c r="N415" s="735"/>
      <c r="O415" s="736"/>
      <c r="P415" s="698"/>
      <c r="Q415" s="707"/>
      <c r="R415" s="704"/>
    </row>
    <row r="416" spans="1:18" x14ac:dyDescent="0.25">
      <c r="A416" s="552"/>
      <c r="B416" s="552" t="s">
        <v>401</v>
      </c>
      <c r="C416" s="545" t="s">
        <v>133</v>
      </c>
      <c r="D416" s="550">
        <v>6.4</v>
      </c>
      <c r="E416" s="546">
        <v>87483</v>
      </c>
      <c r="F416" s="635"/>
      <c r="G416" s="649"/>
      <c r="H416" s="650"/>
      <c r="I416" s="665"/>
      <c r="J416" s="666"/>
      <c r="K416" s="680"/>
      <c r="L416" s="681"/>
      <c r="M416" s="691"/>
      <c r="N416" s="735"/>
      <c r="O416" s="736"/>
      <c r="P416" s="698"/>
      <c r="Q416" s="707"/>
      <c r="R416" s="704"/>
    </row>
    <row r="417" spans="1:18" x14ac:dyDescent="0.25">
      <c r="A417" s="552"/>
      <c r="B417" s="552" t="s">
        <v>408</v>
      </c>
      <c r="C417" s="545" t="s">
        <v>142</v>
      </c>
      <c r="D417" s="550">
        <v>2</v>
      </c>
      <c r="E417" s="546">
        <v>94373</v>
      </c>
      <c r="F417" s="635"/>
      <c r="G417" s="649"/>
      <c r="H417" s="650"/>
      <c r="I417" s="665"/>
      <c r="J417" s="666"/>
      <c r="K417" s="680"/>
      <c r="L417" s="681"/>
      <c r="M417" s="691"/>
      <c r="N417" s="735"/>
      <c r="O417" s="736"/>
      <c r="P417" s="698"/>
      <c r="Q417" s="707"/>
      <c r="R417" s="704"/>
    </row>
    <row r="418" spans="1:18" x14ac:dyDescent="0.25">
      <c r="A418" s="552"/>
      <c r="B418" s="552" t="s">
        <v>417</v>
      </c>
      <c r="C418" s="545" t="s">
        <v>105</v>
      </c>
      <c r="D418" s="550">
        <v>122.16</v>
      </c>
      <c r="E418" s="546">
        <v>53822</v>
      </c>
      <c r="F418" s="639"/>
      <c r="G418" s="651"/>
      <c r="H418" s="650"/>
      <c r="I418" s="668"/>
      <c r="J418" s="666"/>
      <c r="K418" s="682"/>
      <c r="L418" s="681"/>
      <c r="M418" s="692"/>
      <c r="N418" s="735"/>
      <c r="O418" s="738"/>
      <c r="P418" s="698"/>
      <c r="Q418" s="708"/>
      <c r="R418" s="704"/>
    </row>
    <row r="419" spans="1:18" x14ac:dyDescent="0.25">
      <c r="A419" s="552"/>
      <c r="B419" s="552" t="s">
        <v>420</v>
      </c>
      <c r="C419" s="545" t="s">
        <v>108</v>
      </c>
      <c r="D419" s="550">
        <v>6.35</v>
      </c>
      <c r="E419" s="546">
        <v>65005</v>
      </c>
      <c r="F419" s="639"/>
      <c r="G419" s="651"/>
      <c r="H419" s="650"/>
      <c r="I419" s="668"/>
      <c r="J419" s="666"/>
      <c r="K419" s="682"/>
      <c r="L419" s="681"/>
      <c r="M419" s="692"/>
      <c r="N419" s="735"/>
      <c r="O419" s="738"/>
      <c r="P419" s="698"/>
      <c r="Q419" s="708"/>
      <c r="R419" s="704"/>
    </row>
    <row r="420" spans="1:18" x14ac:dyDescent="0.25">
      <c r="A420" s="552"/>
      <c r="B420" s="552" t="s">
        <v>422</v>
      </c>
      <c r="C420" s="545" t="s">
        <v>110</v>
      </c>
      <c r="D420" s="550">
        <v>20.059999999999999</v>
      </c>
      <c r="E420" s="546">
        <v>74437</v>
      </c>
      <c r="F420" s="635"/>
      <c r="G420" s="649"/>
      <c r="H420" s="650"/>
      <c r="I420" s="665"/>
      <c r="J420" s="666"/>
      <c r="K420" s="680"/>
      <c r="L420" s="681"/>
      <c r="M420" s="691"/>
      <c r="N420" s="735"/>
      <c r="O420" s="736"/>
      <c r="P420" s="698"/>
      <c r="Q420" s="707"/>
      <c r="R420" s="704"/>
    </row>
    <row r="421" spans="1:18" x14ac:dyDescent="0.25">
      <c r="A421" s="552"/>
      <c r="B421" s="552" t="s">
        <v>424</v>
      </c>
      <c r="C421" s="545" t="s">
        <v>112</v>
      </c>
      <c r="D421" s="550">
        <v>4.47</v>
      </c>
      <c r="E421" s="546">
        <v>81349</v>
      </c>
      <c r="F421" s="635"/>
      <c r="G421" s="649"/>
      <c r="H421" s="650"/>
      <c r="I421" s="665"/>
      <c r="J421" s="666"/>
      <c r="K421" s="680"/>
      <c r="L421" s="681"/>
      <c r="M421" s="691"/>
      <c r="N421" s="735"/>
      <c r="O421" s="736"/>
      <c r="P421" s="698"/>
      <c r="Q421" s="707"/>
      <c r="R421" s="704"/>
    </row>
    <row r="422" spans="1:18" x14ac:dyDescent="0.25">
      <c r="A422" s="552"/>
      <c r="B422" s="552" t="s">
        <v>425</v>
      </c>
      <c r="C422" s="545" t="s">
        <v>104</v>
      </c>
      <c r="D422" s="550">
        <v>2.88</v>
      </c>
      <c r="E422" s="546">
        <v>118863</v>
      </c>
      <c r="F422" s="635"/>
      <c r="G422" s="649"/>
      <c r="H422" s="650"/>
      <c r="I422" s="665"/>
      <c r="J422" s="666"/>
      <c r="K422" s="680"/>
      <c r="L422" s="681"/>
      <c r="M422" s="691"/>
      <c r="N422" s="735"/>
      <c r="O422" s="736"/>
      <c r="P422" s="698"/>
      <c r="Q422" s="707"/>
      <c r="R422" s="704"/>
    </row>
    <row r="423" spans="1:18" x14ac:dyDescent="0.25">
      <c r="A423" s="241"/>
      <c r="B423" s="243"/>
      <c r="C423" s="241"/>
      <c r="D423" s="762"/>
      <c r="E423" s="629"/>
      <c r="F423" s="636">
        <f>SUM(D412:D417)</f>
        <v>9.61</v>
      </c>
      <c r="G423" s="651">
        <f>(SUMPRODUCT(D412:D417,E412:E417))</f>
        <v>827706.1100000001</v>
      </c>
      <c r="H423" s="652">
        <f>SUM(D412:D414)</f>
        <v>0.21000000000000002</v>
      </c>
      <c r="I423" s="668">
        <f>(SUMPRODUCT(D412:D414,E412:E414))</f>
        <v>29080.91</v>
      </c>
      <c r="J423" s="667">
        <f>SUM(D415:D417)</f>
        <v>9.4</v>
      </c>
      <c r="K423" s="682">
        <f>(SUMPRODUCT(D415:D417,E415:E417))</f>
        <v>798625.20000000007</v>
      </c>
      <c r="L423" s="683"/>
      <c r="M423" s="692"/>
      <c r="N423" s="737">
        <f>+H423+J423+L423</f>
        <v>9.6100000000000012</v>
      </c>
      <c r="O423" s="738">
        <f>+I423+K423+M423</f>
        <v>827706.1100000001</v>
      </c>
      <c r="P423" s="699">
        <f>SUM(D418:D422)</f>
        <v>155.91999999999999</v>
      </c>
      <c r="Q423" s="708">
        <f>(SUMPRODUCT(D418:D422,E418:E422))</f>
        <v>9186838.959999999</v>
      </c>
      <c r="R423" s="704"/>
    </row>
    <row r="424" spans="1:18" x14ac:dyDescent="0.25">
      <c r="A424" s="552" t="s">
        <v>568</v>
      </c>
      <c r="B424" s="552" t="s">
        <v>342</v>
      </c>
      <c r="C424" s="545"/>
      <c r="D424" s="550"/>
      <c r="E424" s="546"/>
      <c r="F424" s="635"/>
      <c r="G424" s="649"/>
      <c r="H424" s="650"/>
      <c r="I424" s="665"/>
      <c r="J424" s="666"/>
      <c r="K424" s="680"/>
      <c r="L424" s="681"/>
      <c r="M424" s="691"/>
      <c r="N424" s="735"/>
      <c r="O424" s="736"/>
      <c r="P424" s="698"/>
      <c r="Q424" s="707"/>
      <c r="R424" s="704"/>
    </row>
    <row r="425" spans="1:18" x14ac:dyDescent="0.25">
      <c r="A425" s="552"/>
      <c r="B425" s="552" t="s">
        <v>392</v>
      </c>
      <c r="C425" s="545" t="s">
        <v>129</v>
      </c>
      <c r="D425" s="550">
        <v>0.25</v>
      </c>
      <c r="E425" s="546">
        <v>143624</v>
      </c>
      <c r="F425" s="635"/>
      <c r="G425" s="649"/>
      <c r="H425" s="650"/>
      <c r="I425" s="665"/>
      <c r="J425" s="666"/>
      <c r="K425" s="680"/>
      <c r="L425" s="681"/>
      <c r="M425" s="691"/>
      <c r="N425" s="735"/>
      <c r="O425" s="736"/>
      <c r="P425" s="698"/>
      <c r="Q425" s="707"/>
      <c r="R425" s="704"/>
    </row>
    <row r="426" spans="1:18" x14ac:dyDescent="0.25">
      <c r="A426" s="241"/>
      <c r="B426" s="243"/>
      <c r="C426" s="241"/>
      <c r="D426" s="762"/>
      <c r="E426" s="629"/>
      <c r="F426" s="636">
        <f>SUM(D425:D425)</f>
        <v>0.25</v>
      </c>
      <c r="G426" s="651">
        <f>(SUMPRODUCT(D425:D425,E425:E425))</f>
        <v>35906</v>
      </c>
      <c r="H426" s="652">
        <f>SUM(D425:D425)</f>
        <v>0.25</v>
      </c>
      <c r="I426" s="668">
        <f>(SUMPRODUCT(D425:D425,E425:E425))</f>
        <v>35906</v>
      </c>
      <c r="J426" s="667"/>
      <c r="K426" s="682"/>
      <c r="L426" s="683"/>
      <c r="M426" s="692"/>
      <c r="N426" s="737">
        <f>+H426+J426+L426</f>
        <v>0.25</v>
      </c>
      <c r="O426" s="738">
        <f>+I426+K426+M426</f>
        <v>35906</v>
      </c>
      <c r="P426" s="699"/>
      <c r="Q426" s="708"/>
      <c r="R426" s="704"/>
    </row>
    <row r="427" spans="1:18" x14ac:dyDescent="0.25">
      <c r="A427" s="552" t="s">
        <v>415</v>
      </c>
      <c r="B427" s="552" t="s">
        <v>569</v>
      </c>
      <c r="C427" s="545"/>
      <c r="D427" s="550"/>
      <c r="E427" s="546"/>
      <c r="F427" s="635"/>
      <c r="G427" s="649"/>
      <c r="H427" s="650"/>
      <c r="I427" s="665"/>
      <c r="J427" s="666"/>
      <c r="K427" s="680"/>
      <c r="L427" s="681"/>
      <c r="M427" s="691"/>
      <c r="N427" s="735"/>
      <c r="O427" s="736"/>
      <c r="P427" s="698"/>
      <c r="Q427" s="707"/>
      <c r="R427" s="704"/>
    </row>
    <row r="428" spans="1:18" x14ac:dyDescent="0.25">
      <c r="A428" s="552"/>
      <c r="B428" s="552" t="s">
        <v>392</v>
      </c>
      <c r="C428" s="545" t="s">
        <v>129</v>
      </c>
      <c r="D428" s="550">
        <v>0.01</v>
      </c>
      <c r="E428" s="546">
        <v>92857</v>
      </c>
      <c r="F428" s="635"/>
      <c r="G428" s="649"/>
      <c r="H428" s="650"/>
      <c r="I428" s="665"/>
      <c r="J428" s="666"/>
      <c r="K428" s="680"/>
      <c r="L428" s="681"/>
      <c r="M428" s="691"/>
      <c r="N428" s="735"/>
      <c r="O428" s="736"/>
      <c r="P428" s="698"/>
      <c r="Q428" s="707"/>
      <c r="R428" s="704"/>
    </row>
    <row r="429" spans="1:18" x14ac:dyDescent="0.25">
      <c r="A429" s="552"/>
      <c r="B429" s="552" t="s">
        <v>397</v>
      </c>
      <c r="C429" s="545" t="s">
        <v>130</v>
      </c>
      <c r="D429" s="550">
        <v>0.72</v>
      </c>
      <c r="E429" s="546">
        <v>123816</v>
      </c>
      <c r="F429" s="635"/>
      <c r="G429" s="649"/>
      <c r="H429" s="650"/>
      <c r="I429" s="665"/>
      <c r="J429" s="666"/>
      <c r="K429" s="680"/>
      <c r="L429" s="681"/>
      <c r="M429" s="691"/>
      <c r="N429" s="735"/>
      <c r="O429" s="736"/>
      <c r="P429" s="698"/>
      <c r="Q429" s="707"/>
      <c r="R429" s="704"/>
    </row>
    <row r="430" spans="1:18" x14ac:dyDescent="0.25">
      <c r="A430" s="552"/>
      <c r="B430" s="552" t="s">
        <v>398</v>
      </c>
      <c r="C430" s="545" t="s">
        <v>502</v>
      </c>
      <c r="D430" s="550">
        <v>0.95</v>
      </c>
      <c r="E430" s="546">
        <v>87010</v>
      </c>
      <c r="F430" s="639"/>
      <c r="G430" s="651"/>
      <c r="H430" s="650"/>
      <c r="I430" s="668"/>
      <c r="J430" s="666"/>
      <c r="K430" s="682"/>
      <c r="L430" s="681"/>
      <c r="M430" s="692"/>
      <c r="N430" s="735"/>
      <c r="O430" s="738"/>
      <c r="P430" s="698"/>
      <c r="Q430" s="708"/>
      <c r="R430" s="704"/>
    </row>
    <row r="431" spans="1:18" x14ac:dyDescent="0.25">
      <c r="A431" s="552"/>
      <c r="B431" s="552" t="s">
        <v>399</v>
      </c>
      <c r="C431" s="545" t="s">
        <v>131</v>
      </c>
      <c r="D431" s="550">
        <v>1.31</v>
      </c>
      <c r="E431" s="546">
        <v>85495</v>
      </c>
      <c r="F431" s="639"/>
      <c r="G431" s="651"/>
      <c r="H431" s="650"/>
      <c r="I431" s="668"/>
      <c r="J431" s="666"/>
      <c r="K431" s="682"/>
      <c r="L431" s="681"/>
      <c r="M431" s="692"/>
      <c r="N431" s="735"/>
      <c r="O431" s="738"/>
      <c r="P431" s="698"/>
      <c r="Q431" s="708"/>
      <c r="R431" s="704"/>
    </row>
    <row r="432" spans="1:18" x14ac:dyDescent="0.25">
      <c r="A432" s="552"/>
      <c r="B432" s="552" t="s">
        <v>400</v>
      </c>
      <c r="C432" s="545" t="s">
        <v>132</v>
      </c>
      <c r="D432" s="550">
        <v>9.24</v>
      </c>
      <c r="E432" s="546">
        <v>88077</v>
      </c>
      <c r="F432" s="639"/>
      <c r="G432" s="651"/>
      <c r="H432" s="650"/>
      <c r="I432" s="668"/>
      <c r="J432" s="666"/>
      <c r="K432" s="682"/>
      <c r="L432" s="681"/>
      <c r="M432" s="692"/>
      <c r="N432" s="735"/>
      <c r="O432" s="738"/>
      <c r="P432" s="698"/>
      <c r="Q432" s="708"/>
      <c r="R432" s="704"/>
    </row>
    <row r="433" spans="1:18" x14ac:dyDescent="0.25">
      <c r="A433" s="552"/>
      <c r="B433" s="552" t="s">
        <v>503</v>
      </c>
      <c r="C433" s="545" t="s">
        <v>504</v>
      </c>
      <c r="D433" s="550">
        <v>1.88</v>
      </c>
      <c r="E433" s="546">
        <v>88379</v>
      </c>
      <c r="F433" s="635"/>
      <c r="G433" s="649"/>
      <c r="H433" s="650"/>
      <c r="I433" s="665"/>
      <c r="J433" s="666"/>
      <c r="K433" s="680"/>
      <c r="L433" s="681"/>
      <c r="M433" s="691"/>
      <c r="N433" s="735"/>
      <c r="O433" s="736"/>
      <c r="P433" s="698"/>
      <c r="Q433" s="707"/>
      <c r="R433" s="704"/>
    </row>
    <row r="434" spans="1:18" x14ac:dyDescent="0.25">
      <c r="A434" s="552"/>
      <c r="B434" s="552" t="s">
        <v>401</v>
      </c>
      <c r="C434" s="545" t="s">
        <v>133</v>
      </c>
      <c r="D434" s="550">
        <v>37.979999999999997</v>
      </c>
      <c r="E434" s="546">
        <v>90234</v>
      </c>
      <c r="F434" s="639"/>
      <c r="G434" s="651"/>
      <c r="H434" s="650"/>
      <c r="I434" s="668"/>
      <c r="J434" s="666"/>
      <c r="K434" s="682"/>
      <c r="L434" s="681"/>
      <c r="M434" s="692"/>
      <c r="N434" s="735"/>
      <c r="O434" s="738"/>
      <c r="P434" s="698"/>
      <c r="Q434" s="708"/>
      <c r="R434" s="704"/>
    </row>
    <row r="435" spans="1:18" x14ac:dyDescent="0.25">
      <c r="A435" s="552"/>
      <c r="B435" s="552" t="s">
        <v>403</v>
      </c>
      <c r="C435" s="545" t="s">
        <v>138</v>
      </c>
      <c r="D435" s="550">
        <v>1.4</v>
      </c>
      <c r="E435" s="546">
        <v>68706</v>
      </c>
      <c r="F435" s="639"/>
      <c r="G435" s="651"/>
      <c r="H435" s="650"/>
      <c r="I435" s="668"/>
      <c r="J435" s="666"/>
      <c r="K435" s="682"/>
      <c r="L435" s="681"/>
      <c r="M435" s="692"/>
      <c r="N435" s="735"/>
      <c r="O435" s="738"/>
      <c r="P435" s="698"/>
      <c r="Q435" s="708"/>
      <c r="R435" s="704"/>
    </row>
    <row r="436" spans="1:18" x14ac:dyDescent="0.25">
      <c r="A436" s="552"/>
      <c r="B436" s="552" t="s">
        <v>417</v>
      </c>
      <c r="C436" s="545" t="s">
        <v>105</v>
      </c>
      <c r="D436" s="550">
        <v>11.55</v>
      </c>
      <c r="E436" s="546">
        <v>48458</v>
      </c>
      <c r="F436" s="639"/>
      <c r="G436" s="651"/>
      <c r="H436" s="650"/>
      <c r="I436" s="668"/>
      <c r="J436" s="666"/>
      <c r="K436" s="682"/>
      <c r="L436" s="681"/>
      <c r="M436" s="692"/>
      <c r="N436" s="735"/>
      <c r="O436" s="738"/>
      <c r="P436" s="698"/>
      <c r="Q436" s="708"/>
      <c r="R436" s="704"/>
    </row>
    <row r="437" spans="1:18" x14ac:dyDescent="0.25">
      <c r="A437" s="552"/>
      <c r="B437" s="552" t="s">
        <v>420</v>
      </c>
      <c r="C437" s="545" t="s">
        <v>108</v>
      </c>
      <c r="D437" s="550">
        <v>0.96</v>
      </c>
      <c r="E437" s="546">
        <v>51921</v>
      </c>
      <c r="F437" s="639"/>
      <c r="G437" s="651"/>
      <c r="H437" s="650"/>
      <c r="I437" s="668"/>
      <c r="J437" s="666"/>
      <c r="K437" s="682"/>
      <c r="L437" s="681"/>
      <c r="M437" s="692"/>
      <c r="N437" s="735"/>
      <c r="O437" s="738"/>
      <c r="P437" s="698"/>
      <c r="Q437" s="708"/>
      <c r="R437" s="704"/>
    </row>
    <row r="438" spans="1:18" x14ac:dyDescent="0.25">
      <c r="A438" s="552"/>
      <c r="B438" s="552" t="s">
        <v>422</v>
      </c>
      <c r="C438" s="545" t="s">
        <v>110</v>
      </c>
      <c r="D438" s="550">
        <v>0.89</v>
      </c>
      <c r="E438" s="546">
        <v>70233</v>
      </c>
      <c r="F438" s="639"/>
      <c r="G438" s="651"/>
      <c r="H438" s="650"/>
      <c r="I438" s="668"/>
      <c r="J438" s="666"/>
      <c r="K438" s="682"/>
      <c r="L438" s="681"/>
      <c r="M438" s="692"/>
      <c r="N438" s="735"/>
      <c r="O438" s="738"/>
      <c r="P438" s="698"/>
      <c r="Q438" s="708"/>
      <c r="R438" s="704"/>
    </row>
    <row r="439" spans="1:18" x14ac:dyDescent="0.25">
      <c r="A439" s="552"/>
      <c r="B439" s="552" t="s">
        <v>424</v>
      </c>
      <c r="C439" s="545" t="s">
        <v>112</v>
      </c>
      <c r="D439" s="550">
        <v>0.05</v>
      </c>
      <c r="E439" s="546">
        <v>85500</v>
      </c>
      <c r="F439" s="639"/>
      <c r="G439" s="651"/>
      <c r="H439" s="650"/>
      <c r="I439" s="668"/>
      <c r="J439" s="666"/>
      <c r="K439" s="682"/>
      <c r="L439" s="681"/>
      <c r="M439" s="692"/>
      <c r="N439" s="735"/>
      <c r="O439" s="738"/>
      <c r="P439" s="698"/>
      <c r="Q439" s="708"/>
      <c r="R439" s="704"/>
    </row>
    <row r="440" spans="1:18" x14ac:dyDescent="0.25">
      <c r="A440" s="241"/>
      <c r="B440" s="243"/>
      <c r="C440" s="241"/>
      <c r="D440" s="762"/>
      <c r="E440" s="629"/>
      <c r="F440" s="636">
        <f>SUM(D428:D435)</f>
        <v>53.489999999999995</v>
      </c>
      <c r="G440" s="651">
        <f>(SUMPRODUCT(D428:D435,E428:E435))</f>
        <v>4787993.76</v>
      </c>
      <c r="H440" s="652">
        <f>SUM(D428:D429)</f>
        <v>0.73</v>
      </c>
      <c r="I440" s="668">
        <f>(SUMPRODUCT(D428:D429,E428:E429))</f>
        <v>90076.09</v>
      </c>
      <c r="J440" s="667">
        <f>SUM(D430:D435)</f>
        <v>52.76</v>
      </c>
      <c r="K440" s="682">
        <f>(SUMPRODUCT(D430:D435,E430:E435))</f>
        <v>4697917.67</v>
      </c>
      <c r="L440" s="683"/>
      <c r="M440" s="692"/>
      <c r="N440" s="737">
        <f>+H440+J440+L440</f>
        <v>53.489999999999995</v>
      </c>
      <c r="O440" s="738">
        <f>+I440+K440+M440</f>
        <v>4787993.76</v>
      </c>
      <c r="P440" s="699">
        <f>SUM(D436:D439)</f>
        <v>13.450000000000003</v>
      </c>
      <c r="Q440" s="708">
        <f>(SUMPRODUCT(D436:D439,E436:E439))</f>
        <v>676316.43</v>
      </c>
      <c r="R440" s="704"/>
    </row>
    <row r="441" spans="1:18" x14ac:dyDescent="0.25">
      <c r="A441" s="552" t="s">
        <v>570</v>
      </c>
      <c r="B441" s="552" t="s">
        <v>300</v>
      </c>
      <c r="C441" s="545"/>
      <c r="D441" s="550"/>
      <c r="E441" s="546"/>
      <c r="F441" s="635"/>
      <c r="G441" s="649"/>
      <c r="H441" s="650"/>
      <c r="I441" s="665"/>
      <c r="J441" s="666"/>
      <c r="K441" s="680"/>
      <c r="L441" s="681"/>
      <c r="M441" s="691"/>
      <c r="N441" s="735"/>
      <c r="O441" s="736"/>
      <c r="P441" s="698"/>
      <c r="Q441" s="707"/>
      <c r="R441" s="704"/>
    </row>
    <row r="442" spans="1:18" x14ac:dyDescent="0.25">
      <c r="A442" s="552"/>
      <c r="B442" s="552" t="s">
        <v>391</v>
      </c>
      <c r="C442" s="545" t="s">
        <v>128</v>
      </c>
      <c r="D442" s="550">
        <v>0.2</v>
      </c>
      <c r="E442" s="546">
        <v>216160</v>
      </c>
      <c r="F442" s="639"/>
      <c r="G442" s="651"/>
      <c r="H442" s="650"/>
      <c r="I442" s="668"/>
      <c r="J442" s="666"/>
      <c r="K442" s="682"/>
      <c r="L442" s="681"/>
      <c r="M442" s="692"/>
      <c r="N442" s="735"/>
      <c r="O442" s="738"/>
      <c r="P442" s="698"/>
      <c r="Q442" s="708"/>
      <c r="R442" s="704"/>
    </row>
    <row r="443" spans="1:18" x14ac:dyDescent="0.25">
      <c r="A443" s="552"/>
      <c r="B443" s="552" t="s">
        <v>392</v>
      </c>
      <c r="C443" s="545" t="s">
        <v>129</v>
      </c>
      <c r="D443" s="550">
        <v>29.76</v>
      </c>
      <c r="E443" s="546">
        <v>141595</v>
      </c>
      <c r="F443" s="635"/>
      <c r="G443" s="649"/>
      <c r="H443" s="650"/>
      <c r="I443" s="665"/>
      <c r="J443" s="666"/>
      <c r="K443" s="680"/>
      <c r="L443" s="681"/>
      <c r="M443" s="691"/>
      <c r="N443" s="735"/>
      <c r="O443" s="736"/>
      <c r="P443" s="698"/>
      <c r="Q443" s="707"/>
      <c r="R443" s="704"/>
    </row>
    <row r="444" spans="1:18" x14ac:dyDescent="0.25">
      <c r="A444" s="552"/>
      <c r="B444" s="552" t="s">
        <v>393</v>
      </c>
      <c r="C444" s="545" t="s">
        <v>136</v>
      </c>
      <c r="D444" s="550">
        <v>0.3</v>
      </c>
      <c r="E444" s="546">
        <v>119747</v>
      </c>
      <c r="F444" s="635"/>
      <c r="G444" s="649"/>
      <c r="H444" s="650"/>
      <c r="I444" s="665"/>
      <c r="J444" s="666"/>
      <c r="K444" s="680"/>
      <c r="L444" s="681"/>
      <c r="M444" s="691"/>
      <c r="N444" s="735"/>
      <c r="O444" s="736"/>
      <c r="P444" s="698"/>
      <c r="Q444" s="707"/>
      <c r="R444" s="704"/>
    </row>
    <row r="445" spans="1:18" x14ac:dyDescent="0.25">
      <c r="A445" s="552"/>
      <c r="B445" s="552" t="s">
        <v>397</v>
      </c>
      <c r="C445" s="545" t="s">
        <v>130</v>
      </c>
      <c r="D445" s="550">
        <v>5.09</v>
      </c>
      <c r="E445" s="546">
        <v>123631</v>
      </c>
      <c r="F445" s="635"/>
      <c r="G445" s="649"/>
      <c r="H445" s="650"/>
      <c r="I445" s="665"/>
      <c r="J445" s="666"/>
      <c r="K445" s="680"/>
      <c r="L445" s="681"/>
      <c r="M445" s="691"/>
      <c r="N445" s="735"/>
      <c r="O445" s="736"/>
      <c r="P445" s="698"/>
      <c r="Q445" s="707"/>
      <c r="R445" s="704"/>
    </row>
    <row r="446" spans="1:18" x14ac:dyDescent="0.25">
      <c r="A446" s="552"/>
      <c r="B446" s="552" t="s">
        <v>398</v>
      </c>
      <c r="C446" s="545" t="s">
        <v>502</v>
      </c>
      <c r="D446" s="550">
        <v>93.58</v>
      </c>
      <c r="E446" s="546">
        <v>80469</v>
      </c>
      <c r="F446" s="635"/>
      <c r="G446" s="649"/>
      <c r="H446" s="650"/>
      <c r="I446" s="665"/>
      <c r="J446" s="666"/>
      <c r="K446" s="680"/>
      <c r="L446" s="681"/>
      <c r="M446" s="691"/>
      <c r="N446" s="735"/>
      <c r="O446" s="736"/>
      <c r="P446" s="698"/>
      <c r="Q446" s="707"/>
      <c r="R446" s="704"/>
    </row>
    <row r="447" spans="1:18" x14ac:dyDescent="0.25">
      <c r="A447" s="552"/>
      <c r="B447" s="552" t="s">
        <v>399</v>
      </c>
      <c r="C447" s="545" t="s">
        <v>131</v>
      </c>
      <c r="D447" s="550">
        <v>203.3</v>
      </c>
      <c r="E447" s="546">
        <v>77879</v>
      </c>
      <c r="F447" s="635"/>
      <c r="G447" s="649"/>
      <c r="H447" s="650"/>
      <c r="I447" s="665"/>
      <c r="J447" s="666"/>
      <c r="K447" s="680"/>
      <c r="L447" s="681"/>
      <c r="M447" s="691"/>
      <c r="N447" s="735"/>
      <c r="O447" s="736"/>
      <c r="P447" s="698"/>
      <c r="Q447" s="707"/>
      <c r="R447" s="704"/>
    </row>
    <row r="448" spans="1:18" x14ac:dyDescent="0.25">
      <c r="A448" s="552"/>
      <c r="B448" s="552" t="s">
        <v>400</v>
      </c>
      <c r="C448" s="545" t="s">
        <v>132</v>
      </c>
      <c r="D448" s="550">
        <v>611.21</v>
      </c>
      <c r="E448" s="546">
        <v>82900</v>
      </c>
      <c r="F448" s="635"/>
      <c r="G448" s="649"/>
      <c r="H448" s="650"/>
      <c r="I448" s="665"/>
      <c r="J448" s="666"/>
      <c r="K448" s="680"/>
      <c r="L448" s="681"/>
      <c r="M448" s="691"/>
      <c r="N448" s="735"/>
      <c r="O448" s="736"/>
      <c r="P448" s="698"/>
      <c r="Q448" s="707"/>
      <c r="R448" s="704"/>
    </row>
    <row r="449" spans="1:18" x14ac:dyDescent="0.25">
      <c r="A449" s="552"/>
      <c r="B449" s="552" t="s">
        <v>503</v>
      </c>
      <c r="C449" s="545" t="s">
        <v>504</v>
      </c>
      <c r="D449" s="550">
        <v>120.6</v>
      </c>
      <c r="E449" s="546">
        <v>78570</v>
      </c>
      <c r="F449" s="635"/>
      <c r="G449" s="649"/>
      <c r="H449" s="650"/>
      <c r="I449" s="665"/>
      <c r="J449" s="666"/>
      <c r="K449" s="680"/>
      <c r="L449" s="681"/>
      <c r="M449" s="691"/>
      <c r="N449" s="735"/>
      <c r="O449" s="736"/>
      <c r="P449" s="698"/>
      <c r="Q449" s="707"/>
      <c r="R449" s="704"/>
    </row>
    <row r="450" spans="1:18" x14ac:dyDescent="0.25">
      <c r="A450" s="552"/>
      <c r="B450" s="552" t="s">
        <v>401</v>
      </c>
      <c r="C450" s="545" t="s">
        <v>133</v>
      </c>
      <c r="D450" s="550">
        <v>76.290000000000006</v>
      </c>
      <c r="E450" s="546">
        <v>84275</v>
      </c>
      <c r="F450" s="635"/>
      <c r="G450" s="649"/>
      <c r="H450" s="650"/>
      <c r="I450" s="665"/>
      <c r="J450" s="666"/>
      <c r="K450" s="680"/>
      <c r="L450" s="681"/>
      <c r="M450" s="691"/>
      <c r="N450" s="735"/>
      <c r="O450" s="736"/>
      <c r="P450" s="698"/>
      <c r="Q450" s="707"/>
      <c r="R450" s="704"/>
    </row>
    <row r="451" spans="1:18" x14ac:dyDescent="0.25">
      <c r="A451" s="552"/>
      <c r="B451" s="552" t="s">
        <v>402</v>
      </c>
      <c r="C451" s="545" t="s">
        <v>144</v>
      </c>
      <c r="D451" s="550">
        <v>1</v>
      </c>
      <c r="E451" s="546">
        <v>64825</v>
      </c>
      <c r="F451" s="635"/>
      <c r="G451" s="649"/>
      <c r="H451" s="650"/>
      <c r="I451" s="665"/>
      <c r="J451" s="666"/>
      <c r="K451" s="680"/>
      <c r="L451" s="681"/>
      <c r="M451" s="691"/>
      <c r="N451" s="735"/>
      <c r="O451" s="736"/>
      <c r="P451" s="698"/>
      <c r="Q451" s="707"/>
      <c r="R451" s="704"/>
    </row>
    <row r="452" spans="1:18" x14ac:dyDescent="0.25">
      <c r="A452" s="552"/>
      <c r="B452" s="552" t="s">
        <v>403</v>
      </c>
      <c r="C452" s="545" t="s">
        <v>138</v>
      </c>
      <c r="D452" s="550">
        <v>0.9</v>
      </c>
      <c r="E452" s="546">
        <v>67430</v>
      </c>
      <c r="F452" s="635"/>
      <c r="G452" s="649"/>
      <c r="H452" s="650"/>
      <c r="I452" s="665"/>
      <c r="J452" s="666"/>
      <c r="K452" s="680"/>
      <c r="L452" s="681"/>
      <c r="M452" s="691"/>
      <c r="N452" s="735"/>
      <c r="O452" s="736"/>
      <c r="P452" s="698"/>
      <c r="Q452" s="707"/>
      <c r="R452" s="704"/>
    </row>
    <row r="453" spans="1:18" x14ac:dyDescent="0.25">
      <c r="A453" s="552"/>
      <c r="B453" s="552" t="s">
        <v>412</v>
      </c>
      <c r="C453" s="545" t="s">
        <v>135</v>
      </c>
      <c r="D453" s="550">
        <v>1.29</v>
      </c>
      <c r="E453" s="546">
        <v>53020</v>
      </c>
      <c r="F453" s="635"/>
      <c r="G453" s="649"/>
      <c r="H453" s="650"/>
      <c r="I453" s="665"/>
      <c r="J453" s="666"/>
      <c r="K453" s="680"/>
      <c r="L453" s="681"/>
      <c r="M453" s="691"/>
      <c r="N453" s="735"/>
      <c r="O453" s="736"/>
      <c r="P453" s="698"/>
      <c r="Q453" s="707"/>
      <c r="R453" s="704"/>
    </row>
    <row r="454" spans="1:18" x14ac:dyDescent="0.25">
      <c r="A454" s="552"/>
      <c r="B454" s="552" t="s">
        <v>416</v>
      </c>
      <c r="C454" s="545" t="s">
        <v>263</v>
      </c>
      <c r="D454" s="550">
        <v>0.12</v>
      </c>
      <c r="E454" s="546">
        <v>21364</v>
      </c>
      <c r="F454" s="635"/>
      <c r="G454" s="649"/>
      <c r="H454" s="650"/>
      <c r="I454" s="665"/>
      <c r="J454" s="666"/>
      <c r="K454" s="680"/>
      <c r="L454" s="681"/>
      <c r="M454" s="691"/>
      <c r="N454" s="735"/>
      <c r="O454" s="736"/>
      <c r="P454" s="698"/>
      <c r="Q454" s="707"/>
      <c r="R454" s="704"/>
    </row>
    <row r="455" spans="1:18" x14ac:dyDescent="0.25">
      <c r="A455" s="552"/>
      <c r="B455" s="552" t="s">
        <v>417</v>
      </c>
      <c r="C455" s="545" t="s">
        <v>105</v>
      </c>
      <c r="D455" s="550">
        <v>780.03</v>
      </c>
      <c r="E455" s="546">
        <v>49448</v>
      </c>
      <c r="F455" s="635"/>
      <c r="G455" s="649"/>
      <c r="H455" s="650"/>
      <c r="I455" s="665"/>
      <c r="J455" s="666"/>
      <c r="K455" s="680"/>
      <c r="L455" s="681"/>
      <c r="M455" s="691"/>
      <c r="N455" s="735"/>
      <c r="O455" s="736"/>
      <c r="P455" s="698"/>
      <c r="Q455" s="707"/>
      <c r="R455" s="704"/>
    </row>
    <row r="456" spans="1:18" x14ac:dyDescent="0.25">
      <c r="A456" s="552"/>
      <c r="B456" s="552" t="s">
        <v>420</v>
      </c>
      <c r="C456" s="545" t="s">
        <v>108</v>
      </c>
      <c r="D456" s="550">
        <v>50.3</v>
      </c>
      <c r="E456" s="546">
        <v>53153</v>
      </c>
      <c r="F456" s="635"/>
      <c r="G456" s="649"/>
      <c r="H456" s="650"/>
      <c r="I456" s="665"/>
      <c r="J456" s="666"/>
      <c r="K456" s="680"/>
      <c r="L456" s="681"/>
      <c r="M456" s="691"/>
      <c r="N456" s="735"/>
      <c r="O456" s="736"/>
      <c r="P456" s="698"/>
      <c r="Q456" s="707"/>
      <c r="R456" s="704"/>
    </row>
    <row r="457" spans="1:18" x14ac:dyDescent="0.25">
      <c r="A457" s="552"/>
      <c r="B457" s="552" t="s">
        <v>422</v>
      </c>
      <c r="C457" s="545" t="s">
        <v>110</v>
      </c>
      <c r="D457" s="550">
        <v>8.99</v>
      </c>
      <c r="E457" s="546">
        <v>69748</v>
      </c>
      <c r="F457" s="635"/>
      <c r="G457" s="649"/>
      <c r="H457" s="650"/>
      <c r="I457" s="665"/>
      <c r="J457" s="666"/>
      <c r="K457" s="680"/>
      <c r="L457" s="681"/>
      <c r="M457" s="691"/>
      <c r="N457" s="735"/>
      <c r="O457" s="736"/>
      <c r="P457" s="698"/>
      <c r="Q457" s="707"/>
      <c r="R457" s="704"/>
    </row>
    <row r="458" spans="1:18" x14ac:dyDescent="0.25">
      <c r="A458" s="552"/>
      <c r="B458" s="552" t="s">
        <v>423</v>
      </c>
      <c r="C458" s="545" t="s">
        <v>111</v>
      </c>
      <c r="D458" s="550">
        <v>0.28000000000000003</v>
      </c>
      <c r="E458" s="546">
        <v>51313</v>
      </c>
      <c r="F458" s="635"/>
      <c r="G458" s="649"/>
      <c r="H458" s="650"/>
      <c r="I458" s="665"/>
      <c r="J458" s="666"/>
      <c r="K458" s="680"/>
      <c r="L458" s="681"/>
      <c r="M458" s="691"/>
      <c r="N458" s="735"/>
      <c r="O458" s="736"/>
      <c r="P458" s="698"/>
      <c r="Q458" s="707"/>
      <c r="R458" s="704"/>
    </row>
    <row r="459" spans="1:18" x14ac:dyDescent="0.25">
      <c r="A459" s="552"/>
      <c r="B459" s="552" t="s">
        <v>424</v>
      </c>
      <c r="C459" s="545" t="s">
        <v>112</v>
      </c>
      <c r="D459" s="550">
        <v>4.1100000000000003</v>
      </c>
      <c r="E459" s="546">
        <v>59939</v>
      </c>
      <c r="F459" s="635"/>
      <c r="G459" s="649"/>
      <c r="H459" s="650"/>
      <c r="I459" s="665"/>
      <c r="J459" s="666"/>
      <c r="K459" s="680"/>
      <c r="L459" s="681"/>
      <c r="M459" s="691"/>
      <c r="N459" s="735"/>
      <c r="O459" s="736"/>
      <c r="P459" s="698"/>
      <c r="Q459" s="707"/>
      <c r="R459" s="704"/>
    </row>
    <row r="460" spans="1:18" x14ac:dyDescent="0.25">
      <c r="A460" s="552"/>
      <c r="B460" s="552" t="s">
        <v>425</v>
      </c>
      <c r="C460" s="545" t="s">
        <v>104</v>
      </c>
      <c r="D460" s="550">
        <v>1.8</v>
      </c>
      <c r="E460" s="546">
        <v>76520</v>
      </c>
      <c r="F460" s="635"/>
      <c r="G460" s="649"/>
      <c r="H460" s="650"/>
      <c r="I460" s="665"/>
      <c r="J460" s="666"/>
      <c r="K460" s="680"/>
      <c r="L460" s="681"/>
      <c r="M460" s="691"/>
      <c r="N460" s="735"/>
      <c r="O460" s="736"/>
      <c r="P460" s="698"/>
      <c r="Q460" s="707"/>
      <c r="R460" s="704"/>
    </row>
    <row r="461" spans="1:18" x14ac:dyDescent="0.25">
      <c r="A461" s="241"/>
      <c r="B461" s="243"/>
      <c r="C461" s="241"/>
      <c r="D461" s="762"/>
      <c r="E461" s="629"/>
      <c r="F461" s="636">
        <f>SUM(D442:D453)</f>
        <v>1143.52</v>
      </c>
      <c r="G461" s="651">
        <f>(SUMPRODUCT(D442:D453,E442:E453))</f>
        <v>95053493.359999999</v>
      </c>
      <c r="H461" s="652">
        <f>SUM(D442:D445)</f>
        <v>35.35</v>
      </c>
      <c r="I461" s="668">
        <f>(SUMPRODUCT(D442:D445,E442:E445))</f>
        <v>4922305.09</v>
      </c>
      <c r="J461" s="667">
        <f>SUM(D446:D452)</f>
        <v>1106.8800000000001</v>
      </c>
      <c r="K461" s="682">
        <f>(SUMPRODUCT(D446:D452,E446:E452))</f>
        <v>90062792.469999999</v>
      </c>
      <c r="L461" s="683">
        <f>SUM(D453:D453)</f>
        <v>1.29</v>
      </c>
      <c r="M461" s="692">
        <f>(SUMPRODUCT(D453:D453,E453:E453))</f>
        <v>68395.8</v>
      </c>
      <c r="N461" s="737">
        <f>+H461+J461+L461</f>
        <v>1143.52</v>
      </c>
      <c r="O461" s="738">
        <f>+I461+K461+M461</f>
        <v>95053493.359999999</v>
      </c>
      <c r="P461" s="699">
        <f>SUM(D454:D460)</f>
        <v>845.62999999999988</v>
      </c>
      <c r="Q461" s="708">
        <f>(SUMPRODUCT(D454:D460,E454:E460))</f>
        <v>42272570.469999999</v>
      </c>
      <c r="R461" s="704"/>
    </row>
    <row r="462" spans="1:18" x14ac:dyDescent="0.25">
      <c r="A462" s="552" t="s">
        <v>571</v>
      </c>
      <c r="B462" s="552" t="s">
        <v>301</v>
      </c>
      <c r="C462" s="545"/>
      <c r="D462" s="550"/>
      <c r="E462" s="546"/>
      <c r="F462" s="635"/>
      <c r="G462" s="649"/>
      <c r="H462" s="650"/>
      <c r="I462" s="665"/>
      <c r="J462" s="666"/>
      <c r="K462" s="680"/>
      <c r="L462" s="681"/>
      <c r="M462" s="691"/>
      <c r="N462" s="735"/>
      <c r="O462" s="736"/>
      <c r="P462" s="698"/>
      <c r="Q462" s="707"/>
      <c r="R462" s="704"/>
    </row>
    <row r="463" spans="1:18" x14ac:dyDescent="0.25">
      <c r="A463" s="552"/>
      <c r="B463" s="552" t="s">
        <v>417</v>
      </c>
      <c r="C463" s="545" t="s">
        <v>105</v>
      </c>
      <c r="D463" s="550">
        <v>0.27</v>
      </c>
      <c r="E463" s="546">
        <v>35805</v>
      </c>
      <c r="F463" s="635"/>
      <c r="G463" s="649"/>
      <c r="H463" s="650"/>
      <c r="I463" s="665"/>
      <c r="J463" s="666"/>
      <c r="K463" s="680"/>
      <c r="L463" s="681"/>
      <c r="M463" s="691"/>
      <c r="N463" s="735"/>
      <c r="O463" s="736"/>
      <c r="P463" s="698"/>
      <c r="Q463" s="707"/>
      <c r="R463" s="704"/>
    </row>
    <row r="464" spans="1:18" x14ac:dyDescent="0.25">
      <c r="A464" s="552"/>
      <c r="B464" s="552" t="s">
        <v>425</v>
      </c>
      <c r="C464" s="545" t="s">
        <v>104</v>
      </c>
      <c r="D464" s="550">
        <v>0.11</v>
      </c>
      <c r="E464" s="546">
        <v>50895</v>
      </c>
      <c r="F464" s="635"/>
      <c r="G464" s="649"/>
      <c r="H464" s="650"/>
      <c r="I464" s="665"/>
      <c r="J464" s="666"/>
      <c r="K464" s="680"/>
      <c r="L464" s="681"/>
      <c r="M464" s="691"/>
      <c r="N464" s="735"/>
      <c r="O464" s="736"/>
      <c r="P464" s="698"/>
      <c r="Q464" s="707"/>
      <c r="R464" s="704"/>
    </row>
    <row r="465" spans="1:18" x14ac:dyDescent="0.25">
      <c r="A465" s="241"/>
      <c r="B465" s="243"/>
      <c r="C465" s="241"/>
      <c r="D465" s="762"/>
      <c r="E465" s="629"/>
      <c r="F465" s="636"/>
      <c r="G465" s="651"/>
      <c r="H465" s="652"/>
      <c r="I465" s="668"/>
      <c r="J465" s="667"/>
      <c r="K465" s="682"/>
      <c r="L465" s="683"/>
      <c r="M465" s="692"/>
      <c r="N465" s="737">
        <f>+H465+J465+L465</f>
        <v>0</v>
      </c>
      <c r="O465" s="738">
        <f>+I465+K465+M465</f>
        <v>0</v>
      </c>
      <c r="P465" s="699">
        <f>SUM(D463:D464)</f>
        <v>0.38</v>
      </c>
      <c r="Q465" s="708">
        <f>(SUMPRODUCT(D463:D464,E463:E464))</f>
        <v>15265.8</v>
      </c>
      <c r="R465" s="704"/>
    </row>
    <row r="466" spans="1:18" x14ac:dyDescent="0.25">
      <c r="A466" s="552" t="s">
        <v>572</v>
      </c>
      <c r="B466" s="552" t="s">
        <v>302</v>
      </c>
      <c r="C466" s="545"/>
      <c r="D466" s="550"/>
      <c r="E466" s="546"/>
      <c r="F466" s="635"/>
      <c r="G466" s="649"/>
      <c r="H466" s="650"/>
      <c r="I466" s="665"/>
      <c r="J466" s="666"/>
      <c r="K466" s="680"/>
      <c r="L466" s="681"/>
      <c r="M466" s="691"/>
      <c r="N466" s="735"/>
      <c r="O466" s="736"/>
      <c r="P466" s="698"/>
      <c r="Q466" s="707"/>
      <c r="R466" s="704"/>
    </row>
    <row r="467" spans="1:18" x14ac:dyDescent="0.25">
      <c r="A467" s="552"/>
      <c r="B467" s="552" t="s">
        <v>390</v>
      </c>
      <c r="C467" s="545" t="s">
        <v>152</v>
      </c>
      <c r="D467" s="550">
        <v>0.5</v>
      </c>
      <c r="E467" s="546">
        <v>153000</v>
      </c>
      <c r="F467" s="635"/>
      <c r="G467" s="649"/>
      <c r="H467" s="650"/>
      <c r="I467" s="665"/>
      <c r="J467" s="666"/>
      <c r="K467" s="680"/>
      <c r="L467" s="681"/>
      <c r="M467" s="691"/>
      <c r="N467" s="735"/>
      <c r="O467" s="736"/>
      <c r="P467" s="698"/>
      <c r="Q467" s="707"/>
      <c r="R467" s="704"/>
    </row>
    <row r="468" spans="1:18" x14ac:dyDescent="0.25">
      <c r="A468" s="552"/>
      <c r="B468" s="552" t="s">
        <v>392</v>
      </c>
      <c r="C468" s="545" t="s">
        <v>129</v>
      </c>
      <c r="D468" s="550">
        <v>3.55</v>
      </c>
      <c r="E468" s="546">
        <v>128121</v>
      </c>
      <c r="F468" s="635"/>
      <c r="G468" s="649"/>
      <c r="H468" s="650"/>
      <c r="I468" s="665"/>
      <c r="J468" s="666"/>
      <c r="K468" s="680"/>
      <c r="L468" s="681"/>
      <c r="M468" s="691"/>
      <c r="N468" s="735"/>
      <c r="O468" s="736"/>
      <c r="P468" s="698"/>
      <c r="Q468" s="707"/>
      <c r="R468" s="704"/>
    </row>
    <row r="469" spans="1:18" x14ac:dyDescent="0.25">
      <c r="A469" s="552"/>
      <c r="B469" s="552" t="s">
        <v>397</v>
      </c>
      <c r="C469" s="545" t="s">
        <v>130</v>
      </c>
      <c r="D469" s="550">
        <v>1.24</v>
      </c>
      <c r="E469" s="546">
        <v>61535</v>
      </c>
      <c r="F469" s="635"/>
      <c r="G469" s="649"/>
      <c r="H469" s="650"/>
      <c r="I469" s="665"/>
      <c r="J469" s="666"/>
      <c r="K469" s="680"/>
      <c r="L469" s="681"/>
      <c r="M469" s="691"/>
      <c r="N469" s="735"/>
      <c r="O469" s="736"/>
      <c r="P469" s="698"/>
      <c r="Q469" s="707"/>
      <c r="R469" s="704"/>
    </row>
    <row r="470" spans="1:18" x14ac:dyDescent="0.25">
      <c r="A470" s="552"/>
      <c r="B470" s="552" t="s">
        <v>398</v>
      </c>
      <c r="C470" s="545" t="s">
        <v>502</v>
      </c>
      <c r="D470" s="550">
        <v>4.74</v>
      </c>
      <c r="E470" s="546">
        <v>73694</v>
      </c>
      <c r="F470" s="635"/>
      <c r="G470" s="649"/>
      <c r="H470" s="650"/>
      <c r="I470" s="665"/>
      <c r="J470" s="666"/>
      <c r="K470" s="680"/>
      <c r="L470" s="681"/>
      <c r="M470" s="691"/>
      <c r="N470" s="735"/>
      <c r="O470" s="736"/>
      <c r="P470" s="698"/>
      <c r="Q470" s="707"/>
      <c r="R470" s="704"/>
    </row>
    <row r="471" spans="1:18" x14ac:dyDescent="0.25">
      <c r="A471" s="552"/>
      <c r="B471" s="552" t="s">
        <v>399</v>
      </c>
      <c r="C471" s="545" t="s">
        <v>131</v>
      </c>
      <c r="D471" s="550">
        <v>6.2</v>
      </c>
      <c r="E471" s="546">
        <v>66050</v>
      </c>
      <c r="F471" s="635"/>
      <c r="G471" s="649"/>
      <c r="H471" s="650"/>
      <c r="I471" s="665"/>
      <c r="J471" s="666"/>
      <c r="K471" s="680"/>
      <c r="L471" s="681"/>
      <c r="M471" s="691"/>
      <c r="N471" s="735"/>
      <c r="O471" s="736"/>
      <c r="P471" s="698"/>
      <c r="Q471" s="707"/>
      <c r="R471" s="704"/>
    </row>
    <row r="472" spans="1:18" x14ac:dyDescent="0.25">
      <c r="A472" s="552"/>
      <c r="B472" s="552" t="s">
        <v>400</v>
      </c>
      <c r="C472" s="545" t="s">
        <v>132</v>
      </c>
      <c r="D472" s="550">
        <v>4</v>
      </c>
      <c r="E472" s="546">
        <v>79567</v>
      </c>
      <c r="F472" s="635"/>
      <c r="G472" s="649"/>
      <c r="H472" s="650"/>
      <c r="I472" s="665"/>
      <c r="J472" s="666"/>
      <c r="K472" s="680"/>
      <c r="L472" s="681"/>
      <c r="M472" s="691"/>
      <c r="N472" s="735"/>
      <c r="O472" s="736"/>
      <c r="P472" s="698"/>
      <c r="Q472" s="707"/>
      <c r="R472" s="704"/>
    </row>
    <row r="473" spans="1:18" x14ac:dyDescent="0.25">
      <c r="A473" s="552"/>
      <c r="B473" s="552" t="s">
        <v>401</v>
      </c>
      <c r="C473" s="545" t="s">
        <v>133</v>
      </c>
      <c r="D473" s="550">
        <v>0.5</v>
      </c>
      <c r="E473" s="546">
        <v>80468</v>
      </c>
      <c r="F473" s="635"/>
      <c r="G473" s="649"/>
      <c r="H473" s="650"/>
      <c r="I473" s="665"/>
      <c r="J473" s="666"/>
      <c r="K473" s="680"/>
      <c r="L473" s="681"/>
      <c r="M473" s="691"/>
      <c r="N473" s="735"/>
      <c r="O473" s="736"/>
      <c r="P473" s="698"/>
      <c r="Q473" s="707"/>
      <c r="R473" s="704"/>
    </row>
    <row r="474" spans="1:18" x14ac:dyDescent="0.25">
      <c r="A474" s="552"/>
      <c r="B474" s="552" t="s">
        <v>403</v>
      </c>
      <c r="C474" s="545" t="s">
        <v>138</v>
      </c>
      <c r="D474" s="550">
        <v>1.72</v>
      </c>
      <c r="E474" s="546">
        <v>93900</v>
      </c>
      <c r="F474" s="635"/>
      <c r="G474" s="649"/>
      <c r="H474" s="650"/>
      <c r="I474" s="665"/>
      <c r="J474" s="666"/>
      <c r="K474" s="680"/>
      <c r="L474" s="681"/>
      <c r="M474" s="691"/>
      <c r="N474" s="735"/>
      <c r="O474" s="736"/>
      <c r="P474" s="698"/>
      <c r="Q474" s="707"/>
      <c r="R474" s="704"/>
    </row>
    <row r="475" spans="1:18" x14ac:dyDescent="0.25">
      <c r="A475" s="552"/>
      <c r="B475" s="552" t="s">
        <v>417</v>
      </c>
      <c r="C475" s="545" t="s">
        <v>105</v>
      </c>
      <c r="D475" s="550">
        <v>31.21</v>
      </c>
      <c r="E475" s="546">
        <v>49556</v>
      </c>
      <c r="F475" s="639"/>
      <c r="G475" s="651"/>
      <c r="H475" s="650"/>
      <c r="I475" s="668"/>
      <c r="J475" s="666"/>
      <c r="K475" s="682"/>
      <c r="L475" s="681"/>
      <c r="M475" s="692"/>
      <c r="N475" s="735"/>
      <c r="O475" s="738"/>
      <c r="P475" s="698"/>
      <c r="Q475" s="708"/>
      <c r="R475" s="704"/>
    </row>
    <row r="476" spans="1:18" x14ac:dyDescent="0.25">
      <c r="A476" s="552"/>
      <c r="B476" s="552" t="s">
        <v>419</v>
      </c>
      <c r="C476" s="545" t="s">
        <v>107</v>
      </c>
      <c r="D476" s="550">
        <v>2</v>
      </c>
      <c r="E476" s="546">
        <v>46155</v>
      </c>
      <c r="F476" s="639"/>
      <c r="G476" s="651"/>
      <c r="H476" s="650"/>
      <c r="I476" s="668"/>
      <c r="J476" s="666"/>
      <c r="K476" s="682"/>
      <c r="L476" s="681"/>
      <c r="M476" s="692"/>
      <c r="N476" s="735"/>
      <c r="O476" s="738"/>
      <c r="P476" s="698"/>
      <c r="Q476" s="708"/>
      <c r="R476" s="704"/>
    </row>
    <row r="477" spans="1:18" x14ac:dyDescent="0.25">
      <c r="A477" s="552"/>
      <c r="B477" s="552" t="s">
        <v>420</v>
      </c>
      <c r="C477" s="545" t="s">
        <v>108</v>
      </c>
      <c r="D477" s="550">
        <v>17.600000000000001</v>
      </c>
      <c r="E477" s="546">
        <v>62225</v>
      </c>
      <c r="F477" s="639"/>
      <c r="G477" s="651"/>
      <c r="H477" s="650"/>
      <c r="I477" s="668"/>
      <c r="J477" s="666"/>
      <c r="K477" s="682"/>
      <c r="L477" s="681"/>
      <c r="M477" s="692"/>
      <c r="N477" s="735"/>
      <c r="O477" s="736"/>
      <c r="P477" s="698"/>
      <c r="Q477" s="707"/>
      <c r="R477" s="704"/>
    </row>
    <row r="478" spans="1:18" x14ac:dyDescent="0.25">
      <c r="A478" s="552"/>
      <c r="B478" s="552" t="s">
        <v>421</v>
      </c>
      <c r="C478" s="545" t="s">
        <v>109</v>
      </c>
      <c r="D478" s="550">
        <v>2.12</v>
      </c>
      <c r="E478" s="546">
        <v>95155</v>
      </c>
      <c r="F478" s="639"/>
      <c r="G478" s="651"/>
      <c r="H478" s="650"/>
      <c r="I478" s="668"/>
      <c r="J478" s="666"/>
      <c r="K478" s="682"/>
      <c r="L478" s="681"/>
      <c r="M478" s="692"/>
      <c r="N478" s="735"/>
      <c r="O478" s="738"/>
      <c r="P478" s="698"/>
      <c r="Q478" s="708"/>
      <c r="R478" s="704"/>
    </row>
    <row r="479" spans="1:18" x14ac:dyDescent="0.25">
      <c r="A479" s="552"/>
      <c r="B479" s="552" t="s">
        <v>422</v>
      </c>
      <c r="C479" s="545" t="s">
        <v>110</v>
      </c>
      <c r="D479" s="550">
        <v>7.03</v>
      </c>
      <c r="E479" s="546">
        <v>66632</v>
      </c>
      <c r="F479" s="639"/>
      <c r="G479" s="651"/>
      <c r="H479" s="650"/>
      <c r="I479" s="668"/>
      <c r="J479" s="666"/>
      <c r="K479" s="682"/>
      <c r="L479" s="681"/>
      <c r="M479" s="692"/>
      <c r="N479" s="735"/>
      <c r="O479" s="738"/>
      <c r="P479" s="698"/>
      <c r="Q479" s="708"/>
      <c r="R479" s="704"/>
    </row>
    <row r="480" spans="1:18" x14ac:dyDescent="0.25">
      <c r="A480" s="552"/>
      <c r="B480" s="552" t="s">
        <v>423</v>
      </c>
      <c r="C480" s="545" t="s">
        <v>111</v>
      </c>
      <c r="D480" s="550">
        <v>10.19</v>
      </c>
      <c r="E480" s="546">
        <v>52079</v>
      </c>
      <c r="F480" s="639"/>
      <c r="G480" s="651"/>
      <c r="H480" s="650"/>
      <c r="I480" s="668"/>
      <c r="J480" s="666"/>
      <c r="K480" s="682"/>
      <c r="L480" s="681"/>
      <c r="M480" s="692"/>
      <c r="N480" s="735"/>
      <c r="O480" s="736"/>
      <c r="P480" s="698"/>
      <c r="Q480" s="707"/>
      <c r="R480" s="704"/>
    </row>
    <row r="481" spans="1:18" x14ac:dyDescent="0.25">
      <c r="A481" s="552"/>
      <c r="B481" s="552" t="s">
        <v>424</v>
      </c>
      <c r="C481" s="545" t="s">
        <v>112</v>
      </c>
      <c r="D481" s="550">
        <v>2.2799999999999998</v>
      </c>
      <c r="E481" s="546">
        <v>55163</v>
      </c>
      <c r="F481" s="639"/>
      <c r="G481" s="651"/>
      <c r="H481" s="650"/>
      <c r="I481" s="668"/>
      <c r="J481" s="666"/>
      <c r="K481" s="682"/>
      <c r="L481" s="681"/>
      <c r="M481" s="692"/>
      <c r="N481" s="735"/>
      <c r="O481" s="738"/>
      <c r="P481" s="698"/>
      <c r="Q481" s="708"/>
      <c r="R481" s="704"/>
    </row>
    <row r="482" spans="1:18" x14ac:dyDescent="0.25">
      <c r="A482" s="552"/>
      <c r="B482" s="552" t="s">
        <v>425</v>
      </c>
      <c r="C482" s="545" t="s">
        <v>104</v>
      </c>
      <c r="D482" s="550">
        <v>7.5</v>
      </c>
      <c r="E482" s="546">
        <v>93347</v>
      </c>
      <c r="F482" s="639"/>
      <c r="G482" s="651"/>
      <c r="H482" s="650"/>
      <c r="I482" s="668"/>
      <c r="J482" s="666"/>
      <c r="K482" s="682"/>
      <c r="L482" s="681"/>
      <c r="M482" s="692"/>
      <c r="N482" s="735"/>
      <c r="O482" s="736"/>
      <c r="P482" s="698"/>
      <c r="Q482" s="707"/>
      <c r="R482" s="704"/>
    </row>
    <row r="483" spans="1:18" x14ac:dyDescent="0.25">
      <c r="A483" s="241"/>
      <c r="B483" s="243"/>
      <c r="C483" s="241"/>
      <c r="D483" s="762"/>
      <c r="E483" s="629"/>
      <c r="F483" s="636">
        <f>SUM(D467:D474)</f>
        <v>22.45</v>
      </c>
      <c r="G483" s="651">
        <f>(SUMPRODUCT(D467:D474,E467:E474))</f>
        <v>1886462.51</v>
      </c>
      <c r="H483" s="652">
        <f>SUM(D467:D469)</f>
        <v>5.29</v>
      </c>
      <c r="I483" s="668">
        <f>(SUMPRODUCT(D467:D469,E467:E469))</f>
        <v>607632.95000000007</v>
      </c>
      <c r="J483" s="667">
        <f>SUM(D470:D474)</f>
        <v>17.16</v>
      </c>
      <c r="K483" s="682">
        <f>(SUMPRODUCT(D470:D474,E470:E474))</f>
        <v>1278829.56</v>
      </c>
      <c r="L483" s="683"/>
      <c r="M483" s="692"/>
      <c r="N483" s="737">
        <f>+H483+J483+L483</f>
        <v>22.45</v>
      </c>
      <c r="O483" s="738">
        <f>+I483+K483+M483</f>
        <v>1886462.5100000002</v>
      </c>
      <c r="P483" s="699">
        <f>SUM(D475:D482)</f>
        <v>79.930000000000007</v>
      </c>
      <c r="Q483" s="708">
        <f>(SUMPRODUCT(D475:D482,E475:E482))</f>
        <v>4760823.4700000007</v>
      </c>
      <c r="R483" s="704"/>
    </row>
    <row r="484" spans="1:18" x14ac:dyDescent="0.25">
      <c r="A484" s="552" t="s">
        <v>573</v>
      </c>
      <c r="B484" s="552" t="s">
        <v>303</v>
      </c>
      <c r="C484" s="545"/>
      <c r="D484" s="550"/>
      <c r="E484" s="546"/>
      <c r="F484" s="635"/>
      <c r="G484" s="649"/>
      <c r="H484" s="650"/>
      <c r="I484" s="665"/>
      <c r="J484" s="666"/>
      <c r="K484" s="680"/>
      <c r="L484" s="681"/>
      <c r="M484" s="691"/>
      <c r="N484" s="735"/>
      <c r="O484" s="736"/>
      <c r="P484" s="698"/>
      <c r="Q484" s="707"/>
      <c r="R484" s="704"/>
    </row>
    <row r="485" spans="1:18" x14ac:dyDescent="0.25">
      <c r="A485" s="552"/>
      <c r="B485" s="552" t="s">
        <v>392</v>
      </c>
      <c r="C485" s="545" t="s">
        <v>129</v>
      </c>
      <c r="D485" s="550">
        <v>0.5</v>
      </c>
      <c r="E485" s="546">
        <v>131554</v>
      </c>
      <c r="F485" s="635"/>
      <c r="G485" s="649"/>
      <c r="H485" s="650"/>
      <c r="I485" s="665"/>
      <c r="J485" s="666"/>
      <c r="K485" s="680"/>
      <c r="L485" s="681"/>
      <c r="M485" s="691"/>
      <c r="N485" s="735"/>
      <c r="O485" s="736"/>
      <c r="P485" s="698"/>
      <c r="Q485" s="707"/>
      <c r="R485" s="704"/>
    </row>
    <row r="486" spans="1:18" x14ac:dyDescent="0.25">
      <c r="A486" s="552"/>
      <c r="B486" s="552" t="s">
        <v>396</v>
      </c>
      <c r="C486" s="545" t="s">
        <v>145</v>
      </c>
      <c r="D486" s="550">
        <v>0.15</v>
      </c>
      <c r="E486" s="546">
        <v>144351</v>
      </c>
      <c r="F486" s="635"/>
      <c r="G486" s="649"/>
      <c r="H486" s="650"/>
      <c r="I486" s="665"/>
      <c r="J486" s="666"/>
      <c r="K486" s="680"/>
      <c r="L486" s="681"/>
      <c r="M486" s="691"/>
      <c r="N486" s="735"/>
      <c r="O486" s="736"/>
      <c r="P486" s="698"/>
      <c r="Q486" s="707"/>
      <c r="R486" s="704"/>
    </row>
    <row r="487" spans="1:18" x14ac:dyDescent="0.25">
      <c r="A487" s="552"/>
      <c r="B487" s="552" t="s">
        <v>397</v>
      </c>
      <c r="C487" s="545" t="s">
        <v>130</v>
      </c>
      <c r="D487" s="550">
        <v>0.18</v>
      </c>
      <c r="E487" s="546">
        <v>100917</v>
      </c>
      <c r="F487" s="635"/>
      <c r="G487" s="649"/>
      <c r="H487" s="650"/>
      <c r="I487" s="665"/>
      <c r="J487" s="666"/>
      <c r="K487" s="680"/>
      <c r="L487" s="681"/>
      <c r="M487" s="691"/>
      <c r="N487" s="735"/>
      <c r="O487" s="736"/>
      <c r="P487" s="698"/>
      <c r="Q487" s="707"/>
      <c r="R487" s="704"/>
    </row>
    <row r="488" spans="1:18" x14ac:dyDescent="0.25">
      <c r="A488" s="552"/>
      <c r="B488" s="552" t="s">
        <v>398</v>
      </c>
      <c r="C488" s="545" t="s">
        <v>502</v>
      </c>
      <c r="D488" s="550">
        <v>0.24</v>
      </c>
      <c r="E488" s="546">
        <v>82242</v>
      </c>
      <c r="F488" s="635"/>
      <c r="G488" s="649"/>
      <c r="H488" s="650"/>
      <c r="I488" s="665"/>
      <c r="J488" s="666"/>
      <c r="K488" s="680"/>
      <c r="L488" s="681"/>
      <c r="M488" s="691"/>
      <c r="N488" s="735"/>
      <c r="O488" s="736"/>
      <c r="P488" s="698"/>
      <c r="Q488" s="707"/>
      <c r="R488" s="704"/>
    </row>
    <row r="489" spans="1:18" x14ac:dyDescent="0.25">
      <c r="A489" s="552"/>
      <c r="B489" s="552" t="s">
        <v>399</v>
      </c>
      <c r="C489" s="545" t="s">
        <v>131</v>
      </c>
      <c r="D489" s="550">
        <v>4.8</v>
      </c>
      <c r="E489" s="546">
        <v>70665</v>
      </c>
      <c r="F489" s="635"/>
      <c r="G489" s="649"/>
      <c r="H489" s="650"/>
      <c r="I489" s="665"/>
      <c r="J489" s="666"/>
      <c r="K489" s="680"/>
      <c r="L489" s="681"/>
      <c r="M489" s="691"/>
      <c r="N489" s="735"/>
      <c r="O489" s="736"/>
      <c r="P489" s="698"/>
      <c r="Q489" s="707"/>
      <c r="R489" s="704"/>
    </row>
    <row r="490" spans="1:18" x14ac:dyDescent="0.25">
      <c r="A490" s="552"/>
      <c r="B490" s="552" t="s">
        <v>400</v>
      </c>
      <c r="C490" s="545" t="s">
        <v>132</v>
      </c>
      <c r="D490" s="550">
        <v>3.5</v>
      </c>
      <c r="E490" s="546">
        <v>55326</v>
      </c>
      <c r="F490" s="635"/>
      <c r="G490" s="649"/>
      <c r="H490" s="650"/>
      <c r="I490" s="665"/>
      <c r="J490" s="666"/>
      <c r="K490" s="680"/>
      <c r="L490" s="681"/>
      <c r="M490" s="691"/>
      <c r="N490" s="735"/>
      <c r="O490" s="736"/>
      <c r="P490" s="698"/>
      <c r="Q490" s="707"/>
      <c r="R490" s="704"/>
    </row>
    <row r="491" spans="1:18" x14ac:dyDescent="0.25">
      <c r="A491" s="552"/>
      <c r="B491" s="552" t="s">
        <v>401</v>
      </c>
      <c r="C491" s="545" t="s">
        <v>133</v>
      </c>
      <c r="D491" s="550">
        <v>0.75</v>
      </c>
      <c r="E491" s="546">
        <v>140229</v>
      </c>
      <c r="F491" s="635"/>
      <c r="G491" s="649"/>
      <c r="H491" s="650"/>
      <c r="I491" s="665"/>
      <c r="J491" s="666"/>
      <c r="K491" s="680"/>
      <c r="L491" s="681"/>
      <c r="M491" s="691"/>
      <c r="N491" s="735"/>
      <c r="O491" s="736"/>
      <c r="P491" s="698"/>
      <c r="Q491" s="707"/>
      <c r="R491" s="704"/>
    </row>
    <row r="492" spans="1:18" x14ac:dyDescent="0.25">
      <c r="A492" s="552"/>
      <c r="B492" s="552" t="s">
        <v>403</v>
      </c>
      <c r="C492" s="545" t="s">
        <v>138</v>
      </c>
      <c r="D492" s="550">
        <v>1.3</v>
      </c>
      <c r="E492" s="546">
        <v>75200</v>
      </c>
      <c r="F492" s="635"/>
      <c r="G492" s="649"/>
      <c r="H492" s="650"/>
      <c r="I492" s="665"/>
      <c r="J492" s="666"/>
      <c r="K492" s="680"/>
      <c r="L492" s="681"/>
      <c r="M492" s="691"/>
      <c r="N492" s="735"/>
      <c r="O492" s="736"/>
      <c r="P492" s="698"/>
      <c r="Q492" s="707"/>
      <c r="R492" s="704"/>
    </row>
    <row r="493" spans="1:18" x14ac:dyDescent="0.25">
      <c r="A493" s="552"/>
      <c r="B493" s="552" t="s">
        <v>417</v>
      </c>
      <c r="C493" s="545" t="s">
        <v>105</v>
      </c>
      <c r="D493" s="550">
        <v>17.18</v>
      </c>
      <c r="E493" s="546">
        <v>58728</v>
      </c>
      <c r="F493" s="635"/>
      <c r="G493" s="649"/>
      <c r="H493" s="650"/>
      <c r="I493" s="665"/>
      <c r="J493" s="666"/>
      <c r="K493" s="680"/>
      <c r="L493" s="681"/>
      <c r="M493" s="691"/>
      <c r="N493" s="735"/>
      <c r="O493" s="736"/>
      <c r="P493" s="698"/>
      <c r="Q493" s="707"/>
      <c r="R493" s="704"/>
    </row>
    <row r="494" spans="1:18" x14ac:dyDescent="0.25">
      <c r="A494" s="552"/>
      <c r="B494" s="552" t="s">
        <v>420</v>
      </c>
      <c r="C494" s="545" t="s">
        <v>108</v>
      </c>
      <c r="D494" s="550">
        <v>5.31</v>
      </c>
      <c r="E494" s="546">
        <v>54912</v>
      </c>
      <c r="F494" s="635"/>
      <c r="G494" s="649"/>
      <c r="H494" s="650"/>
      <c r="I494" s="665"/>
      <c r="J494" s="666"/>
      <c r="K494" s="680"/>
      <c r="L494" s="681"/>
      <c r="M494" s="691"/>
      <c r="N494" s="735"/>
      <c r="O494" s="736"/>
      <c r="P494" s="698"/>
      <c r="Q494" s="707"/>
      <c r="R494" s="704"/>
    </row>
    <row r="495" spans="1:18" x14ac:dyDescent="0.25">
      <c r="A495" s="552"/>
      <c r="B495" s="552" t="s">
        <v>422</v>
      </c>
      <c r="C495" s="545" t="s">
        <v>110</v>
      </c>
      <c r="D495" s="550">
        <v>13.04</v>
      </c>
      <c r="E495" s="546">
        <v>90950</v>
      </c>
      <c r="F495" s="635"/>
      <c r="G495" s="649"/>
      <c r="H495" s="650"/>
      <c r="I495" s="665"/>
      <c r="J495" s="666"/>
      <c r="K495" s="680"/>
      <c r="L495" s="681"/>
      <c r="M495" s="691"/>
      <c r="N495" s="735"/>
      <c r="O495" s="736"/>
      <c r="P495" s="698"/>
      <c r="Q495" s="707"/>
      <c r="R495" s="704"/>
    </row>
    <row r="496" spans="1:18" x14ac:dyDescent="0.25">
      <c r="A496" s="552"/>
      <c r="B496" s="552" t="s">
        <v>424</v>
      </c>
      <c r="C496" s="545" t="s">
        <v>112</v>
      </c>
      <c r="D496" s="550">
        <v>2.33</v>
      </c>
      <c r="E496" s="546">
        <v>70511</v>
      </c>
      <c r="F496" s="635"/>
      <c r="G496" s="649"/>
      <c r="H496" s="650"/>
      <c r="I496" s="665"/>
      <c r="J496" s="666"/>
      <c r="K496" s="680"/>
      <c r="L496" s="681"/>
      <c r="M496" s="691"/>
      <c r="N496" s="735"/>
      <c r="O496" s="736"/>
      <c r="P496" s="698"/>
      <c r="Q496" s="707"/>
      <c r="R496" s="704"/>
    </row>
    <row r="497" spans="1:18" x14ac:dyDescent="0.25">
      <c r="A497" s="552"/>
      <c r="B497" s="552" t="s">
        <v>425</v>
      </c>
      <c r="C497" s="545" t="s">
        <v>104</v>
      </c>
      <c r="D497" s="550">
        <v>10.97</v>
      </c>
      <c r="E497" s="546">
        <v>103848</v>
      </c>
      <c r="F497" s="639"/>
      <c r="G497" s="651"/>
      <c r="H497" s="650"/>
      <c r="I497" s="668"/>
      <c r="J497" s="666"/>
      <c r="K497" s="682"/>
      <c r="L497" s="681"/>
      <c r="M497" s="692"/>
      <c r="N497" s="735"/>
      <c r="O497" s="738"/>
      <c r="P497" s="698"/>
      <c r="Q497" s="708"/>
      <c r="R497" s="704"/>
    </row>
    <row r="498" spans="1:18" x14ac:dyDescent="0.25">
      <c r="A498" s="241"/>
      <c r="B498" s="243"/>
      <c r="C498" s="241"/>
      <c r="D498" s="762"/>
      <c r="E498" s="629"/>
      <c r="F498" s="636">
        <f>SUM(D485:D492)</f>
        <v>11.420000000000002</v>
      </c>
      <c r="G498" s="651">
        <f>(SUMPRODUCT(D485:D492,E485:E492))</f>
        <v>861097.54</v>
      </c>
      <c r="H498" s="652">
        <f>SUM(D485:D487)</f>
        <v>0.83000000000000007</v>
      </c>
      <c r="I498" s="668">
        <f>(SUMPRODUCT(D485:D487,E485:E487))</f>
        <v>105594.70999999999</v>
      </c>
      <c r="J498" s="667">
        <f>SUM(D488:D492)</f>
        <v>10.59</v>
      </c>
      <c r="K498" s="682">
        <f>(SUMPRODUCT(D488:D492,E488:E492))</f>
        <v>755502.83000000007</v>
      </c>
      <c r="L498" s="683"/>
      <c r="M498" s="692"/>
      <c r="N498" s="737">
        <f>+H498+J498+L498</f>
        <v>11.42</v>
      </c>
      <c r="O498" s="738">
        <f>+I498+K498+M498</f>
        <v>861097.54</v>
      </c>
      <c r="P498" s="699">
        <f>SUM(D493:D497)</f>
        <v>48.83</v>
      </c>
      <c r="Q498" s="708">
        <f>(SUMPRODUCT(D493:D497,E493:E497))</f>
        <v>3790020.9499999997</v>
      </c>
      <c r="R498" s="704"/>
    </row>
    <row r="499" spans="1:18" x14ac:dyDescent="0.25">
      <c r="A499" s="552" t="s">
        <v>574</v>
      </c>
      <c r="B499" s="552" t="s">
        <v>147</v>
      </c>
      <c r="C499" s="545"/>
      <c r="D499" s="550"/>
      <c r="E499" s="546"/>
      <c r="F499" s="635"/>
      <c r="G499" s="649"/>
      <c r="H499" s="650"/>
      <c r="I499" s="665"/>
      <c r="J499" s="666"/>
      <c r="K499" s="680"/>
      <c r="L499" s="681"/>
      <c r="M499" s="691"/>
      <c r="N499" s="735"/>
      <c r="O499" s="736"/>
      <c r="P499" s="698"/>
      <c r="Q499" s="707"/>
      <c r="R499" s="704"/>
    </row>
    <row r="500" spans="1:18" x14ac:dyDescent="0.25">
      <c r="A500" s="552"/>
      <c r="B500" s="552" t="s">
        <v>399</v>
      </c>
      <c r="C500" s="545" t="s">
        <v>131</v>
      </c>
      <c r="D500" s="550">
        <v>0.89</v>
      </c>
      <c r="E500" s="546">
        <v>78372</v>
      </c>
      <c r="F500" s="635"/>
      <c r="G500" s="649"/>
      <c r="H500" s="650"/>
      <c r="I500" s="665"/>
      <c r="J500" s="666"/>
      <c r="K500" s="680"/>
      <c r="L500" s="681"/>
      <c r="M500" s="691"/>
      <c r="N500" s="735"/>
      <c r="O500" s="736"/>
      <c r="P500" s="698"/>
      <c r="Q500" s="707"/>
      <c r="R500" s="704"/>
    </row>
    <row r="501" spans="1:18" x14ac:dyDescent="0.25">
      <c r="A501" s="552"/>
      <c r="B501" s="552" t="s">
        <v>420</v>
      </c>
      <c r="C501" s="545" t="s">
        <v>108</v>
      </c>
      <c r="D501" s="550">
        <v>0.88</v>
      </c>
      <c r="E501" s="546">
        <v>62814</v>
      </c>
      <c r="F501" s="635"/>
      <c r="G501" s="649"/>
      <c r="H501" s="650"/>
      <c r="I501" s="665"/>
      <c r="J501" s="666"/>
      <c r="K501" s="680"/>
      <c r="L501" s="681"/>
      <c r="M501" s="691"/>
      <c r="N501" s="735"/>
      <c r="O501" s="736"/>
      <c r="P501" s="698"/>
      <c r="Q501" s="707"/>
      <c r="R501" s="704"/>
    </row>
    <row r="502" spans="1:18" x14ac:dyDescent="0.25">
      <c r="A502" s="552"/>
      <c r="B502" s="552" t="s">
        <v>422</v>
      </c>
      <c r="C502" s="545" t="s">
        <v>110</v>
      </c>
      <c r="D502" s="550">
        <v>0.2</v>
      </c>
      <c r="E502" s="546">
        <v>58129</v>
      </c>
      <c r="F502" s="635"/>
      <c r="G502" s="649"/>
      <c r="H502" s="650"/>
      <c r="I502" s="665"/>
      <c r="J502" s="666"/>
      <c r="K502" s="680"/>
      <c r="L502" s="681"/>
      <c r="M502" s="691"/>
      <c r="N502" s="735"/>
      <c r="O502" s="736"/>
      <c r="P502" s="698"/>
      <c r="Q502" s="707"/>
      <c r="R502" s="704"/>
    </row>
    <row r="503" spans="1:18" x14ac:dyDescent="0.25">
      <c r="A503" s="241"/>
      <c r="B503" s="243"/>
      <c r="C503" s="241"/>
      <c r="D503" s="762"/>
      <c r="E503" s="629"/>
      <c r="F503" s="636">
        <f>SUM(D500:D500)</f>
        <v>0.89</v>
      </c>
      <c r="G503" s="651">
        <f>(SUMPRODUCT(D500:D500,E500:E500))</f>
        <v>69751.08</v>
      </c>
      <c r="H503" s="652"/>
      <c r="I503" s="668"/>
      <c r="J503" s="667">
        <f>SUM(D500:D500)</f>
        <v>0.89</v>
      </c>
      <c r="K503" s="682">
        <f>(SUMPRODUCT(D500:D500,E500:E500))</f>
        <v>69751.08</v>
      </c>
      <c r="L503" s="683"/>
      <c r="M503" s="692"/>
      <c r="N503" s="737">
        <f>+H503+J503+L503</f>
        <v>0.89</v>
      </c>
      <c r="O503" s="738">
        <f>+I503+K503+M503</f>
        <v>69751.08</v>
      </c>
      <c r="P503" s="699">
        <f>SUM(D501:D502)</f>
        <v>1.08</v>
      </c>
      <c r="Q503" s="708">
        <f>(SUMPRODUCT(D501:D502,E501:E502))</f>
        <v>66902.12</v>
      </c>
      <c r="R503" s="704"/>
    </row>
    <row r="504" spans="1:18" x14ac:dyDescent="0.25">
      <c r="A504" s="552" t="s">
        <v>575</v>
      </c>
      <c r="B504" s="552" t="s">
        <v>148</v>
      </c>
      <c r="C504" s="545"/>
      <c r="D504" s="550"/>
      <c r="E504" s="546"/>
      <c r="F504" s="635"/>
      <c r="G504" s="649"/>
      <c r="H504" s="650"/>
      <c r="I504" s="665"/>
      <c r="J504" s="666"/>
      <c r="K504" s="680"/>
      <c r="L504" s="681"/>
      <c r="M504" s="691"/>
      <c r="N504" s="735"/>
      <c r="O504" s="736"/>
      <c r="P504" s="698"/>
      <c r="Q504" s="707"/>
      <c r="R504" s="704"/>
    </row>
    <row r="505" spans="1:18" x14ac:dyDescent="0.25">
      <c r="A505" s="552"/>
      <c r="B505" s="552" t="s">
        <v>401</v>
      </c>
      <c r="C505" s="545" t="s">
        <v>133</v>
      </c>
      <c r="D505" s="550">
        <v>0.2</v>
      </c>
      <c r="E505" s="546">
        <v>100520</v>
      </c>
      <c r="F505" s="635"/>
      <c r="G505" s="649"/>
      <c r="H505" s="650"/>
      <c r="I505" s="665"/>
      <c r="J505" s="666"/>
      <c r="K505" s="680"/>
      <c r="L505" s="681"/>
      <c r="M505" s="691"/>
      <c r="N505" s="735"/>
      <c r="O505" s="736"/>
      <c r="P505" s="698"/>
      <c r="Q505" s="707"/>
      <c r="R505" s="704"/>
    </row>
    <row r="506" spans="1:18" x14ac:dyDescent="0.25">
      <c r="A506" s="552"/>
      <c r="B506" s="552" t="s">
        <v>417</v>
      </c>
      <c r="C506" s="545" t="s">
        <v>105</v>
      </c>
      <c r="D506" s="550">
        <v>0.02</v>
      </c>
      <c r="E506" s="546">
        <v>39091</v>
      </c>
      <c r="F506" s="635"/>
      <c r="G506" s="649"/>
      <c r="H506" s="650"/>
      <c r="I506" s="665"/>
      <c r="J506" s="666"/>
      <c r="K506" s="680"/>
      <c r="L506" s="681"/>
      <c r="M506" s="691"/>
      <c r="N506" s="735"/>
      <c r="O506" s="736"/>
      <c r="P506" s="698"/>
      <c r="Q506" s="707"/>
      <c r="R506" s="704"/>
    </row>
    <row r="507" spans="1:18" x14ac:dyDescent="0.25">
      <c r="A507" s="552"/>
      <c r="B507" s="552" t="s">
        <v>420</v>
      </c>
      <c r="C507" s="545" t="s">
        <v>108</v>
      </c>
      <c r="D507" s="550">
        <v>0.89</v>
      </c>
      <c r="E507" s="546">
        <v>61225</v>
      </c>
      <c r="F507" s="635"/>
      <c r="G507" s="649"/>
      <c r="H507" s="650"/>
      <c r="I507" s="665"/>
      <c r="J507" s="666"/>
      <c r="K507" s="680"/>
      <c r="L507" s="681"/>
      <c r="M507" s="691"/>
      <c r="N507" s="735"/>
      <c r="O507" s="736"/>
      <c r="P507" s="698"/>
      <c r="Q507" s="707"/>
      <c r="R507" s="704"/>
    </row>
    <row r="508" spans="1:18" x14ac:dyDescent="0.25">
      <c r="A508" s="241"/>
      <c r="B508" s="243"/>
      <c r="C508" s="241"/>
      <c r="D508" s="762"/>
      <c r="E508" s="629"/>
      <c r="F508" s="636">
        <f>SUM(D505:D505)</f>
        <v>0.2</v>
      </c>
      <c r="G508" s="651">
        <f>(SUMPRODUCT(D505:D505,E505:E505))</f>
        <v>20104</v>
      </c>
      <c r="H508" s="652"/>
      <c r="I508" s="668"/>
      <c r="J508" s="667">
        <f>SUM(D505:D505)</f>
        <v>0.2</v>
      </c>
      <c r="K508" s="682">
        <f>(SUMPRODUCT(D505:D505,E505:E505))</f>
        <v>20104</v>
      </c>
      <c r="L508" s="683"/>
      <c r="M508" s="692"/>
      <c r="N508" s="737">
        <f>+H508+J508+L508</f>
        <v>0.2</v>
      </c>
      <c r="O508" s="738">
        <f>+I508+K508+M508</f>
        <v>20104</v>
      </c>
      <c r="P508" s="699">
        <f>SUM(D506:D507)</f>
        <v>0.91</v>
      </c>
      <c r="Q508" s="708">
        <f>(SUMPRODUCT(D506:D507,E506:E507))</f>
        <v>55272.07</v>
      </c>
      <c r="R508" s="704"/>
    </row>
    <row r="509" spans="1:18" x14ac:dyDescent="0.25">
      <c r="A509" s="552" t="s">
        <v>576</v>
      </c>
      <c r="B509" s="552" t="s">
        <v>149</v>
      </c>
      <c r="C509" s="545"/>
      <c r="D509" s="550"/>
      <c r="E509" s="546"/>
      <c r="F509" s="635"/>
      <c r="G509" s="649"/>
      <c r="H509" s="650"/>
      <c r="I509" s="665"/>
      <c r="J509" s="666"/>
      <c r="K509" s="680"/>
      <c r="L509" s="681"/>
      <c r="M509" s="691"/>
      <c r="N509" s="735"/>
      <c r="O509" s="736"/>
      <c r="P509" s="698"/>
      <c r="Q509" s="707"/>
      <c r="R509" s="704"/>
    </row>
    <row r="510" spans="1:18" x14ac:dyDescent="0.25">
      <c r="A510" s="552"/>
      <c r="B510" s="552" t="s">
        <v>392</v>
      </c>
      <c r="C510" s="545" t="s">
        <v>129</v>
      </c>
      <c r="D510" s="550">
        <v>10.24</v>
      </c>
      <c r="E510" s="546">
        <v>144327</v>
      </c>
      <c r="F510" s="635"/>
      <c r="G510" s="649"/>
      <c r="H510" s="650"/>
      <c r="I510" s="665"/>
      <c r="J510" s="666"/>
      <c r="K510" s="680"/>
      <c r="L510" s="681"/>
      <c r="M510" s="691"/>
      <c r="N510" s="735"/>
      <c r="O510" s="736"/>
      <c r="P510" s="698"/>
      <c r="Q510" s="707"/>
      <c r="R510" s="704"/>
    </row>
    <row r="511" spans="1:18" x14ac:dyDescent="0.25">
      <c r="A511" s="552"/>
      <c r="B511" s="552" t="s">
        <v>393</v>
      </c>
      <c r="C511" s="545" t="s">
        <v>136</v>
      </c>
      <c r="D511" s="550">
        <v>0.05</v>
      </c>
      <c r="E511" s="546">
        <v>122120</v>
      </c>
      <c r="F511" s="635"/>
      <c r="G511" s="649"/>
      <c r="H511" s="650"/>
      <c r="I511" s="665"/>
      <c r="J511" s="666"/>
      <c r="K511" s="680"/>
      <c r="L511" s="681"/>
      <c r="M511" s="691"/>
      <c r="N511" s="735"/>
      <c r="O511" s="736"/>
      <c r="P511" s="698"/>
      <c r="Q511" s="707"/>
      <c r="R511" s="704"/>
    </row>
    <row r="512" spans="1:18" x14ac:dyDescent="0.25">
      <c r="A512" s="552"/>
      <c r="B512" s="552" t="s">
        <v>394</v>
      </c>
      <c r="C512" s="545" t="s">
        <v>146</v>
      </c>
      <c r="D512" s="550">
        <v>1</v>
      </c>
      <c r="E512" s="546">
        <v>118187</v>
      </c>
      <c r="F512" s="635"/>
      <c r="G512" s="649"/>
      <c r="H512" s="650"/>
      <c r="I512" s="665"/>
      <c r="J512" s="666"/>
      <c r="K512" s="680"/>
      <c r="L512" s="681"/>
      <c r="M512" s="691"/>
      <c r="N512" s="735"/>
      <c r="O512" s="736"/>
      <c r="P512" s="698"/>
      <c r="Q512" s="707"/>
      <c r="R512" s="704"/>
    </row>
    <row r="513" spans="1:18" x14ac:dyDescent="0.25">
      <c r="A513" s="552"/>
      <c r="B513" s="552" t="s">
        <v>397</v>
      </c>
      <c r="C513" s="545" t="s">
        <v>130</v>
      </c>
      <c r="D513" s="550">
        <v>0.35</v>
      </c>
      <c r="E513" s="546">
        <v>94347</v>
      </c>
      <c r="F513" s="635"/>
      <c r="G513" s="649"/>
      <c r="H513" s="650"/>
      <c r="I513" s="665"/>
      <c r="J513" s="666"/>
      <c r="K513" s="680"/>
      <c r="L513" s="681"/>
      <c r="M513" s="691"/>
      <c r="N513" s="735"/>
      <c r="O513" s="736"/>
      <c r="P513" s="698"/>
      <c r="Q513" s="707"/>
      <c r="R513" s="704"/>
    </row>
    <row r="514" spans="1:18" x14ac:dyDescent="0.25">
      <c r="A514" s="552"/>
      <c r="B514" s="552" t="s">
        <v>398</v>
      </c>
      <c r="C514" s="545" t="s">
        <v>502</v>
      </c>
      <c r="D514" s="550">
        <v>76.47</v>
      </c>
      <c r="E514" s="546">
        <v>84651</v>
      </c>
      <c r="F514" s="635"/>
      <c r="G514" s="649"/>
      <c r="H514" s="650"/>
      <c r="I514" s="665"/>
      <c r="J514" s="666"/>
      <c r="K514" s="680"/>
      <c r="L514" s="681"/>
      <c r="M514" s="691"/>
      <c r="N514" s="735"/>
      <c r="O514" s="736"/>
      <c r="P514" s="698"/>
      <c r="Q514" s="707"/>
      <c r="R514" s="704"/>
    </row>
    <row r="515" spans="1:18" x14ac:dyDescent="0.25">
      <c r="A515" s="552"/>
      <c r="B515" s="552" t="s">
        <v>399</v>
      </c>
      <c r="C515" s="545" t="s">
        <v>131</v>
      </c>
      <c r="D515" s="550">
        <v>50.42</v>
      </c>
      <c r="E515" s="546">
        <v>84198</v>
      </c>
      <c r="F515" s="635"/>
      <c r="G515" s="649"/>
      <c r="H515" s="650"/>
      <c r="I515" s="665"/>
      <c r="J515" s="666"/>
      <c r="K515" s="680"/>
      <c r="L515" s="681"/>
      <c r="M515" s="691"/>
      <c r="N515" s="735"/>
      <c r="O515" s="736"/>
      <c r="P515" s="698"/>
      <c r="Q515" s="707"/>
      <c r="R515" s="704"/>
    </row>
    <row r="516" spans="1:18" x14ac:dyDescent="0.25">
      <c r="A516" s="552"/>
      <c r="B516" s="552" t="s">
        <v>400</v>
      </c>
      <c r="C516" s="545" t="s">
        <v>132</v>
      </c>
      <c r="D516" s="550">
        <v>79.87</v>
      </c>
      <c r="E516" s="546">
        <v>82648</v>
      </c>
      <c r="F516" s="635"/>
      <c r="G516" s="649"/>
      <c r="H516" s="650"/>
      <c r="I516" s="665"/>
      <c r="J516" s="666"/>
      <c r="K516" s="680"/>
      <c r="L516" s="681"/>
      <c r="M516" s="691"/>
      <c r="N516" s="735"/>
      <c r="O516" s="736"/>
      <c r="P516" s="698"/>
      <c r="Q516" s="707"/>
      <c r="R516" s="704"/>
    </row>
    <row r="517" spans="1:18" x14ac:dyDescent="0.25">
      <c r="A517" s="552"/>
      <c r="B517" s="552" t="s">
        <v>503</v>
      </c>
      <c r="C517" s="545" t="s">
        <v>504</v>
      </c>
      <c r="D517" s="550">
        <v>4.26</v>
      </c>
      <c r="E517" s="546">
        <v>75589</v>
      </c>
      <c r="F517" s="635"/>
      <c r="G517" s="649"/>
      <c r="H517" s="650"/>
      <c r="I517" s="665"/>
      <c r="J517" s="666"/>
      <c r="K517" s="680"/>
      <c r="L517" s="681"/>
      <c r="M517" s="691"/>
      <c r="N517" s="735"/>
      <c r="O517" s="736"/>
      <c r="P517" s="698"/>
      <c r="Q517" s="707"/>
      <c r="R517" s="704"/>
    </row>
    <row r="518" spans="1:18" x14ac:dyDescent="0.25">
      <c r="A518" s="552"/>
      <c r="B518" s="552" t="s">
        <v>401</v>
      </c>
      <c r="C518" s="545" t="s">
        <v>133</v>
      </c>
      <c r="D518" s="550">
        <v>27.25</v>
      </c>
      <c r="E518" s="546">
        <v>91034</v>
      </c>
      <c r="F518" s="635"/>
      <c r="G518" s="649"/>
      <c r="H518" s="650"/>
      <c r="I518" s="665"/>
      <c r="J518" s="666"/>
      <c r="K518" s="680"/>
      <c r="L518" s="681"/>
      <c r="M518" s="691"/>
      <c r="N518" s="735"/>
      <c r="O518" s="736"/>
      <c r="P518" s="698"/>
      <c r="Q518" s="707"/>
      <c r="R518" s="704"/>
    </row>
    <row r="519" spans="1:18" x14ac:dyDescent="0.25">
      <c r="A519" s="552"/>
      <c r="B519" s="552" t="s">
        <v>403</v>
      </c>
      <c r="C519" s="545" t="s">
        <v>138</v>
      </c>
      <c r="D519" s="550">
        <v>1.2</v>
      </c>
      <c r="E519" s="546">
        <v>94613</v>
      </c>
      <c r="F519" s="635"/>
      <c r="G519" s="649"/>
      <c r="H519" s="650"/>
      <c r="I519" s="665"/>
      <c r="J519" s="666"/>
      <c r="K519" s="680"/>
      <c r="L519" s="681"/>
      <c r="M519" s="691"/>
      <c r="N519" s="735"/>
      <c r="O519" s="736"/>
      <c r="P519" s="698"/>
      <c r="Q519" s="707"/>
      <c r="R519" s="704"/>
    </row>
    <row r="520" spans="1:18" x14ac:dyDescent="0.25">
      <c r="A520" s="552"/>
      <c r="B520" s="552" t="s">
        <v>407</v>
      </c>
      <c r="C520" s="545" t="s">
        <v>141</v>
      </c>
      <c r="D520" s="550">
        <v>0.4</v>
      </c>
      <c r="E520" s="546">
        <v>83490</v>
      </c>
      <c r="F520" s="635"/>
      <c r="G520" s="649"/>
      <c r="H520" s="650"/>
      <c r="I520" s="665"/>
      <c r="J520" s="666"/>
      <c r="K520" s="680"/>
      <c r="L520" s="681"/>
      <c r="M520" s="691"/>
      <c r="N520" s="735"/>
      <c r="O520" s="736"/>
      <c r="P520" s="698"/>
      <c r="Q520" s="707"/>
      <c r="R520" s="704"/>
    </row>
    <row r="521" spans="1:18" x14ac:dyDescent="0.25">
      <c r="A521" s="552"/>
      <c r="B521" s="552" t="s">
        <v>417</v>
      </c>
      <c r="C521" s="545" t="s">
        <v>105</v>
      </c>
      <c r="D521" s="550">
        <v>4.7</v>
      </c>
      <c r="E521" s="546">
        <v>42476</v>
      </c>
      <c r="F521" s="635"/>
      <c r="G521" s="649"/>
      <c r="H521" s="650"/>
      <c r="I521" s="665"/>
      <c r="J521" s="666"/>
      <c r="K521" s="680"/>
      <c r="L521" s="681"/>
      <c r="M521" s="691"/>
      <c r="N521" s="735"/>
      <c r="O521" s="736"/>
      <c r="P521" s="698"/>
      <c r="Q521" s="707"/>
      <c r="R521" s="704"/>
    </row>
    <row r="522" spans="1:18" x14ac:dyDescent="0.25">
      <c r="A522" s="552"/>
      <c r="B522" s="552" t="s">
        <v>420</v>
      </c>
      <c r="C522" s="545" t="s">
        <v>108</v>
      </c>
      <c r="D522" s="550">
        <v>16.37</v>
      </c>
      <c r="E522" s="546">
        <v>59650</v>
      </c>
      <c r="F522" s="635"/>
      <c r="G522" s="649"/>
      <c r="H522" s="650"/>
      <c r="I522" s="665"/>
      <c r="J522" s="666"/>
      <c r="K522" s="680"/>
      <c r="L522" s="681"/>
      <c r="M522" s="691"/>
      <c r="N522" s="735"/>
      <c r="O522" s="736"/>
      <c r="P522" s="698"/>
      <c r="Q522" s="707"/>
      <c r="R522" s="704"/>
    </row>
    <row r="523" spans="1:18" x14ac:dyDescent="0.25">
      <c r="A523" s="552"/>
      <c r="B523" s="552" t="s">
        <v>422</v>
      </c>
      <c r="C523" s="545" t="s">
        <v>110</v>
      </c>
      <c r="D523" s="550">
        <v>4.13</v>
      </c>
      <c r="E523" s="546">
        <v>77916</v>
      </c>
      <c r="F523" s="635"/>
      <c r="G523" s="649"/>
      <c r="H523" s="650"/>
      <c r="I523" s="665"/>
      <c r="J523" s="666"/>
      <c r="K523" s="680"/>
      <c r="L523" s="681"/>
      <c r="M523" s="691"/>
      <c r="N523" s="735"/>
      <c r="O523" s="736"/>
      <c r="P523" s="698"/>
      <c r="Q523" s="707"/>
      <c r="R523" s="704"/>
    </row>
    <row r="524" spans="1:18" x14ac:dyDescent="0.25">
      <c r="A524" s="552"/>
      <c r="B524" s="552" t="s">
        <v>424</v>
      </c>
      <c r="C524" s="545" t="s">
        <v>112</v>
      </c>
      <c r="D524" s="550">
        <v>1.5</v>
      </c>
      <c r="E524" s="546">
        <v>62473</v>
      </c>
      <c r="F524" s="635"/>
      <c r="G524" s="649"/>
      <c r="H524" s="650"/>
      <c r="I524" s="665"/>
      <c r="J524" s="666"/>
      <c r="K524" s="680"/>
      <c r="L524" s="681"/>
      <c r="M524" s="691"/>
      <c r="N524" s="735"/>
      <c r="O524" s="736"/>
      <c r="P524" s="698"/>
      <c r="Q524" s="707"/>
      <c r="R524" s="704"/>
    </row>
    <row r="525" spans="1:18" x14ac:dyDescent="0.25">
      <c r="A525" s="552"/>
      <c r="B525" s="552" t="s">
        <v>425</v>
      </c>
      <c r="C525" s="545" t="s">
        <v>104</v>
      </c>
      <c r="D525" s="550">
        <v>0.2</v>
      </c>
      <c r="E525" s="546">
        <v>69290</v>
      </c>
      <c r="F525" s="635"/>
      <c r="G525" s="649"/>
      <c r="H525" s="650"/>
      <c r="I525" s="665"/>
      <c r="J525" s="666"/>
      <c r="K525" s="680"/>
      <c r="L525" s="681"/>
      <c r="M525" s="691"/>
      <c r="N525" s="735"/>
      <c r="O525" s="736"/>
      <c r="P525" s="698"/>
      <c r="Q525" s="707"/>
      <c r="R525" s="704"/>
    </row>
    <row r="526" spans="1:18" x14ac:dyDescent="0.25">
      <c r="A526" s="241"/>
      <c r="B526" s="243"/>
      <c r="C526" s="241"/>
      <c r="D526" s="762"/>
      <c r="E526" s="629"/>
      <c r="F526" s="636">
        <f>SUM(D510:D520)</f>
        <v>251.51</v>
      </c>
      <c r="G526" s="651">
        <f>(SUMPRODUCT(D510:D520,E510:E520))</f>
        <v>21904461.060000002</v>
      </c>
      <c r="H526" s="652">
        <f>SUM(D510:D513)</f>
        <v>11.64</v>
      </c>
      <c r="I526" s="668">
        <f>(SUMPRODUCT(D510:D513,E510:E513))</f>
        <v>1635222.93</v>
      </c>
      <c r="J526" s="667">
        <f>SUM(D514:D520)</f>
        <v>239.86999999999998</v>
      </c>
      <c r="K526" s="682">
        <f>(SUMPRODUCT(D514:D520,E514:E520))</f>
        <v>20269238.130000003</v>
      </c>
      <c r="L526" s="683"/>
      <c r="M526" s="692"/>
      <c r="N526" s="737">
        <f>+H526+J526+L526</f>
        <v>251.51</v>
      </c>
      <c r="O526" s="738">
        <f>+I526+K526+M526</f>
        <v>21904461.060000002</v>
      </c>
      <c r="P526" s="699">
        <f>SUM(D521:D525)</f>
        <v>26.9</v>
      </c>
      <c r="Q526" s="708">
        <f>(SUMPRODUCT(D521:D525,E521:E525))</f>
        <v>1605468.2800000003</v>
      </c>
      <c r="R526" s="704"/>
    </row>
    <row r="527" spans="1:18" x14ac:dyDescent="0.25">
      <c r="A527" s="552" t="s">
        <v>577</v>
      </c>
      <c r="B527" s="552" t="s">
        <v>304</v>
      </c>
      <c r="C527" s="545"/>
      <c r="D527" s="550"/>
      <c r="E527" s="546"/>
      <c r="F527" s="635"/>
      <c r="G527" s="649"/>
      <c r="H527" s="650"/>
      <c r="I527" s="665"/>
      <c r="J527" s="666"/>
      <c r="K527" s="680"/>
      <c r="L527" s="681"/>
      <c r="M527" s="691"/>
      <c r="N527" s="735"/>
      <c r="O527" s="736"/>
      <c r="P527" s="698"/>
      <c r="Q527" s="707"/>
      <c r="R527" s="704"/>
    </row>
    <row r="528" spans="1:18" x14ac:dyDescent="0.25">
      <c r="A528" s="552"/>
      <c r="B528" s="552" t="s">
        <v>393</v>
      </c>
      <c r="C528" s="545" t="s">
        <v>136</v>
      </c>
      <c r="D528" s="550">
        <v>0.3</v>
      </c>
      <c r="E528" s="546">
        <v>122117</v>
      </c>
      <c r="F528" s="635"/>
      <c r="G528" s="649"/>
      <c r="H528" s="650"/>
      <c r="I528" s="665"/>
      <c r="J528" s="666"/>
      <c r="K528" s="680"/>
      <c r="L528" s="681"/>
      <c r="M528" s="691"/>
      <c r="N528" s="735"/>
      <c r="O528" s="736"/>
      <c r="P528" s="698"/>
      <c r="Q528" s="707"/>
      <c r="R528" s="704"/>
    </row>
    <row r="529" spans="1:18" x14ac:dyDescent="0.25">
      <c r="A529" s="552"/>
      <c r="B529" s="552" t="s">
        <v>396</v>
      </c>
      <c r="C529" s="545" t="s">
        <v>145</v>
      </c>
      <c r="D529" s="550">
        <v>0.75</v>
      </c>
      <c r="E529" s="546">
        <v>135487</v>
      </c>
      <c r="F529" s="635"/>
      <c r="G529" s="649"/>
      <c r="H529" s="650"/>
      <c r="I529" s="665"/>
      <c r="J529" s="666"/>
      <c r="K529" s="680"/>
      <c r="L529" s="681"/>
      <c r="M529" s="691"/>
      <c r="N529" s="735"/>
      <c r="O529" s="736"/>
      <c r="P529" s="698"/>
      <c r="Q529" s="707"/>
      <c r="R529" s="704"/>
    </row>
    <row r="530" spans="1:18" x14ac:dyDescent="0.25">
      <c r="A530" s="552"/>
      <c r="B530" s="552" t="s">
        <v>397</v>
      </c>
      <c r="C530" s="545" t="s">
        <v>130</v>
      </c>
      <c r="D530" s="550">
        <v>1.5</v>
      </c>
      <c r="E530" s="546">
        <v>69227</v>
      </c>
      <c r="F530" s="635"/>
      <c r="G530" s="649"/>
      <c r="H530" s="650"/>
      <c r="I530" s="665"/>
      <c r="J530" s="666"/>
      <c r="K530" s="680"/>
      <c r="L530" s="681"/>
      <c r="M530" s="691"/>
      <c r="N530" s="735"/>
      <c r="O530" s="736"/>
      <c r="P530" s="698"/>
      <c r="Q530" s="707"/>
      <c r="R530" s="704"/>
    </row>
    <row r="531" spans="1:18" x14ac:dyDescent="0.25">
      <c r="A531" s="552"/>
      <c r="B531" s="552" t="s">
        <v>398</v>
      </c>
      <c r="C531" s="545" t="s">
        <v>502</v>
      </c>
      <c r="D531" s="550">
        <v>3</v>
      </c>
      <c r="E531" s="546">
        <v>57722</v>
      </c>
      <c r="F531" s="635"/>
      <c r="G531" s="649"/>
      <c r="H531" s="650"/>
      <c r="I531" s="665"/>
      <c r="J531" s="666"/>
      <c r="K531" s="680"/>
      <c r="L531" s="681"/>
      <c r="M531" s="691"/>
      <c r="N531" s="735"/>
      <c r="O531" s="736"/>
      <c r="P531" s="698"/>
      <c r="Q531" s="707"/>
      <c r="R531" s="704"/>
    </row>
    <row r="532" spans="1:18" x14ac:dyDescent="0.25">
      <c r="A532" s="552"/>
      <c r="B532" s="552" t="s">
        <v>399</v>
      </c>
      <c r="C532" s="545" t="s">
        <v>131</v>
      </c>
      <c r="D532" s="550">
        <v>2.06</v>
      </c>
      <c r="E532" s="546">
        <v>72042</v>
      </c>
      <c r="F532" s="635"/>
      <c r="G532" s="649"/>
      <c r="H532" s="650"/>
      <c r="I532" s="665"/>
      <c r="J532" s="666"/>
      <c r="K532" s="680"/>
      <c r="L532" s="681"/>
      <c r="M532" s="691"/>
      <c r="N532" s="735"/>
      <c r="O532" s="736"/>
      <c r="P532" s="698"/>
      <c r="Q532" s="707"/>
      <c r="R532" s="704"/>
    </row>
    <row r="533" spans="1:18" x14ac:dyDescent="0.25">
      <c r="A533" s="552"/>
      <c r="B533" s="552" t="s">
        <v>400</v>
      </c>
      <c r="C533" s="545" t="s">
        <v>132</v>
      </c>
      <c r="D533" s="550">
        <v>0.32</v>
      </c>
      <c r="E533" s="546">
        <v>92218</v>
      </c>
      <c r="F533" s="635"/>
      <c r="G533" s="649"/>
      <c r="H533" s="650"/>
      <c r="I533" s="665"/>
      <c r="J533" s="666"/>
      <c r="K533" s="680"/>
      <c r="L533" s="681"/>
      <c r="M533" s="691"/>
      <c r="N533" s="735"/>
      <c r="O533" s="736"/>
      <c r="P533" s="698"/>
      <c r="Q533" s="707"/>
      <c r="R533" s="704"/>
    </row>
    <row r="534" spans="1:18" x14ac:dyDescent="0.25">
      <c r="A534" s="552"/>
      <c r="B534" s="552" t="s">
        <v>403</v>
      </c>
      <c r="C534" s="545" t="s">
        <v>138</v>
      </c>
      <c r="D534" s="550">
        <v>0.2</v>
      </c>
      <c r="E534" s="546">
        <v>79625</v>
      </c>
      <c r="F534" s="635"/>
      <c r="G534" s="649"/>
      <c r="H534" s="650"/>
      <c r="I534" s="665"/>
      <c r="J534" s="666"/>
      <c r="K534" s="680"/>
      <c r="L534" s="681"/>
      <c r="M534" s="691"/>
      <c r="N534" s="735"/>
      <c r="O534" s="736"/>
      <c r="P534" s="698"/>
      <c r="Q534" s="707"/>
      <c r="R534" s="704"/>
    </row>
    <row r="535" spans="1:18" s="777" customFormat="1" x14ac:dyDescent="0.25">
      <c r="A535" s="552"/>
      <c r="B535" s="552" t="s">
        <v>420</v>
      </c>
      <c r="C535" s="545" t="s">
        <v>108</v>
      </c>
      <c r="D535" s="550">
        <v>0.23</v>
      </c>
      <c r="E535" s="546">
        <v>40419</v>
      </c>
      <c r="F535" s="764"/>
      <c r="G535" s="765"/>
      <c r="H535" s="766"/>
      <c r="I535" s="767"/>
      <c r="J535" s="768"/>
      <c r="K535" s="769"/>
      <c r="L535" s="770"/>
      <c r="M535" s="771"/>
      <c r="N535" s="772"/>
      <c r="O535" s="773"/>
      <c r="P535" s="774"/>
      <c r="Q535" s="775"/>
      <c r="R535" s="776"/>
    </row>
    <row r="536" spans="1:18" x14ac:dyDescent="0.25">
      <c r="A536" s="552"/>
      <c r="B536" s="552" t="s">
        <v>422</v>
      </c>
      <c r="C536" s="545" t="s">
        <v>110</v>
      </c>
      <c r="D536" s="550">
        <v>1.04</v>
      </c>
      <c r="E536" s="546">
        <v>33612</v>
      </c>
      <c r="F536" s="635"/>
      <c r="G536" s="649"/>
      <c r="H536" s="650"/>
      <c r="I536" s="665"/>
      <c r="J536" s="666"/>
      <c r="K536" s="680"/>
      <c r="L536" s="681"/>
      <c r="M536" s="691"/>
      <c r="N536" s="735"/>
      <c r="O536" s="736"/>
      <c r="P536" s="698"/>
      <c r="Q536" s="707"/>
      <c r="R536" s="704"/>
    </row>
    <row r="537" spans="1:18" x14ac:dyDescent="0.25">
      <c r="A537" s="552"/>
      <c r="B537" s="552" t="s">
        <v>425</v>
      </c>
      <c r="C537" s="545" t="s">
        <v>104</v>
      </c>
      <c r="D537" s="550">
        <v>1.2</v>
      </c>
      <c r="E537" s="546">
        <v>60651</v>
      </c>
      <c r="F537" s="635"/>
      <c r="G537" s="649"/>
      <c r="H537" s="650"/>
      <c r="I537" s="665"/>
      <c r="J537" s="666"/>
      <c r="K537" s="680"/>
      <c r="L537" s="681"/>
      <c r="M537" s="691"/>
      <c r="N537" s="735"/>
      <c r="O537" s="736"/>
      <c r="P537" s="698"/>
      <c r="Q537" s="707"/>
      <c r="R537" s="704"/>
    </row>
    <row r="538" spans="1:18" x14ac:dyDescent="0.25">
      <c r="A538" s="241"/>
      <c r="B538" s="243"/>
      <c r="C538" s="241"/>
      <c r="D538" s="762"/>
      <c r="E538" s="629"/>
      <c r="F538" s="636">
        <f>SUM(D528:D534)</f>
        <v>8.129999999999999</v>
      </c>
      <c r="G538" s="651">
        <f>(SUMPRODUCT(D528:D534,E528:E534))</f>
        <v>609098.13</v>
      </c>
      <c r="H538" s="652">
        <f>SUM(D528:D530)</f>
        <v>2.5499999999999998</v>
      </c>
      <c r="I538" s="668">
        <f>(SUMPRODUCT(D528:D530,E528:E530))</f>
        <v>242090.85</v>
      </c>
      <c r="J538" s="667">
        <f>SUM(D531:D534)</f>
        <v>5.580000000000001</v>
      </c>
      <c r="K538" s="682">
        <f>(SUMPRODUCT(D531:D534,E531:E534))</f>
        <v>367007.28</v>
      </c>
      <c r="L538" s="683"/>
      <c r="M538" s="692"/>
      <c r="N538" s="737">
        <f>+H538+J538+L538</f>
        <v>8.1300000000000008</v>
      </c>
      <c r="O538" s="738">
        <f>+I538+K538+M538</f>
        <v>609098.13</v>
      </c>
      <c r="P538" s="699">
        <f>SUM(D535:D537)</f>
        <v>2.4699999999999998</v>
      </c>
      <c r="Q538" s="708">
        <f>(SUMPRODUCT(D535:D537,E535:E537))</f>
        <v>117034.05</v>
      </c>
      <c r="R538" s="704"/>
    </row>
    <row r="539" spans="1:18" x14ac:dyDescent="0.25">
      <c r="A539" s="552" t="s">
        <v>578</v>
      </c>
      <c r="B539" s="552" t="s">
        <v>305</v>
      </c>
      <c r="C539" s="545"/>
      <c r="D539" s="550"/>
      <c r="E539" s="546"/>
      <c r="F539" s="635"/>
      <c r="G539" s="649"/>
      <c r="H539" s="650"/>
      <c r="I539" s="665"/>
      <c r="J539" s="666"/>
      <c r="K539" s="680"/>
      <c r="L539" s="681"/>
      <c r="M539" s="691"/>
      <c r="N539" s="735"/>
      <c r="O539" s="736"/>
      <c r="P539" s="698"/>
      <c r="Q539" s="707"/>
      <c r="R539" s="704"/>
    </row>
    <row r="540" spans="1:18" x14ac:dyDescent="0.25">
      <c r="A540" s="552"/>
      <c r="B540" s="552" t="s">
        <v>399</v>
      </c>
      <c r="C540" s="545" t="s">
        <v>131</v>
      </c>
      <c r="D540" s="550">
        <v>1.4</v>
      </c>
      <c r="E540" s="546">
        <v>84047</v>
      </c>
      <c r="F540" s="635"/>
      <c r="G540" s="649"/>
      <c r="H540" s="650"/>
      <c r="I540" s="665"/>
      <c r="J540" s="666"/>
      <c r="K540" s="680"/>
      <c r="L540" s="681"/>
      <c r="M540" s="691"/>
      <c r="N540" s="735"/>
      <c r="O540" s="736"/>
      <c r="P540" s="698"/>
      <c r="Q540" s="707"/>
      <c r="R540" s="704"/>
    </row>
    <row r="541" spans="1:18" x14ac:dyDescent="0.25">
      <c r="A541" s="552"/>
      <c r="B541" s="552" t="s">
        <v>420</v>
      </c>
      <c r="C541" s="545" t="s">
        <v>108</v>
      </c>
      <c r="D541" s="550">
        <v>1</v>
      </c>
      <c r="E541" s="546">
        <v>37765</v>
      </c>
      <c r="F541" s="635"/>
      <c r="G541" s="649"/>
      <c r="H541" s="650"/>
      <c r="I541" s="665"/>
      <c r="J541" s="666"/>
      <c r="K541" s="680"/>
      <c r="L541" s="681"/>
      <c r="M541" s="691"/>
      <c r="N541" s="735"/>
      <c r="O541" s="736"/>
      <c r="P541" s="698"/>
      <c r="Q541" s="707"/>
      <c r="R541" s="704"/>
    </row>
    <row r="542" spans="1:18" x14ac:dyDescent="0.25">
      <c r="A542" s="552"/>
      <c r="B542" s="552" t="s">
        <v>425</v>
      </c>
      <c r="C542" s="545" t="s">
        <v>104</v>
      </c>
      <c r="D542" s="550">
        <v>1</v>
      </c>
      <c r="E542" s="546">
        <v>52000</v>
      </c>
      <c r="F542" s="635"/>
      <c r="G542" s="649"/>
      <c r="H542" s="650"/>
      <c r="I542" s="665"/>
      <c r="J542" s="666"/>
      <c r="K542" s="680"/>
      <c r="L542" s="681"/>
      <c r="M542" s="691"/>
      <c r="N542" s="735"/>
      <c r="O542" s="736"/>
      <c r="P542" s="698"/>
      <c r="Q542" s="707"/>
      <c r="R542" s="704"/>
    </row>
    <row r="543" spans="1:18" x14ac:dyDescent="0.25">
      <c r="A543" s="241"/>
      <c r="B543" s="243"/>
      <c r="C543" s="241"/>
      <c r="D543" s="762"/>
      <c r="E543" s="629"/>
      <c r="F543" s="636">
        <f>SUM(D540:D540)</f>
        <v>1.4</v>
      </c>
      <c r="G543" s="651">
        <f>(SUMPRODUCT(D540:D540,E540:E540))</f>
        <v>117665.79999999999</v>
      </c>
      <c r="H543" s="652"/>
      <c r="I543" s="668"/>
      <c r="J543" s="667">
        <f>SUM(D540:D540)</f>
        <v>1.4</v>
      </c>
      <c r="K543" s="682">
        <f>(SUMPRODUCT(D540:D540,E540:E540))</f>
        <v>117665.79999999999</v>
      </c>
      <c r="L543" s="683"/>
      <c r="M543" s="692"/>
      <c r="N543" s="737">
        <f>+H543+J543+L543</f>
        <v>1.4</v>
      </c>
      <c r="O543" s="738">
        <f>+I543+K543+M543</f>
        <v>117665.79999999999</v>
      </c>
      <c r="P543" s="699">
        <f>SUM(D541:D542)</f>
        <v>2</v>
      </c>
      <c r="Q543" s="708">
        <f>(SUMPRODUCT(D541:D542,E541:E542))</f>
        <v>89765</v>
      </c>
      <c r="R543" s="704"/>
    </row>
    <row r="544" spans="1:18" x14ac:dyDescent="0.25">
      <c r="A544" s="552" t="s">
        <v>579</v>
      </c>
      <c r="B544" s="552" t="s">
        <v>306</v>
      </c>
      <c r="C544" s="545"/>
      <c r="D544" s="550"/>
      <c r="E544" s="546"/>
      <c r="F544" s="635"/>
      <c r="G544" s="649"/>
      <c r="H544" s="650"/>
      <c r="I544" s="665"/>
      <c r="J544" s="666"/>
      <c r="K544" s="680"/>
      <c r="L544" s="681"/>
      <c r="M544" s="691"/>
      <c r="N544" s="735"/>
      <c r="O544" s="736"/>
      <c r="P544" s="698"/>
      <c r="Q544" s="707"/>
      <c r="R544" s="704"/>
    </row>
    <row r="545" spans="1:18" x14ac:dyDescent="0.25">
      <c r="A545" s="552"/>
      <c r="B545" s="552" t="s">
        <v>392</v>
      </c>
      <c r="C545" s="545" t="s">
        <v>129</v>
      </c>
      <c r="D545" s="550">
        <v>2.5499999999999998</v>
      </c>
      <c r="E545" s="546">
        <v>108600</v>
      </c>
      <c r="F545" s="635"/>
      <c r="G545" s="649"/>
      <c r="H545" s="650"/>
      <c r="I545" s="665"/>
      <c r="J545" s="666"/>
      <c r="K545" s="680"/>
      <c r="L545" s="681"/>
      <c r="M545" s="691"/>
      <c r="N545" s="735"/>
      <c r="O545" s="736"/>
      <c r="P545" s="698"/>
      <c r="Q545" s="707"/>
      <c r="R545" s="704"/>
    </row>
    <row r="546" spans="1:18" x14ac:dyDescent="0.25">
      <c r="A546" s="552"/>
      <c r="B546" s="552" t="s">
        <v>393</v>
      </c>
      <c r="C546" s="545" t="s">
        <v>136</v>
      </c>
      <c r="D546" s="550">
        <v>1</v>
      </c>
      <c r="E546" s="546">
        <v>91440</v>
      </c>
      <c r="F546" s="635"/>
      <c r="G546" s="649"/>
      <c r="H546" s="650"/>
      <c r="I546" s="665"/>
      <c r="J546" s="666"/>
      <c r="K546" s="680"/>
      <c r="L546" s="681"/>
      <c r="M546" s="691"/>
      <c r="N546" s="735"/>
      <c r="O546" s="736"/>
      <c r="P546" s="698"/>
      <c r="Q546" s="707"/>
      <c r="R546" s="704"/>
    </row>
    <row r="547" spans="1:18" x14ac:dyDescent="0.25">
      <c r="A547" s="552"/>
      <c r="B547" s="552" t="s">
        <v>394</v>
      </c>
      <c r="C547" s="545" t="s">
        <v>146</v>
      </c>
      <c r="D547" s="550">
        <v>2</v>
      </c>
      <c r="E547" s="546">
        <v>130130</v>
      </c>
      <c r="F547" s="635"/>
      <c r="G547" s="649"/>
      <c r="H547" s="650"/>
      <c r="I547" s="665"/>
      <c r="J547" s="666"/>
      <c r="K547" s="680"/>
      <c r="L547" s="681"/>
      <c r="M547" s="691"/>
      <c r="N547" s="735"/>
      <c r="O547" s="736"/>
      <c r="P547" s="698"/>
      <c r="Q547" s="707"/>
      <c r="R547" s="704"/>
    </row>
    <row r="548" spans="1:18" x14ac:dyDescent="0.25">
      <c r="A548" s="552"/>
      <c r="B548" s="552" t="s">
        <v>395</v>
      </c>
      <c r="C548" s="545" t="s">
        <v>137</v>
      </c>
      <c r="D548" s="550">
        <v>1.54</v>
      </c>
      <c r="E548" s="546">
        <v>147622</v>
      </c>
      <c r="F548" s="635"/>
      <c r="G548" s="649"/>
      <c r="H548" s="650"/>
      <c r="I548" s="665"/>
      <c r="J548" s="666"/>
      <c r="K548" s="680"/>
      <c r="L548" s="681"/>
      <c r="M548" s="691"/>
      <c r="N548" s="735"/>
      <c r="O548" s="736"/>
      <c r="P548" s="698"/>
      <c r="Q548" s="707"/>
      <c r="R548" s="704"/>
    </row>
    <row r="549" spans="1:18" x14ac:dyDescent="0.25">
      <c r="A549" s="552"/>
      <c r="B549" s="552" t="s">
        <v>396</v>
      </c>
      <c r="C549" s="545" t="s">
        <v>145</v>
      </c>
      <c r="D549" s="550">
        <v>4</v>
      </c>
      <c r="E549" s="546">
        <v>137755</v>
      </c>
      <c r="F549" s="635"/>
      <c r="G549" s="649"/>
      <c r="H549" s="650"/>
      <c r="I549" s="665"/>
      <c r="J549" s="666"/>
      <c r="K549" s="680"/>
      <c r="L549" s="681"/>
      <c r="M549" s="691"/>
      <c r="N549" s="735"/>
      <c r="O549" s="736"/>
      <c r="P549" s="698"/>
      <c r="Q549" s="707"/>
      <c r="R549" s="704"/>
    </row>
    <row r="550" spans="1:18" x14ac:dyDescent="0.25">
      <c r="A550" s="552"/>
      <c r="B550" s="552" t="s">
        <v>397</v>
      </c>
      <c r="C550" s="545" t="s">
        <v>130</v>
      </c>
      <c r="D550" s="550">
        <v>3.16</v>
      </c>
      <c r="E550" s="546">
        <v>99591</v>
      </c>
      <c r="F550" s="635"/>
      <c r="G550" s="649"/>
      <c r="H550" s="650"/>
      <c r="I550" s="665"/>
      <c r="J550" s="666"/>
      <c r="K550" s="680"/>
      <c r="L550" s="681"/>
      <c r="M550" s="691"/>
      <c r="N550" s="735"/>
      <c r="O550" s="736"/>
      <c r="P550" s="698"/>
      <c r="Q550" s="707"/>
      <c r="R550" s="704"/>
    </row>
    <row r="551" spans="1:18" x14ac:dyDescent="0.25">
      <c r="A551" s="552"/>
      <c r="B551" s="552" t="s">
        <v>398</v>
      </c>
      <c r="C551" s="545" t="s">
        <v>502</v>
      </c>
      <c r="D551" s="550">
        <v>7.54</v>
      </c>
      <c r="E551" s="546">
        <v>68835</v>
      </c>
      <c r="F551" s="635"/>
      <c r="G551" s="649"/>
      <c r="H551" s="650"/>
      <c r="I551" s="665"/>
      <c r="J551" s="666"/>
      <c r="K551" s="680"/>
      <c r="L551" s="681"/>
      <c r="M551" s="691"/>
      <c r="N551" s="735"/>
      <c r="O551" s="736"/>
      <c r="P551" s="698"/>
      <c r="Q551" s="707"/>
      <c r="R551" s="704"/>
    </row>
    <row r="552" spans="1:18" x14ac:dyDescent="0.25">
      <c r="A552" s="552"/>
      <c r="B552" s="552" t="s">
        <v>399</v>
      </c>
      <c r="C552" s="545" t="s">
        <v>131</v>
      </c>
      <c r="D552" s="550">
        <v>35.770000000000003</v>
      </c>
      <c r="E552" s="546">
        <v>80331</v>
      </c>
      <c r="F552" s="635"/>
      <c r="G552" s="649"/>
      <c r="H552" s="650"/>
      <c r="I552" s="665"/>
      <c r="J552" s="666"/>
      <c r="K552" s="680"/>
      <c r="L552" s="681"/>
      <c r="M552" s="691"/>
      <c r="N552" s="735"/>
      <c r="O552" s="736"/>
      <c r="P552" s="698"/>
      <c r="Q552" s="707"/>
      <c r="R552" s="704"/>
    </row>
    <row r="553" spans="1:18" x14ac:dyDescent="0.25">
      <c r="A553" s="552"/>
      <c r="B553" s="552" t="s">
        <v>400</v>
      </c>
      <c r="C553" s="545" t="s">
        <v>132</v>
      </c>
      <c r="D553" s="550">
        <v>67.260000000000005</v>
      </c>
      <c r="E553" s="546">
        <v>72917</v>
      </c>
      <c r="F553" s="635"/>
      <c r="G553" s="649"/>
      <c r="H553" s="650"/>
      <c r="I553" s="665"/>
      <c r="J553" s="666"/>
      <c r="K553" s="680"/>
      <c r="L553" s="681"/>
      <c r="M553" s="691"/>
      <c r="N553" s="735"/>
      <c r="O553" s="736"/>
      <c r="P553" s="698"/>
      <c r="Q553" s="707"/>
      <c r="R553" s="704"/>
    </row>
    <row r="554" spans="1:18" x14ac:dyDescent="0.25">
      <c r="A554" s="552"/>
      <c r="B554" s="552" t="s">
        <v>503</v>
      </c>
      <c r="C554" s="545" t="s">
        <v>504</v>
      </c>
      <c r="D554" s="550">
        <v>4.04</v>
      </c>
      <c r="E554" s="546">
        <v>81031</v>
      </c>
      <c r="F554" s="635"/>
      <c r="G554" s="649"/>
      <c r="H554" s="650"/>
      <c r="I554" s="665"/>
      <c r="J554" s="666"/>
      <c r="K554" s="680"/>
      <c r="L554" s="681"/>
      <c r="M554" s="691"/>
      <c r="N554" s="735"/>
      <c r="O554" s="736"/>
      <c r="P554" s="698"/>
      <c r="Q554" s="707"/>
      <c r="R554" s="704"/>
    </row>
    <row r="555" spans="1:18" x14ac:dyDescent="0.25">
      <c r="A555" s="552"/>
      <c r="B555" s="552" t="s">
        <v>401</v>
      </c>
      <c r="C555" s="545" t="s">
        <v>133</v>
      </c>
      <c r="D555" s="550">
        <v>30.69</v>
      </c>
      <c r="E555" s="546">
        <v>91234</v>
      </c>
      <c r="F555" s="635"/>
      <c r="G555" s="649"/>
      <c r="H555" s="650"/>
      <c r="I555" s="665"/>
      <c r="J555" s="666"/>
      <c r="K555" s="680"/>
      <c r="L555" s="681"/>
      <c r="M555" s="691"/>
      <c r="N555" s="735"/>
      <c r="O555" s="736"/>
      <c r="P555" s="698"/>
      <c r="Q555" s="707"/>
      <c r="R555" s="704"/>
    </row>
    <row r="556" spans="1:18" x14ac:dyDescent="0.25">
      <c r="A556" s="552"/>
      <c r="B556" s="552" t="s">
        <v>402</v>
      </c>
      <c r="C556" s="545" t="s">
        <v>144</v>
      </c>
      <c r="D556" s="550">
        <v>1.26</v>
      </c>
      <c r="E556" s="546">
        <v>82872</v>
      </c>
      <c r="F556" s="635"/>
      <c r="G556" s="649"/>
      <c r="H556" s="650"/>
      <c r="I556" s="665"/>
      <c r="J556" s="666"/>
      <c r="K556" s="680"/>
      <c r="L556" s="681"/>
      <c r="M556" s="691"/>
      <c r="N556" s="735"/>
      <c r="O556" s="736"/>
      <c r="P556" s="698"/>
      <c r="Q556" s="707"/>
      <c r="R556" s="704"/>
    </row>
    <row r="557" spans="1:18" x14ac:dyDescent="0.25">
      <c r="A557" s="552"/>
      <c r="B557" s="552" t="s">
        <v>403</v>
      </c>
      <c r="C557" s="545" t="s">
        <v>138</v>
      </c>
      <c r="D557" s="550">
        <v>13.98</v>
      </c>
      <c r="E557" s="546">
        <v>78208</v>
      </c>
      <c r="F557" s="635"/>
      <c r="G557" s="649"/>
      <c r="H557" s="650"/>
      <c r="I557" s="665"/>
      <c r="J557" s="666"/>
      <c r="K557" s="680"/>
      <c r="L557" s="681"/>
      <c r="M557" s="691"/>
      <c r="N557" s="735"/>
      <c r="O557" s="736"/>
      <c r="P557" s="698"/>
      <c r="Q557" s="707"/>
      <c r="R557" s="704"/>
    </row>
    <row r="558" spans="1:18" x14ac:dyDescent="0.25">
      <c r="A558" s="552"/>
      <c r="B558" s="552" t="s">
        <v>405</v>
      </c>
      <c r="C558" s="545" t="s">
        <v>140</v>
      </c>
      <c r="D558" s="550">
        <v>6.16</v>
      </c>
      <c r="E558" s="546">
        <v>72297</v>
      </c>
      <c r="F558" s="635"/>
      <c r="G558" s="649"/>
      <c r="H558" s="650"/>
      <c r="I558" s="665"/>
      <c r="J558" s="666"/>
      <c r="K558" s="680"/>
      <c r="L558" s="681"/>
      <c r="M558" s="691"/>
      <c r="N558" s="735"/>
      <c r="O558" s="736"/>
      <c r="P558" s="698"/>
      <c r="Q558" s="707"/>
      <c r="R558" s="704"/>
    </row>
    <row r="559" spans="1:18" x14ac:dyDescent="0.25">
      <c r="A559" s="552"/>
      <c r="B559" s="552" t="s">
        <v>407</v>
      </c>
      <c r="C559" s="545" t="s">
        <v>141</v>
      </c>
      <c r="D559" s="550">
        <v>0.1</v>
      </c>
      <c r="E559" s="546">
        <v>62130</v>
      </c>
      <c r="F559" s="635"/>
      <c r="G559" s="649"/>
      <c r="H559" s="650"/>
      <c r="I559" s="665"/>
      <c r="J559" s="666"/>
      <c r="K559" s="680"/>
      <c r="L559" s="681"/>
      <c r="M559" s="691"/>
      <c r="N559" s="735"/>
      <c r="O559" s="736"/>
      <c r="P559" s="698"/>
      <c r="Q559" s="707"/>
      <c r="R559" s="704"/>
    </row>
    <row r="560" spans="1:18" x14ac:dyDescent="0.25">
      <c r="A560" s="552"/>
      <c r="B560" s="552" t="s">
        <v>408</v>
      </c>
      <c r="C560" s="552" t="s">
        <v>142</v>
      </c>
      <c r="D560" s="550">
        <v>8.86</v>
      </c>
      <c r="E560" s="546">
        <v>74461</v>
      </c>
      <c r="F560" s="635"/>
      <c r="G560" s="649"/>
      <c r="H560" s="650"/>
      <c r="I560" s="665"/>
      <c r="J560" s="666"/>
      <c r="K560" s="680"/>
      <c r="L560" s="681"/>
      <c r="M560" s="691"/>
      <c r="N560" s="735"/>
      <c r="O560" s="736"/>
      <c r="P560" s="698"/>
      <c r="Q560" s="707"/>
      <c r="R560" s="704"/>
    </row>
    <row r="561" spans="1:18" x14ac:dyDescent="0.25">
      <c r="A561" s="552"/>
      <c r="B561" s="552" t="s">
        <v>411</v>
      </c>
      <c r="C561" s="778" t="s">
        <v>134</v>
      </c>
      <c r="D561" s="550">
        <v>1.6</v>
      </c>
      <c r="E561" s="546">
        <v>115533</v>
      </c>
      <c r="F561" s="635"/>
      <c r="G561" s="649"/>
      <c r="H561" s="650"/>
      <c r="I561" s="665"/>
      <c r="J561" s="666"/>
      <c r="K561" s="680"/>
      <c r="L561" s="681"/>
      <c r="M561" s="691"/>
      <c r="N561" s="735"/>
      <c r="O561" s="736"/>
      <c r="P561" s="698"/>
      <c r="Q561" s="707"/>
      <c r="R561" s="704"/>
    </row>
    <row r="562" spans="1:18" x14ac:dyDescent="0.25">
      <c r="A562" s="552"/>
      <c r="B562" s="552" t="s">
        <v>412</v>
      </c>
      <c r="C562" s="778" t="s">
        <v>135</v>
      </c>
      <c r="D562" s="550">
        <v>2.6</v>
      </c>
      <c r="E562" s="546">
        <v>62190</v>
      </c>
      <c r="F562" s="635"/>
      <c r="G562" s="649"/>
      <c r="H562" s="650"/>
      <c r="I562" s="665"/>
      <c r="J562" s="666"/>
      <c r="K562" s="680"/>
      <c r="L562" s="681"/>
      <c r="M562" s="691"/>
      <c r="N562" s="735"/>
      <c r="O562" s="736"/>
      <c r="P562" s="698"/>
      <c r="Q562" s="707"/>
      <c r="R562" s="704"/>
    </row>
    <row r="563" spans="1:18" x14ac:dyDescent="0.25">
      <c r="A563" s="552"/>
      <c r="B563" s="552" t="s">
        <v>413</v>
      </c>
      <c r="C563" s="778" t="s">
        <v>262</v>
      </c>
      <c r="D563" s="550">
        <v>10.5</v>
      </c>
      <c r="E563" s="546">
        <v>100172</v>
      </c>
      <c r="F563" s="635"/>
      <c r="G563" s="649"/>
      <c r="H563" s="650"/>
      <c r="I563" s="665"/>
      <c r="J563" s="666"/>
      <c r="K563" s="680"/>
      <c r="L563" s="681"/>
      <c r="M563" s="691"/>
      <c r="N563" s="735"/>
      <c r="O563" s="736"/>
      <c r="P563" s="698"/>
      <c r="Q563" s="707"/>
      <c r="R563" s="704"/>
    </row>
    <row r="564" spans="1:18" x14ac:dyDescent="0.25">
      <c r="A564" s="552"/>
      <c r="B564" s="552" t="s">
        <v>416</v>
      </c>
      <c r="C564" s="778" t="s">
        <v>263</v>
      </c>
      <c r="D564" s="550">
        <v>0.6</v>
      </c>
      <c r="E564" s="546">
        <v>59080</v>
      </c>
      <c r="F564" s="635"/>
      <c r="G564" s="649"/>
      <c r="H564" s="650"/>
      <c r="I564" s="665"/>
      <c r="J564" s="666"/>
      <c r="K564" s="680"/>
      <c r="L564" s="681"/>
      <c r="M564" s="691"/>
      <c r="N564" s="735"/>
      <c r="O564" s="736"/>
      <c r="P564" s="698"/>
      <c r="Q564" s="707"/>
      <c r="R564" s="704"/>
    </row>
    <row r="565" spans="1:18" x14ac:dyDescent="0.25">
      <c r="A565" s="552"/>
      <c r="B565" s="552" t="s">
        <v>417</v>
      </c>
      <c r="C565" s="778" t="s">
        <v>105</v>
      </c>
      <c r="D565" s="550">
        <v>169.87</v>
      </c>
      <c r="E565" s="546">
        <v>59631</v>
      </c>
      <c r="F565" s="635"/>
      <c r="G565" s="649"/>
      <c r="H565" s="650"/>
      <c r="I565" s="665"/>
      <c r="J565" s="666"/>
      <c r="K565" s="680"/>
      <c r="L565" s="681"/>
      <c r="M565" s="691"/>
      <c r="N565" s="735"/>
      <c r="O565" s="736"/>
      <c r="P565" s="698"/>
      <c r="Q565" s="707"/>
      <c r="R565" s="704"/>
    </row>
    <row r="566" spans="1:18" x14ac:dyDescent="0.25">
      <c r="A566" s="552"/>
      <c r="B566" s="552" t="s">
        <v>420</v>
      </c>
      <c r="C566" s="552" t="s">
        <v>108</v>
      </c>
      <c r="D566" s="550">
        <v>29.05</v>
      </c>
      <c r="E566" s="546">
        <v>59323</v>
      </c>
      <c r="F566" s="635"/>
      <c r="G566" s="649"/>
      <c r="H566" s="650"/>
      <c r="I566" s="665"/>
      <c r="J566" s="666"/>
      <c r="K566" s="680"/>
      <c r="L566" s="681"/>
      <c r="M566" s="691"/>
      <c r="N566" s="735"/>
      <c r="O566" s="736"/>
      <c r="P566" s="698"/>
      <c r="Q566" s="707"/>
      <c r="R566" s="704"/>
    </row>
    <row r="567" spans="1:18" x14ac:dyDescent="0.25">
      <c r="A567" s="552"/>
      <c r="B567" s="552" t="s">
        <v>422</v>
      </c>
      <c r="C567" s="778" t="s">
        <v>110</v>
      </c>
      <c r="D567" s="550">
        <v>62.54</v>
      </c>
      <c r="E567" s="546">
        <v>69208</v>
      </c>
      <c r="F567" s="635"/>
      <c r="G567" s="649"/>
      <c r="H567" s="650"/>
      <c r="I567" s="665"/>
      <c r="J567" s="666"/>
      <c r="K567" s="680"/>
      <c r="L567" s="681"/>
      <c r="M567" s="691"/>
      <c r="N567" s="735"/>
      <c r="O567" s="736"/>
      <c r="P567" s="698"/>
      <c r="Q567" s="707"/>
      <c r="R567" s="704"/>
    </row>
    <row r="568" spans="1:18" x14ac:dyDescent="0.25">
      <c r="A568" s="552"/>
      <c r="B568" s="552" t="s">
        <v>423</v>
      </c>
      <c r="C568" s="778" t="s">
        <v>111</v>
      </c>
      <c r="D568" s="550">
        <v>2</v>
      </c>
      <c r="E568" s="546">
        <v>51041</v>
      </c>
      <c r="F568" s="635"/>
      <c r="G568" s="649"/>
      <c r="H568" s="650"/>
      <c r="I568" s="665"/>
      <c r="J568" s="666"/>
      <c r="K568" s="680"/>
      <c r="L568" s="681"/>
      <c r="M568" s="691"/>
      <c r="N568" s="735"/>
      <c r="O568" s="736"/>
      <c r="P568" s="698"/>
      <c r="Q568" s="707"/>
      <c r="R568" s="704"/>
    </row>
    <row r="569" spans="1:18" x14ac:dyDescent="0.25">
      <c r="A569" s="552"/>
      <c r="B569" s="552" t="s">
        <v>424</v>
      </c>
      <c r="C569" s="552" t="s">
        <v>112</v>
      </c>
      <c r="D569" s="550">
        <v>15.13</v>
      </c>
      <c r="E569" s="546">
        <v>74595</v>
      </c>
      <c r="F569" s="635"/>
      <c r="G569" s="649"/>
      <c r="H569" s="650"/>
      <c r="I569" s="665"/>
      <c r="J569" s="666"/>
      <c r="K569" s="680"/>
      <c r="L569" s="681"/>
      <c r="M569" s="691"/>
      <c r="N569" s="735"/>
      <c r="O569" s="736"/>
      <c r="P569" s="698"/>
      <c r="Q569" s="707"/>
      <c r="R569" s="704"/>
    </row>
    <row r="570" spans="1:18" x14ac:dyDescent="0.25">
      <c r="A570" s="552"/>
      <c r="B570" s="552" t="s">
        <v>425</v>
      </c>
      <c r="C570" s="778" t="s">
        <v>104</v>
      </c>
      <c r="D570" s="550">
        <v>18.05</v>
      </c>
      <c r="E570" s="546">
        <v>89584</v>
      </c>
      <c r="F570" s="635"/>
      <c r="G570" s="649"/>
      <c r="H570" s="650"/>
      <c r="I570" s="665"/>
      <c r="J570" s="666"/>
      <c r="K570" s="680"/>
      <c r="L570" s="681"/>
      <c r="M570" s="691"/>
      <c r="N570" s="735"/>
      <c r="O570" s="736"/>
      <c r="P570" s="698"/>
      <c r="Q570" s="707"/>
      <c r="R570" s="704"/>
    </row>
    <row r="571" spans="1:18" x14ac:dyDescent="0.25">
      <c r="A571" s="241"/>
      <c r="B571" s="243"/>
      <c r="C571" s="241"/>
      <c r="D571" s="762"/>
      <c r="E571" s="629"/>
      <c r="F571" s="636">
        <f>SUM(D545:D563)</f>
        <v>204.60999999999996</v>
      </c>
      <c r="G571" s="651">
        <f>(SUMPRODUCT(D545:D563,E545:E563))</f>
        <v>16853291.669999998</v>
      </c>
      <c r="H571" s="652">
        <f>SUM(D545:D550)</f>
        <v>14.25</v>
      </c>
      <c r="I571" s="668">
        <f>(SUMPRODUCT(D545:D550,E545:E550))</f>
        <v>1721695.44</v>
      </c>
      <c r="J571" s="667">
        <f>SUM(D551:D560)</f>
        <v>175.65999999999997</v>
      </c>
      <c r="K571" s="682">
        <f>(SUMPRODUCT(D551:D560,E551:E560))</f>
        <v>13733243.43</v>
      </c>
      <c r="L571" s="683">
        <f>SUM(D561:D563)</f>
        <v>14.7</v>
      </c>
      <c r="M571" s="692">
        <f>(SUMPRODUCT(D561:D563,E561:E563))</f>
        <v>1398352.8</v>
      </c>
      <c r="N571" s="737">
        <f>+H571+J571+L571</f>
        <v>204.60999999999996</v>
      </c>
      <c r="O571" s="738">
        <f>+I571+K571+M571</f>
        <v>16853291.669999998</v>
      </c>
      <c r="P571" s="699">
        <f>SUM(D564:D570)</f>
        <v>297.24</v>
      </c>
      <c r="Q571" s="708">
        <f>(SUMPRODUCT(D564:D570,E564:E570))</f>
        <v>19064262.990000002</v>
      </c>
      <c r="R571" s="704"/>
    </row>
    <row r="572" spans="1:18" x14ac:dyDescent="0.25">
      <c r="A572" s="552" t="s">
        <v>580</v>
      </c>
      <c r="B572" s="552" t="s">
        <v>150</v>
      </c>
      <c r="C572" s="778"/>
      <c r="D572" s="550"/>
      <c r="E572" s="546"/>
      <c r="F572" s="635"/>
      <c r="G572" s="649"/>
      <c r="H572" s="650"/>
      <c r="I572" s="665"/>
      <c r="J572" s="666"/>
      <c r="K572" s="680"/>
      <c r="L572" s="681"/>
      <c r="M572" s="691"/>
      <c r="N572" s="735"/>
      <c r="O572" s="736"/>
      <c r="P572" s="698"/>
      <c r="Q572" s="707"/>
      <c r="R572" s="704"/>
    </row>
    <row r="573" spans="1:18" x14ac:dyDescent="0.25">
      <c r="A573" s="552"/>
      <c r="B573" s="552" t="s">
        <v>417</v>
      </c>
      <c r="C573" s="778" t="s">
        <v>105</v>
      </c>
      <c r="D573" s="550">
        <v>0.1</v>
      </c>
      <c r="E573" s="546">
        <v>62910</v>
      </c>
      <c r="F573" s="635"/>
      <c r="G573" s="649"/>
      <c r="H573" s="650"/>
      <c r="I573" s="665"/>
      <c r="J573" s="666"/>
      <c r="K573" s="680"/>
      <c r="L573" s="681"/>
      <c r="M573" s="691"/>
      <c r="N573" s="735"/>
      <c r="O573" s="736"/>
      <c r="P573" s="698"/>
      <c r="Q573" s="707"/>
      <c r="R573" s="704"/>
    </row>
    <row r="574" spans="1:18" x14ac:dyDescent="0.25">
      <c r="A574" s="552"/>
      <c r="B574" s="552" t="s">
        <v>420</v>
      </c>
      <c r="C574" s="778" t="s">
        <v>108</v>
      </c>
      <c r="D574" s="550">
        <v>2.5</v>
      </c>
      <c r="E574" s="546">
        <v>63448</v>
      </c>
      <c r="F574" s="635"/>
      <c r="G574" s="649"/>
      <c r="H574" s="650"/>
      <c r="I574" s="665"/>
      <c r="J574" s="666"/>
      <c r="K574" s="680"/>
      <c r="L574" s="681"/>
      <c r="M574" s="691"/>
      <c r="N574" s="735"/>
      <c r="O574" s="736"/>
      <c r="P574" s="698"/>
      <c r="Q574" s="707"/>
      <c r="R574" s="704"/>
    </row>
    <row r="575" spans="1:18" x14ac:dyDescent="0.25">
      <c r="A575" s="552"/>
      <c r="B575" s="552" t="s">
        <v>422</v>
      </c>
      <c r="C575" s="778" t="s">
        <v>110</v>
      </c>
      <c r="D575" s="550">
        <v>2.5</v>
      </c>
      <c r="E575" s="546">
        <v>67637</v>
      </c>
      <c r="F575" s="635"/>
      <c r="G575" s="649"/>
      <c r="H575" s="650"/>
      <c r="I575" s="665"/>
      <c r="J575" s="666"/>
      <c r="K575" s="680"/>
      <c r="L575" s="681"/>
      <c r="M575" s="691"/>
      <c r="N575" s="735"/>
      <c r="O575" s="736"/>
      <c r="P575" s="698"/>
      <c r="Q575" s="707"/>
      <c r="R575" s="704"/>
    </row>
    <row r="576" spans="1:18" x14ac:dyDescent="0.25">
      <c r="A576" s="552"/>
      <c r="B576" s="552" t="s">
        <v>424</v>
      </c>
      <c r="C576" s="778" t="s">
        <v>112</v>
      </c>
      <c r="D576" s="550">
        <v>4.5199999999999996</v>
      </c>
      <c r="E576" s="546">
        <v>68211</v>
      </c>
      <c r="F576" s="635"/>
      <c r="G576" s="649"/>
      <c r="H576" s="650"/>
      <c r="I576" s="665"/>
      <c r="J576" s="666"/>
      <c r="K576" s="680"/>
      <c r="L576" s="681"/>
      <c r="M576" s="691"/>
      <c r="N576" s="735"/>
      <c r="O576" s="736"/>
      <c r="P576" s="698"/>
      <c r="Q576" s="707"/>
      <c r="R576" s="704"/>
    </row>
    <row r="577" spans="1:18" x14ac:dyDescent="0.25">
      <c r="A577" s="552"/>
      <c r="B577" s="552" t="s">
        <v>425</v>
      </c>
      <c r="C577" s="778" t="s">
        <v>104</v>
      </c>
      <c r="D577" s="550">
        <v>2</v>
      </c>
      <c r="E577" s="546">
        <v>113971</v>
      </c>
      <c r="F577" s="635"/>
      <c r="G577" s="649"/>
      <c r="H577" s="650"/>
      <c r="I577" s="665"/>
      <c r="J577" s="666"/>
      <c r="K577" s="680"/>
      <c r="L577" s="681"/>
      <c r="M577" s="691"/>
      <c r="N577" s="735"/>
      <c r="O577" s="736"/>
      <c r="P577" s="698"/>
      <c r="Q577" s="707"/>
      <c r="R577" s="704"/>
    </row>
    <row r="578" spans="1:18" x14ac:dyDescent="0.25">
      <c r="A578" s="241"/>
      <c r="B578" s="243"/>
      <c r="C578" s="241"/>
      <c r="D578" s="762"/>
      <c r="E578" s="629"/>
      <c r="F578" s="636"/>
      <c r="G578" s="651"/>
      <c r="H578" s="652"/>
      <c r="I578" s="668"/>
      <c r="J578" s="667"/>
      <c r="K578" s="682"/>
      <c r="L578" s="683"/>
      <c r="M578" s="692"/>
      <c r="N578" s="737">
        <f>+H578+J578+L578</f>
        <v>0</v>
      </c>
      <c r="O578" s="738">
        <f>+I578+K578+M578</f>
        <v>0</v>
      </c>
      <c r="P578" s="699">
        <f>SUM(D573:D577)</f>
        <v>11.62</v>
      </c>
      <c r="Q578" s="708">
        <f>(SUMPRODUCT(D573:D577,E573:E577))</f>
        <v>870259.22</v>
      </c>
      <c r="R578" s="704"/>
    </row>
    <row r="579" spans="1:18" x14ac:dyDescent="0.25">
      <c r="A579" s="552" t="s">
        <v>581</v>
      </c>
      <c r="B579" s="552" t="s">
        <v>151</v>
      </c>
      <c r="C579" s="778"/>
      <c r="D579" s="550"/>
      <c r="E579" s="546"/>
      <c r="F579" s="635"/>
      <c r="G579" s="649"/>
      <c r="H579" s="650"/>
      <c r="I579" s="665"/>
      <c r="J579" s="666"/>
      <c r="K579" s="680"/>
      <c r="L579" s="681"/>
      <c r="M579" s="691"/>
      <c r="N579" s="735"/>
      <c r="O579" s="736"/>
      <c r="P579" s="698"/>
      <c r="Q579" s="707"/>
      <c r="R579" s="704"/>
    </row>
    <row r="580" spans="1:18" x14ac:dyDescent="0.25">
      <c r="A580" s="552"/>
      <c r="B580" s="552" t="s">
        <v>392</v>
      </c>
      <c r="C580" s="778" t="s">
        <v>129</v>
      </c>
      <c r="D580" s="550">
        <v>0.25</v>
      </c>
      <c r="E580" s="546">
        <v>137276</v>
      </c>
      <c r="F580" s="635"/>
      <c r="G580" s="649"/>
      <c r="H580" s="650"/>
      <c r="I580" s="665"/>
      <c r="J580" s="666"/>
      <c r="K580" s="680"/>
      <c r="L580" s="681"/>
      <c r="M580" s="691"/>
      <c r="N580" s="735"/>
      <c r="O580" s="736"/>
      <c r="P580" s="698"/>
      <c r="Q580" s="707"/>
      <c r="R580" s="704"/>
    </row>
    <row r="581" spans="1:18" x14ac:dyDescent="0.25">
      <c r="A581" s="552"/>
      <c r="B581" s="552" t="s">
        <v>401</v>
      </c>
      <c r="C581" s="778" t="s">
        <v>133</v>
      </c>
      <c r="D581" s="550">
        <v>1.2</v>
      </c>
      <c r="E581" s="546">
        <v>97877</v>
      </c>
      <c r="F581" s="635"/>
      <c r="G581" s="649"/>
      <c r="H581" s="650"/>
      <c r="I581" s="665"/>
      <c r="J581" s="666"/>
      <c r="K581" s="680"/>
      <c r="L581" s="681"/>
      <c r="M581" s="691"/>
      <c r="N581" s="735"/>
      <c r="O581" s="736"/>
      <c r="P581" s="698"/>
      <c r="Q581" s="707"/>
      <c r="R581" s="704"/>
    </row>
    <row r="582" spans="1:18" x14ac:dyDescent="0.25">
      <c r="A582" s="552"/>
      <c r="B582" s="552" t="s">
        <v>417</v>
      </c>
      <c r="C582" s="778" t="s">
        <v>105</v>
      </c>
      <c r="D582" s="550">
        <v>3.32</v>
      </c>
      <c r="E582" s="546">
        <v>38965</v>
      </c>
      <c r="F582" s="635"/>
      <c r="G582" s="649"/>
      <c r="H582" s="650"/>
      <c r="I582" s="665"/>
      <c r="J582" s="666"/>
      <c r="K582" s="680"/>
      <c r="L582" s="681"/>
      <c r="M582" s="691"/>
      <c r="N582" s="735"/>
      <c r="O582" s="736"/>
      <c r="P582" s="698"/>
      <c r="Q582" s="707"/>
      <c r="R582" s="704"/>
    </row>
    <row r="583" spans="1:18" x14ac:dyDescent="0.25">
      <c r="A583" s="552"/>
      <c r="B583" s="552" t="s">
        <v>420</v>
      </c>
      <c r="C583" s="778" t="s">
        <v>108</v>
      </c>
      <c r="D583" s="550">
        <v>3.08</v>
      </c>
      <c r="E583" s="546">
        <v>58406</v>
      </c>
      <c r="F583" s="635"/>
      <c r="G583" s="649"/>
      <c r="H583" s="650"/>
      <c r="I583" s="665"/>
      <c r="J583" s="666"/>
      <c r="K583" s="680"/>
      <c r="L583" s="681"/>
      <c r="M583" s="691"/>
      <c r="N583" s="735"/>
      <c r="O583" s="736"/>
      <c r="P583" s="698"/>
      <c r="Q583" s="707"/>
      <c r="R583" s="704"/>
    </row>
    <row r="584" spans="1:18" x14ac:dyDescent="0.25">
      <c r="A584" s="552"/>
      <c r="B584" s="552" t="s">
        <v>422</v>
      </c>
      <c r="C584" s="778" t="s">
        <v>110</v>
      </c>
      <c r="D584" s="550">
        <v>5.0199999999999996</v>
      </c>
      <c r="E584" s="546">
        <v>67598</v>
      </c>
      <c r="F584" s="635"/>
      <c r="G584" s="649"/>
      <c r="H584" s="650"/>
      <c r="I584" s="665"/>
      <c r="J584" s="666"/>
      <c r="K584" s="680"/>
      <c r="L584" s="681"/>
      <c r="M584" s="691"/>
      <c r="N584" s="735"/>
      <c r="O584" s="736"/>
      <c r="P584" s="698"/>
      <c r="Q584" s="707"/>
      <c r="R584" s="704"/>
    </row>
    <row r="585" spans="1:18" x14ac:dyDescent="0.25">
      <c r="A585" s="552"/>
      <c r="B585" s="552" t="s">
        <v>424</v>
      </c>
      <c r="C585" s="778" t="s">
        <v>112</v>
      </c>
      <c r="D585" s="550">
        <v>1.44</v>
      </c>
      <c r="E585" s="546">
        <v>59624</v>
      </c>
      <c r="F585" s="635"/>
      <c r="G585" s="649"/>
      <c r="H585" s="650"/>
      <c r="I585" s="665"/>
      <c r="J585" s="666"/>
      <c r="K585" s="680"/>
      <c r="L585" s="681"/>
      <c r="M585" s="691"/>
      <c r="N585" s="735"/>
      <c r="O585" s="736"/>
      <c r="P585" s="698"/>
      <c r="Q585" s="707"/>
      <c r="R585" s="704"/>
    </row>
    <row r="586" spans="1:18" x14ac:dyDescent="0.25">
      <c r="A586" s="552"/>
      <c r="B586" s="552" t="s">
        <v>425</v>
      </c>
      <c r="C586" s="778" t="s">
        <v>104</v>
      </c>
      <c r="D586" s="550">
        <v>3.4</v>
      </c>
      <c r="E586" s="546">
        <v>108336</v>
      </c>
      <c r="F586" s="635"/>
      <c r="G586" s="649"/>
      <c r="H586" s="650"/>
      <c r="I586" s="665"/>
      <c r="J586" s="666"/>
      <c r="K586" s="680"/>
      <c r="L586" s="681"/>
      <c r="M586" s="691"/>
      <c r="N586" s="735"/>
      <c r="O586" s="736"/>
      <c r="P586" s="698"/>
      <c r="Q586" s="707"/>
      <c r="R586" s="704"/>
    </row>
    <row r="587" spans="1:18" x14ac:dyDescent="0.25">
      <c r="A587" s="241"/>
      <c r="B587" s="243"/>
      <c r="C587" s="241"/>
      <c r="D587" s="762"/>
      <c r="E587" s="629"/>
      <c r="F587" s="636">
        <f>SUM(D580:D581)</f>
        <v>1.45</v>
      </c>
      <c r="G587" s="651">
        <f>(SUMPRODUCT(D580:D581,E580:E581))</f>
        <v>151771.4</v>
      </c>
      <c r="H587" s="652">
        <f>SUM(D580:D580)</f>
        <v>0.25</v>
      </c>
      <c r="I587" s="668">
        <f>(SUMPRODUCT(D580:D580,E580:E580))</f>
        <v>34319</v>
      </c>
      <c r="J587" s="667">
        <f>SUM(D581:D581)</f>
        <v>1.2</v>
      </c>
      <c r="K587" s="682">
        <f>(SUMPRODUCT(D581:D581,E581:E581))</f>
        <v>117452.4</v>
      </c>
      <c r="L587" s="683"/>
      <c r="M587" s="692"/>
      <c r="N587" s="737">
        <f>+H587+J587+L587</f>
        <v>1.45</v>
      </c>
      <c r="O587" s="738">
        <f>+I587+K587+M587</f>
        <v>151771.4</v>
      </c>
      <c r="P587" s="699">
        <f>SUM(D582:D586)</f>
        <v>16.259999999999998</v>
      </c>
      <c r="Q587" s="708">
        <f>(SUMPRODUCT(D582:D586,E582:E586))</f>
        <v>1102797.2</v>
      </c>
      <c r="R587" s="704"/>
    </row>
    <row r="588" spans="1:18" x14ac:dyDescent="0.25">
      <c r="A588" s="552" t="s">
        <v>582</v>
      </c>
      <c r="B588" s="552" t="s">
        <v>583</v>
      </c>
      <c r="C588" s="778"/>
      <c r="D588" s="550"/>
      <c r="E588" s="546"/>
      <c r="F588" s="635"/>
      <c r="G588" s="649"/>
      <c r="H588" s="650"/>
      <c r="I588" s="665"/>
      <c r="J588" s="666"/>
      <c r="K588" s="680"/>
      <c r="L588" s="681"/>
      <c r="M588" s="691"/>
      <c r="N588" s="735"/>
      <c r="O588" s="736"/>
      <c r="P588" s="698"/>
      <c r="Q588" s="707"/>
      <c r="R588" s="704"/>
    </row>
    <row r="589" spans="1:18" x14ac:dyDescent="0.25">
      <c r="A589" s="552"/>
      <c r="B589" s="552" t="s">
        <v>391</v>
      </c>
      <c r="C589" s="778" t="s">
        <v>128</v>
      </c>
      <c r="D589" s="550">
        <v>0.2</v>
      </c>
      <c r="E589" s="546">
        <v>146275</v>
      </c>
      <c r="F589" s="635"/>
      <c r="G589" s="649"/>
      <c r="H589" s="650"/>
      <c r="I589" s="665"/>
      <c r="J589" s="666"/>
      <c r="K589" s="680"/>
      <c r="L589" s="681"/>
      <c r="M589" s="691"/>
      <c r="N589" s="735"/>
      <c r="O589" s="736"/>
      <c r="P589" s="698"/>
      <c r="Q589" s="707"/>
      <c r="R589" s="704"/>
    </row>
    <row r="590" spans="1:18" x14ac:dyDescent="0.25">
      <c r="A590" s="552"/>
      <c r="B590" s="552" t="s">
        <v>392</v>
      </c>
      <c r="C590" s="778" t="s">
        <v>129</v>
      </c>
      <c r="D590" s="550">
        <v>4.97</v>
      </c>
      <c r="E590" s="546">
        <v>128232</v>
      </c>
      <c r="F590" s="635"/>
      <c r="G590" s="649"/>
      <c r="H590" s="650"/>
      <c r="I590" s="665"/>
      <c r="J590" s="666"/>
      <c r="K590" s="680"/>
      <c r="L590" s="681"/>
      <c r="M590" s="691"/>
      <c r="N590" s="735"/>
      <c r="O590" s="736"/>
      <c r="P590" s="698"/>
      <c r="Q590" s="707"/>
      <c r="R590" s="704"/>
    </row>
    <row r="591" spans="1:18" x14ac:dyDescent="0.25">
      <c r="A591" s="552"/>
      <c r="B591" s="552" t="s">
        <v>397</v>
      </c>
      <c r="C591" s="778" t="s">
        <v>130</v>
      </c>
      <c r="D591" s="550">
        <v>2</v>
      </c>
      <c r="E591" s="546">
        <v>110788</v>
      </c>
      <c r="F591" s="635"/>
      <c r="G591" s="649"/>
      <c r="H591" s="650"/>
      <c r="I591" s="665"/>
      <c r="J591" s="666"/>
      <c r="K591" s="680"/>
      <c r="L591" s="681"/>
      <c r="M591" s="691"/>
      <c r="N591" s="735"/>
      <c r="O591" s="736"/>
      <c r="P591" s="698"/>
      <c r="Q591" s="707"/>
      <c r="R591" s="704"/>
    </row>
    <row r="592" spans="1:18" x14ac:dyDescent="0.25">
      <c r="A592" s="552"/>
      <c r="B592" s="552" t="s">
        <v>398</v>
      </c>
      <c r="C592" s="778" t="s">
        <v>502</v>
      </c>
      <c r="D592" s="550">
        <v>11.86</v>
      </c>
      <c r="E592" s="546">
        <v>76462</v>
      </c>
      <c r="F592" s="635"/>
      <c r="G592" s="649"/>
      <c r="H592" s="650"/>
      <c r="I592" s="665"/>
      <c r="J592" s="666"/>
      <c r="K592" s="680"/>
      <c r="L592" s="681"/>
      <c r="M592" s="691"/>
      <c r="N592" s="735"/>
      <c r="O592" s="736"/>
      <c r="P592" s="698"/>
      <c r="Q592" s="707"/>
      <c r="R592" s="704"/>
    </row>
    <row r="593" spans="1:18" x14ac:dyDescent="0.25">
      <c r="A593" s="552"/>
      <c r="B593" s="552" t="s">
        <v>400</v>
      </c>
      <c r="C593" s="778" t="s">
        <v>132</v>
      </c>
      <c r="D593" s="550">
        <v>38.39</v>
      </c>
      <c r="E593" s="546">
        <v>74781</v>
      </c>
      <c r="F593" s="635"/>
      <c r="G593" s="649"/>
      <c r="H593" s="650"/>
      <c r="I593" s="665"/>
      <c r="J593" s="666"/>
      <c r="K593" s="680"/>
      <c r="L593" s="681"/>
      <c r="M593" s="691"/>
      <c r="N593" s="735"/>
      <c r="O593" s="736"/>
      <c r="P593" s="698"/>
      <c r="Q593" s="707"/>
      <c r="R593" s="704"/>
    </row>
    <row r="594" spans="1:18" x14ac:dyDescent="0.25">
      <c r="A594" s="552"/>
      <c r="B594" s="552" t="s">
        <v>503</v>
      </c>
      <c r="C594" s="778" t="s">
        <v>504</v>
      </c>
      <c r="D594" s="550">
        <v>0.57999999999999996</v>
      </c>
      <c r="E594" s="546">
        <v>66260</v>
      </c>
      <c r="F594" s="635"/>
      <c r="G594" s="649"/>
      <c r="H594" s="650"/>
      <c r="I594" s="665"/>
      <c r="J594" s="666"/>
      <c r="K594" s="680"/>
      <c r="L594" s="681"/>
      <c r="M594" s="691"/>
      <c r="N594" s="735"/>
      <c r="O594" s="736"/>
      <c r="P594" s="698"/>
      <c r="Q594" s="707"/>
      <c r="R594" s="704"/>
    </row>
    <row r="595" spans="1:18" x14ac:dyDescent="0.25">
      <c r="A595" s="552"/>
      <c r="B595" s="552" t="s">
        <v>401</v>
      </c>
      <c r="C595" s="778" t="s">
        <v>133</v>
      </c>
      <c r="D595" s="550">
        <v>1.81</v>
      </c>
      <c r="E595" s="546">
        <v>85585</v>
      </c>
      <c r="F595" s="635"/>
      <c r="G595" s="649"/>
      <c r="H595" s="650"/>
      <c r="I595" s="665"/>
      <c r="J595" s="666"/>
      <c r="K595" s="680"/>
      <c r="L595" s="681"/>
      <c r="M595" s="691"/>
      <c r="N595" s="735"/>
      <c r="O595" s="736"/>
      <c r="P595" s="698"/>
      <c r="Q595" s="707"/>
      <c r="R595" s="704"/>
    </row>
    <row r="596" spans="1:18" x14ac:dyDescent="0.25">
      <c r="A596" s="552"/>
      <c r="B596" s="552" t="s">
        <v>406</v>
      </c>
      <c r="C596" s="778" t="s">
        <v>261</v>
      </c>
      <c r="D596" s="550">
        <v>0.17</v>
      </c>
      <c r="E596" s="546">
        <v>60088</v>
      </c>
      <c r="F596" s="635"/>
      <c r="G596" s="649"/>
      <c r="H596" s="650"/>
      <c r="I596" s="665"/>
      <c r="J596" s="666"/>
      <c r="K596" s="680"/>
      <c r="L596" s="681"/>
      <c r="M596" s="691"/>
      <c r="N596" s="735"/>
      <c r="O596" s="736"/>
      <c r="P596" s="698"/>
      <c r="Q596" s="707"/>
      <c r="R596" s="704"/>
    </row>
    <row r="597" spans="1:18" x14ac:dyDescent="0.25">
      <c r="A597" s="552"/>
      <c r="B597" s="552" t="s">
        <v>407</v>
      </c>
      <c r="C597" s="778" t="s">
        <v>141</v>
      </c>
      <c r="D597" s="550">
        <v>0.4</v>
      </c>
      <c r="E597" s="546">
        <v>62500</v>
      </c>
      <c r="F597" s="635"/>
      <c r="G597" s="649"/>
      <c r="H597" s="650"/>
      <c r="I597" s="665"/>
      <c r="J597" s="666"/>
      <c r="K597" s="680"/>
      <c r="L597" s="681"/>
      <c r="M597" s="691"/>
      <c r="N597" s="735"/>
      <c r="O597" s="736"/>
      <c r="P597" s="698"/>
      <c r="Q597" s="707"/>
      <c r="R597" s="704"/>
    </row>
    <row r="598" spans="1:18" x14ac:dyDescent="0.25">
      <c r="A598" s="552"/>
      <c r="B598" s="552" t="s">
        <v>408</v>
      </c>
      <c r="C598" s="778" t="s">
        <v>142</v>
      </c>
      <c r="D598" s="550">
        <v>1.46</v>
      </c>
      <c r="E598" s="546">
        <v>72824</v>
      </c>
      <c r="F598" s="635"/>
      <c r="G598" s="649"/>
      <c r="H598" s="650"/>
      <c r="I598" s="665"/>
      <c r="J598" s="666"/>
      <c r="K598" s="680"/>
      <c r="L598" s="681"/>
      <c r="M598" s="691"/>
      <c r="N598" s="735"/>
      <c r="O598" s="736"/>
      <c r="P598" s="698"/>
      <c r="Q598" s="707"/>
      <c r="R598" s="704"/>
    </row>
    <row r="599" spans="1:18" x14ac:dyDescent="0.25">
      <c r="A599" s="552"/>
      <c r="B599" s="552" t="s">
        <v>417</v>
      </c>
      <c r="C599" s="778" t="s">
        <v>105</v>
      </c>
      <c r="D599" s="550">
        <v>483.24</v>
      </c>
      <c r="E599" s="546">
        <v>47584</v>
      </c>
      <c r="F599" s="635"/>
      <c r="G599" s="649"/>
      <c r="H599" s="650"/>
      <c r="I599" s="665"/>
      <c r="J599" s="666"/>
      <c r="K599" s="680"/>
      <c r="L599" s="681"/>
      <c r="M599" s="691"/>
      <c r="N599" s="735"/>
      <c r="O599" s="736"/>
      <c r="P599" s="698"/>
      <c r="Q599" s="707"/>
      <c r="R599" s="704"/>
    </row>
    <row r="600" spans="1:18" x14ac:dyDescent="0.25">
      <c r="A600" s="552"/>
      <c r="B600" s="552" t="s">
        <v>420</v>
      </c>
      <c r="C600" s="778" t="s">
        <v>108</v>
      </c>
      <c r="D600" s="550">
        <v>23.25</v>
      </c>
      <c r="E600" s="546">
        <v>57055</v>
      </c>
      <c r="F600" s="635"/>
      <c r="G600" s="649"/>
      <c r="H600" s="650"/>
      <c r="I600" s="665"/>
      <c r="J600" s="666"/>
      <c r="K600" s="680"/>
      <c r="L600" s="681"/>
      <c r="M600" s="691"/>
      <c r="N600" s="735"/>
      <c r="O600" s="736"/>
      <c r="P600" s="698"/>
      <c r="Q600" s="707"/>
      <c r="R600" s="704"/>
    </row>
    <row r="601" spans="1:18" x14ac:dyDescent="0.25">
      <c r="A601" s="552"/>
      <c r="B601" s="552" t="s">
        <v>422</v>
      </c>
      <c r="C601" s="778" t="s">
        <v>110</v>
      </c>
      <c r="D601" s="550">
        <v>61.8</v>
      </c>
      <c r="E601" s="546">
        <v>64109</v>
      </c>
      <c r="F601" s="635"/>
      <c r="G601" s="649"/>
      <c r="H601" s="650"/>
      <c r="I601" s="665"/>
      <c r="J601" s="666"/>
      <c r="K601" s="680"/>
      <c r="L601" s="681"/>
      <c r="M601" s="691"/>
      <c r="N601" s="735"/>
      <c r="O601" s="736"/>
      <c r="P601" s="698"/>
      <c r="Q601" s="707"/>
      <c r="R601" s="704"/>
    </row>
    <row r="602" spans="1:18" x14ac:dyDescent="0.25">
      <c r="A602" s="552"/>
      <c r="B602" s="552" t="s">
        <v>423</v>
      </c>
      <c r="C602" s="778" t="s">
        <v>111</v>
      </c>
      <c r="D602" s="550">
        <v>5.09</v>
      </c>
      <c r="E602" s="546">
        <v>45285</v>
      </c>
      <c r="F602" s="635"/>
      <c r="G602" s="649"/>
      <c r="H602" s="650"/>
      <c r="I602" s="665"/>
      <c r="J602" s="666"/>
      <c r="K602" s="680"/>
      <c r="L602" s="681"/>
      <c r="M602" s="691"/>
      <c r="N602" s="735"/>
      <c r="O602" s="736"/>
      <c r="P602" s="698"/>
      <c r="Q602" s="707"/>
      <c r="R602" s="704"/>
    </row>
    <row r="603" spans="1:18" x14ac:dyDescent="0.25">
      <c r="A603" s="552"/>
      <c r="B603" s="552" t="s">
        <v>424</v>
      </c>
      <c r="C603" s="778" t="s">
        <v>112</v>
      </c>
      <c r="D603" s="550">
        <v>9.69</v>
      </c>
      <c r="E603" s="546">
        <v>79719</v>
      </c>
      <c r="F603" s="635"/>
      <c r="G603" s="649"/>
      <c r="H603" s="650"/>
      <c r="I603" s="665"/>
      <c r="J603" s="666"/>
      <c r="K603" s="680"/>
      <c r="L603" s="681"/>
      <c r="M603" s="691"/>
      <c r="N603" s="735"/>
      <c r="O603" s="736"/>
      <c r="P603" s="698"/>
      <c r="Q603" s="707"/>
      <c r="R603" s="704"/>
    </row>
    <row r="604" spans="1:18" x14ac:dyDescent="0.25">
      <c r="A604" s="552"/>
      <c r="B604" s="552" t="s">
        <v>425</v>
      </c>
      <c r="C604" s="778" t="s">
        <v>104</v>
      </c>
      <c r="D604" s="550">
        <v>35</v>
      </c>
      <c r="E604" s="546">
        <v>78959</v>
      </c>
      <c r="F604" s="639"/>
      <c r="G604" s="651"/>
      <c r="H604" s="650"/>
      <c r="I604" s="668"/>
      <c r="J604" s="666"/>
      <c r="K604" s="682"/>
      <c r="L604" s="681"/>
      <c r="M604" s="692"/>
      <c r="N604" s="735"/>
      <c r="O604" s="738"/>
      <c r="P604" s="698"/>
      <c r="Q604" s="708"/>
      <c r="R604" s="704"/>
    </row>
    <row r="605" spans="1:18" x14ac:dyDescent="0.25">
      <c r="A605" s="241"/>
      <c r="B605" s="243"/>
      <c r="C605" s="241"/>
      <c r="D605" s="762"/>
      <c r="E605" s="629"/>
      <c r="F605" s="636">
        <f>SUM(D589:D598)</f>
        <v>61.84</v>
      </c>
      <c r="G605" s="651">
        <f>(SUMPRODUCT(D589:D598,E589:E598))</f>
        <v>5000703.5999999987</v>
      </c>
      <c r="H605" s="652">
        <f>SUM(D589:D591)</f>
        <v>7.17</v>
      </c>
      <c r="I605" s="668">
        <f>(SUMPRODUCT(D589:D591,E589:E591))</f>
        <v>888144.03999999992</v>
      </c>
      <c r="J605" s="667">
        <f>SUM(D592:D598)</f>
        <v>54.67</v>
      </c>
      <c r="K605" s="682">
        <f>(SUMPRODUCT(D592:D598,E592:E598))</f>
        <v>4112559.5599999996</v>
      </c>
      <c r="L605" s="683"/>
      <c r="M605" s="692"/>
      <c r="N605" s="737">
        <f>+H605+J605+L605</f>
        <v>61.84</v>
      </c>
      <c r="O605" s="738">
        <f>+I605+K605+M605</f>
        <v>5000703.5999999996</v>
      </c>
      <c r="P605" s="699">
        <f>SUM(D599:D604)</f>
        <v>618.07000000000005</v>
      </c>
      <c r="Q605" s="708">
        <f>(SUMPRODUCT(D599:D604,E599:E604))</f>
        <v>32049499.869999997</v>
      </c>
      <c r="R605" s="704"/>
    </row>
    <row r="606" spans="1:18" x14ac:dyDescent="0.25">
      <c r="A606" s="552" t="s">
        <v>584</v>
      </c>
      <c r="B606" s="552" t="s">
        <v>307</v>
      </c>
      <c r="C606" s="778"/>
      <c r="D606" s="550"/>
      <c r="E606" s="546"/>
      <c r="F606" s="635"/>
      <c r="G606" s="649"/>
      <c r="H606" s="650"/>
      <c r="I606" s="665"/>
      <c r="J606" s="666"/>
      <c r="K606" s="680"/>
      <c r="L606" s="681"/>
      <c r="M606" s="691"/>
      <c r="N606" s="735"/>
      <c r="O606" s="736"/>
      <c r="P606" s="698"/>
      <c r="Q606" s="707"/>
      <c r="R606" s="704"/>
    </row>
    <row r="607" spans="1:18" x14ac:dyDescent="0.25">
      <c r="A607" s="552"/>
      <c r="B607" s="552" t="s">
        <v>392</v>
      </c>
      <c r="C607" s="778" t="s">
        <v>129</v>
      </c>
      <c r="D607" s="550">
        <v>2.65</v>
      </c>
      <c r="E607" s="546">
        <v>132271</v>
      </c>
      <c r="F607" s="635"/>
      <c r="G607" s="649"/>
      <c r="H607" s="650"/>
      <c r="I607" s="665"/>
      <c r="J607" s="666"/>
      <c r="K607" s="680"/>
      <c r="L607" s="681"/>
      <c r="M607" s="691"/>
      <c r="N607" s="735"/>
      <c r="O607" s="736"/>
      <c r="P607" s="698"/>
      <c r="Q607" s="707"/>
      <c r="R607" s="704"/>
    </row>
    <row r="608" spans="1:18" x14ac:dyDescent="0.25">
      <c r="A608" s="552"/>
      <c r="B608" s="552" t="s">
        <v>397</v>
      </c>
      <c r="C608" s="778" t="s">
        <v>130</v>
      </c>
      <c r="D608" s="550">
        <v>0.59</v>
      </c>
      <c r="E608" s="546">
        <v>126300</v>
      </c>
      <c r="F608" s="635"/>
      <c r="G608" s="649"/>
      <c r="H608" s="650"/>
      <c r="I608" s="665"/>
      <c r="J608" s="666"/>
      <c r="K608" s="680"/>
      <c r="L608" s="681"/>
      <c r="M608" s="691"/>
      <c r="N608" s="735"/>
      <c r="O608" s="736"/>
      <c r="P608" s="698"/>
      <c r="Q608" s="707"/>
      <c r="R608" s="704"/>
    </row>
    <row r="609" spans="1:18" x14ac:dyDescent="0.25">
      <c r="A609" s="552"/>
      <c r="B609" s="552" t="s">
        <v>398</v>
      </c>
      <c r="C609" s="778" t="s">
        <v>502</v>
      </c>
      <c r="D609" s="550">
        <v>1</v>
      </c>
      <c r="E609" s="546">
        <v>49289</v>
      </c>
      <c r="F609" s="635"/>
      <c r="G609" s="649"/>
      <c r="H609" s="650"/>
      <c r="I609" s="665"/>
      <c r="J609" s="666"/>
      <c r="K609" s="680"/>
      <c r="L609" s="681"/>
      <c r="M609" s="691"/>
      <c r="N609" s="735"/>
      <c r="O609" s="736"/>
      <c r="P609" s="698"/>
      <c r="Q609" s="707"/>
      <c r="R609" s="704"/>
    </row>
    <row r="610" spans="1:18" x14ac:dyDescent="0.25">
      <c r="A610" s="552"/>
      <c r="B610" s="552" t="s">
        <v>399</v>
      </c>
      <c r="C610" s="778" t="s">
        <v>131</v>
      </c>
      <c r="D610" s="550">
        <v>0.7</v>
      </c>
      <c r="E610" s="546">
        <v>89807</v>
      </c>
      <c r="F610" s="635"/>
      <c r="G610" s="649"/>
      <c r="H610" s="650"/>
      <c r="I610" s="665"/>
      <c r="J610" s="666"/>
      <c r="K610" s="680"/>
      <c r="L610" s="681"/>
      <c r="M610" s="691"/>
      <c r="N610" s="735"/>
      <c r="O610" s="736"/>
      <c r="P610" s="698"/>
      <c r="Q610" s="707"/>
      <c r="R610" s="704"/>
    </row>
    <row r="611" spans="1:18" x14ac:dyDescent="0.25">
      <c r="A611" s="552"/>
      <c r="B611" s="552" t="s">
        <v>400</v>
      </c>
      <c r="C611" s="778" t="s">
        <v>132</v>
      </c>
      <c r="D611" s="550">
        <v>3.25</v>
      </c>
      <c r="E611" s="546">
        <v>81442</v>
      </c>
      <c r="F611" s="635"/>
      <c r="G611" s="649"/>
      <c r="H611" s="650"/>
      <c r="I611" s="665"/>
      <c r="J611" s="666"/>
      <c r="K611" s="680"/>
      <c r="L611" s="681"/>
      <c r="M611" s="691"/>
      <c r="N611" s="735"/>
      <c r="O611" s="736"/>
      <c r="P611" s="698"/>
      <c r="Q611" s="707"/>
      <c r="R611" s="704"/>
    </row>
    <row r="612" spans="1:18" x14ac:dyDescent="0.25">
      <c r="A612" s="552"/>
      <c r="B612" s="552" t="s">
        <v>401</v>
      </c>
      <c r="C612" s="778" t="s">
        <v>133</v>
      </c>
      <c r="D612" s="550">
        <v>1.7</v>
      </c>
      <c r="E612" s="546">
        <v>91374</v>
      </c>
      <c r="F612" s="635"/>
      <c r="G612" s="649"/>
      <c r="H612" s="650"/>
      <c r="I612" s="665"/>
      <c r="J612" s="666"/>
      <c r="K612" s="680"/>
      <c r="L612" s="681"/>
      <c r="M612" s="691"/>
      <c r="N612" s="735"/>
      <c r="O612" s="736"/>
      <c r="P612" s="698"/>
      <c r="Q612" s="707"/>
      <c r="R612" s="704"/>
    </row>
    <row r="613" spans="1:18" x14ac:dyDescent="0.25">
      <c r="A613" s="552"/>
      <c r="B613" s="552" t="s">
        <v>413</v>
      </c>
      <c r="C613" s="778" t="s">
        <v>262</v>
      </c>
      <c r="D613" s="550">
        <v>4.3</v>
      </c>
      <c r="E613" s="546">
        <v>110960</v>
      </c>
      <c r="F613" s="635"/>
      <c r="G613" s="649"/>
      <c r="H613" s="650"/>
      <c r="I613" s="665"/>
      <c r="J613" s="666"/>
      <c r="K613" s="680"/>
      <c r="L613" s="681"/>
      <c r="M613" s="691"/>
      <c r="N613" s="735"/>
      <c r="O613" s="736"/>
      <c r="P613" s="698"/>
      <c r="Q613" s="707"/>
      <c r="R613" s="704"/>
    </row>
    <row r="614" spans="1:18" x14ac:dyDescent="0.25">
      <c r="A614" s="552"/>
      <c r="B614" s="552" t="s">
        <v>416</v>
      </c>
      <c r="C614" s="778" t="s">
        <v>263</v>
      </c>
      <c r="D614" s="550">
        <v>0.8</v>
      </c>
      <c r="E614" s="546">
        <v>67489</v>
      </c>
      <c r="F614" s="635"/>
      <c r="G614" s="649"/>
      <c r="H614" s="650"/>
      <c r="I614" s="665"/>
      <c r="J614" s="666"/>
      <c r="K614" s="680"/>
      <c r="L614" s="681"/>
      <c r="M614" s="691"/>
      <c r="N614" s="735"/>
      <c r="O614" s="736"/>
      <c r="P614" s="698"/>
      <c r="Q614" s="707"/>
      <c r="R614" s="704"/>
    </row>
    <row r="615" spans="1:18" x14ac:dyDescent="0.25">
      <c r="A615" s="552"/>
      <c r="B615" s="552" t="s">
        <v>417</v>
      </c>
      <c r="C615" s="778" t="s">
        <v>105</v>
      </c>
      <c r="D615" s="550">
        <v>18.579999999999998</v>
      </c>
      <c r="E615" s="546">
        <v>47544</v>
      </c>
      <c r="F615" s="635"/>
      <c r="G615" s="649"/>
      <c r="H615" s="650"/>
      <c r="I615" s="665"/>
      <c r="J615" s="666"/>
      <c r="K615" s="680"/>
      <c r="L615" s="681"/>
      <c r="M615" s="691"/>
      <c r="N615" s="735"/>
      <c r="O615" s="736"/>
      <c r="P615" s="698"/>
      <c r="Q615" s="707"/>
      <c r="R615" s="704"/>
    </row>
    <row r="616" spans="1:18" x14ac:dyDescent="0.25">
      <c r="A616" s="552"/>
      <c r="B616" s="552" t="s">
        <v>418</v>
      </c>
      <c r="C616" s="778" t="s">
        <v>106</v>
      </c>
      <c r="D616" s="550">
        <v>4.16</v>
      </c>
      <c r="E616" s="546">
        <v>60888</v>
      </c>
      <c r="F616" s="635"/>
      <c r="G616" s="649"/>
      <c r="H616" s="650"/>
      <c r="I616" s="665"/>
      <c r="J616" s="666"/>
      <c r="K616" s="680"/>
      <c r="L616" s="681"/>
      <c r="M616" s="691"/>
      <c r="N616" s="735"/>
      <c r="O616" s="736"/>
      <c r="P616" s="698"/>
      <c r="Q616" s="707"/>
      <c r="R616" s="704"/>
    </row>
    <row r="617" spans="1:18" x14ac:dyDescent="0.25">
      <c r="A617" s="552"/>
      <c r="B617" s="552" t="s">
        <v>419</v>
      </c>
      <c r="C617" s="778" t="s">
        <v>107</v>
      </c>
      <c r="D617" s="550">
        <v>0.91</v>
      </c>
      <c r="E617" s="546">
        <v>48915</v>
      </c>
      <c r="F617" s="635"/>
      <c r="G617" s="649"/>
      <c r="H617" s="650"/>
      <c r="I617" s="665"/>
      <c r="J617" s="666"/>
      <c r="K617" s="680"/>
      <c r="L617" s="681"/>
      <c r="M617" s="691"/>
      <c r="N617" s="735"/>
      <c r="O617" s="736"/>
      <c r="P617" s="698"/>
      <c r="Q617" s="707"/>
      <c r="R617" s="704"/>
    </row>
    <row r="618" spans="1:18" x14ac:dyDescent="0.25">
      <c r="A618" s="552"/>
      <c r="B618" s="552" t="s">
        <v>420</v>
      </c>
      <c r="C618" s="778" t="s">
        <v>108</v>
      </c>
      <c r="D618" s="550">
        <v>30.71</v>
      </c>
      <c r="E618" s="546">
        <v>60431</v>
      </c>
      <c r="F618" s="635"/>
      <c r="G618" s="649"/>
      <c r="H618" s="650"/>
      <c r="I618" s="665"/>
      <c r="J618" s="666"/>
      <c r="K618" s="680"/>
      <c r="L618" s="681"/>
      <c r="M618" s="691"/>
      <c r="N618" s="735"/>
      <c r="O618" s="736"/>
      <c r="P618" s="698"/>
      <c r="Q618" s="707"/>
      <c r="R618" s="704"/>
    </row>
    <row r="619" spans="1:18" x14ac:dyDescent="0.25">
      <c r="A619" s="552"/>
      <c r="B619" s="552" t="s">
        <v>422</v>
      </c>
      <c r="C619" s="778" t="s">
        <v>110</v>
      </c>
      <c r="D619" s="550">
        <v>62.38</v>
      </c>
      <c r="E619" s="546">
        <v>62669</v>
      </c>
      <c r="F619" s="635"/>
      <c r="G619" s="649"/>
      <c r="H619" s="650"/>
      <c r="I619" s="665"/>
      <c r="J619" s="666"/>
      <c r="K619" s="680"/>
      <c r="L619" s="681"/>
      <c r="M619" s="691"/>
      <c r="N619" s="735"/>
      <c r="O619" s="736"/>
      <c r="P619" s="698"/>
      <c r="Q619" s="707"/>
      <c r="R619" s="704"/>
    </row>
    <row r="620" spans="1:18" x14ac:dyDescent="0.25">
      <c r="A620" s="552"/>
      <c r="B620" s="552" t="s">
        <v>423</v>
      </c>
      <c r="C620" s="778" t="s">
        <v>111</v>
      </c>
      <c r="D620" s="550">
        <v>21.32</v>
      </c>
      <c r="E620" s="546">
        <v>44867</v>
      </c>
      <c r="F620" s="635"/>
      <c r="G620" s="649"/>
      <c r="H620" s="650"/>
      <c r="I620" s="665"/>
      <c r="J620" s="666"/>
      <c r="K620" s="680"/>
      <c r="L620" s="681"/>
      <c r="M620" s="691"/>
      <c r="N620" s="735"/>
      <c r="O620" s="736"/>
      <c r="P620" s="698"/>
      <c r="Q620" s="707"/>
      <c r="R620" s="704"/>
    </row>
    <row r="621" spans="1:18" x14ac:dyDescent="0.25">
      <c r="A621" s="552"/>
      <c r="B621" s="552" t="s">
        <v>424</v>
      </c>
      <c r="C621" s="778" t="s">
        <v>112</v>
      </c>
      <c r="D621" s="550">
        <v>21.02</v>
      </c>
      <c r="E621" s="546">
        <v>66664</v>
      </c>
      <c r="F621" s="635"/>
      <c r="G621" s="649"/>
      <c r="H621" s="650"/>
      <c r="I621" s="665"/>
      <c r="J621" s="666"/>
      <c r="K621" s="680"/>
      <c r="L621" s="681"/>
      <c r="M621" s="691"/>
      <c r="N621" s="735"/>
      <c r="O621" s="736"/>
      <c r="P621" s="698"/>
      <c r="Q621" s="707"/>
      <c r="R621" s="704"/>
    </row>
    <row r="622" spans="1:18" x14ac:dyDescent="0.25">
      <c r="A622" s="552"/>
      <c r="B622" s="552" t="s">
        <v>425</v>
      </c>
      <c r="C622" s="778" t="s">
        <v>104</v>
      </c>
      <c r="D622" s="550">
        <v>30.49</v>
      </c>
      <c r="E622" s="546">
        <v>86636</v>
      </c>
      <c r="F622" s="635"/>
      <c r="G622" s="649"/>
      <c r="H622" s="650"/>
      <c r="I622" s="665"/>
      <c r="J622" s="666"/>
      <c r="K622" s="680"/>
      <c r="L622" s="681"/>
      <c r="M622" s="691"/>
      <c r="N622" s="735"/>
      <c r="O622" s="736"/>
      <c r="P622" s="698"/>
      <c r="Q622" s="707"/>
      <c r="R622" s="704"/>
    </row>
    <row r="623" spans="1:18" x14ac:dyDescent="0.25">
      <c r="A623" s="241"/>
      <c r="B623" s="243"/>
      <c r="C623" s="241"/>
      <c r="D623" s="762"/>
      <c r="E623" s="629"/>
      <c r="F623" s="636">
        <f>SUM(D607:D613)</f>
        <v>14.190000000000001</v>
      </c>
      <c r="G623" s="651">
        <f>(SUMPRODUCT(D607:D613,E607:E613))</f>
        <v>1434339.3499999999</v>
      </c>
      <c r="H623" s="652">
        <f>SUM(D607:D608)</f>
        <v>3.2399999999999998</v>
      </c>
      <c r="I623" s="668">
        <f>(SUMPRODUCT(D607:D608,E607:E608))</f>
        <v>425035.14999999997</v>
      </c>
      <c r="J623" s="667">
        <f>SUM(D609:D612)</f>
        <v>6.65</v>
      </c>
      <c r="K623" s="682">
        <f>(SUMPRODUCT(D609:D612,E609:E612))</f>
        <v>532176.19999999995</v>
      </c>
      <c r="L623" s="683">
        <f>SUM(D613:D613)</f>
        <v>4.3</v>
      </c>
      <c r="M623" s="692">
        <f>(SUMPRODUCT(D613:D613,E613:E613))</f>
        <v>477128</v>
      </c>
      <c r="N623" s="737">
        <f>+H623+J623+L623</f>
        <v>14.190000000000001</v>
      </c>
      <c r="O623" s="738">
        <f>+I623+K623+M623</f>
        <v>1434339.3499999999</v>
      </c>
      <c r="P623" s="699">
        <f>SUM(D614:D622)</f>
        <v>190.37</v>
      </c>
      <c r="Q623" s="708">
        <f>(SUMPRODUCT(D614:D622,E614:E622))</f>
        <v>11999667.039999999</v>
      </c>
      <c r="R623" s="704"/>
    </row>
    <row r="624" spans="1:18" x14ac:dyDescent="0.25">
      <c r="A624" s="552" t="s">
        <v>423</v>
      </c>
      <c r="B624" s="552" t="s">
        <v>169</v>
      </c>
      <c r="C624" s="778"/>
      <c r="D624" s="550"/>
      <c r="E624" s="546"/>
      <c r="F624" s="635"/>
      <c r="G624" s="649"/>
      <c r="H624" s="650"/>
      <c r="I624" s="665"/>
      <c r="J624" s="666"/>
      <c r="K624" s="680"/>
      <c r="L624" s="681"/>
      <c r="M624" s="691"/>
      <c r="N624" s="735"/>
      <c r="O624" s="736"/>
      <c r="P624" s="698"/>
      <c r="Q624" s="707"/>
      <c r="R624" s="704"/>
    </row>
    <row r="625" spans="1:18" x14ac:dyDescent="0.25">
      <c r="A625" s="552"/>
      <c r="B625" s="552" t="s">
        <v>390</v>
      </c>
      <c r="C625" s="778" t="s">
        <v>152</v>
      </c>
      <c r="D625" s="550">
        <v>249.8</v>
      </c>
      <c r="E625" s="546">
        <v>167528</v>
      </c>
      <c r="F625" s="635"/>
      <c r="G625" s="649"/>
      <c r="H625" s="650"/>
      <c r="I625" s="665"/>
      <c r="J625" s="666"/>
      <c r="K625" s="680"/>
      <c r="L625" s="681"/>
      <c r="M625" s="691"/>
      <c r="N625" s="735"/>
      <c r="O625" s="736"/>
      <c r="P625" s="698"/>
      <c r="Q625" s="707"/>
      <c r="R625" s="704"/>
    </row>
    <row r="626" spans="1:18" x14ac:dyDescent="0.25">
      <c r="A626" s="552"/>
      <c r="B626" s="552" t="s">
        <v>391</v>
      </c>
      <c r="C626" s="778" t="s">
        <v>128</v>
      </c>
      <c r="D626" s="550">
        <v>55.16</v>
      </c>
      <c r="E626" s="546">
        <v>174181</v>
      </c>
      <c r="F626" s="635"/>
      <c r="G626" s="649"/>
      <c r="H626" s="650"/>
      <c r="I626" s="665"/>
      <c r="J626" s="666"/>
      <c r="K626" s="680"/>
      <c r="L626" s="681"/>
      <c r="M626" s="691"/>
      <c r="N626" s="735"/>
      <c r="O626" s="736"/>
      <c r="P626" s="698"/>
      <c r="Q626" s="707"/>
      <c r="R626" s="704"/>
    </row>
    <row r="627" spans="1:18" x14ac:dyDescent="0.25">
      <c r="A627" s="552"/>
      <c r="B627" s="552" t="s">
        <v>392</v>
      </c>
      <c r="C627" s="778" t="s">
        <v>129</v>
      </c>
      <c r="D627" s="550">
        <v>106.29</v>
      </c>
      <c r="E627" s="546">
        <v>149767</v>
      </c>
      <c r="F627" s="635"/>
      <c r="G627" s="649"/>
      <c r="H627" s="650"/>
      <c r="I627" s="665"/>
      <c r="J627" s="666"/>
      <c r="K627" s="680"/>
      <c r="L627" s="681"/>
      <c r="M627" s="691"/>
      <c r="N627" s="735"/>
      <c r="O627" s="736"/>
      <c r="P627" s="698"/>
      <c r="Q627" s="707"/>
      <c r="R627" s="704"/>
    </row>
    <row r="628" spans="1:18" x14ac:dyDescent="0.25">
      <c r="A628" s="552"/>
      <c r="B628" s="552" t="s">
        <v>393</v>
      </c>
      <c r="C628" s="778" t="s">
        <v>136</v>
      </c>
      <c r="D628" s="550">
        <v>0.05</v>
      </c>
      <c r="E628" s="546">
        <v>125140</v>
      </c>
      <c r="F628" s="635"/>
      <c r="G628" s="649"/>
      <c r="H628" s="650"/>
      <c r="I628" s="665"/>
      <c r="J628" s="666"/>
      <c r="K628" s="680"/>
      <c r="L628" s="681"/>
      <c r="M628" s="691"/>
      <c r="N628" s="735"/>
      <c r="O628" s="736"/>
      <c r="P628" s="698"/>
      <c r="Q628" s="707"/>
      <c r="R628" s="704"/>
    </row>
    <row r="629" spans="1:18" x14ac:dyDescent="0.25">
      <c r="A629" s="552"/>
      <c r="B629" s="552" t="s">
        <v>394</v>
      </c>
      <c r="C629" s="778" t="s">
        <v>146</v>
      </c>
      <c r="D629" s="550">
        <v>0.5</v>
      </c>
      <c r="E629" s="546">
        <v>131896</v>
      </c>
      <c r="F629" s="635"/>
      <c r="G629" s="649"/>
      <c r="H629" s="650"/>
      <c r="I629" s="665"/>
      <c r="J629" s="666"/>
      <c r="K629" s="680"/>
      <c r="L629" s="681"/>
      <c r="M629" s="691"/>
      <c r="N629" s="735"/>
      <c r="O629" s="736"/>
      <c r="P629" s="698"/>
      <c r="Q629" s="707"/>
      <c r="R629" s="704"/>
    </row>
    <row r="630" spans="1:18" x14ac:dyDescent="0.25">
      <c r="A630" s="552"/>
      <c r="B630" s="552" t="s">
        <v>395</v>
      </c>
      <c r="C630" s="778" t="s">
        <v>137</v>
      </c>
      <c r="D630" s="550">
        <v>1.1000000000000001</v>
      </c>
      <c r="E630" s="546">
        <v>154975</v>
      </c>
      <c r="F630" s="635"/>
      <c r="G630" s="649"/>
      <c r="H630" s="650"/>
      <c r="I630" s="665"/>
      <c r="J630" s="666"/>
      <c r="K630" s="680"/>
      <c r="L630" s="681"/>
      <c r="M630" s="691"/>
      <c r="N630" s="735"/>
      <c r="O630" s="736"/>
      <c r="P630" s="698"/>
      <c r="Q630" s="707"/>
      <c r="R630" s="704"/>
    </row>
    <row r="631" spans="1:18" x14ac:dyDescent="0.25">
      <c r="A631" s="552"/>
      <c r="B631" s="552" t="s">
        <v>396</v>
      </c>
      <c r="C631" s="778" t="s">
        <v>145</v>
      </c>
      <c r="D631" s="550">
        <v>0.5</v>
      </c>
      <c r="E631" s="546">
        <v>124326</v>
      </c>
      <c r="F631" s="635"/>
      <c r="G631" s="649"/>
      <c r="H631" s="650"/>
      <c r="I631" s="665"/>
      <c r="J631" s="666"/>
      <c r="K631" s="680"/>
      <c r="L631" s="681"/>
      <c r="M631" s="691"/>
      <c r="N631" s="735"/>
      <c r="O631" s="736"/>
      <c r="P631" s="698"/>
      <c r="Q631" s="707"/>
      <c r="R631" s="704"/>
    </row>
    <row r="632" spans="1:18" x14ac:dyDescent="0.25">
      <c r="A632" s="552"/>
      <c r="B632" s="552" t="s">
        <v>398</v>
      </c>
      <c r="C632" s="778" t="s">
        <v>502</v>
      </c>
      <c r="D632" s="550">
        <v>1</v>
      </c>
      <c r="E632" s="546">
        <v>84830</v>
      </c>
      <c r="F632" s="635"/>
      <c r="G632" s="649"/>
      <c r="H632" s="650"/>
      <c r="I632" s="665"/>
      <c r="J632" s="666"/>
      <c r="K632" s="680"/>
      <c r="L632" s="681"/>
      <c r="M632" s="691"/>
      <c r="N632" s="735"/>
      <c r="O632" s="736"/>
      <c r="P632" s="698"/>
      <c r="Q632" s="707"/>
      <c r="R632" s="704"/>
    </row>
    <row r="633" spans="1:18" x14ac:dyDescent="0.25">
      <c r="A633" s="552"/>
      <c r="B633" s="552" t="s">
        <v>399</v>
      </c>
      <c r="C633" s="778" t="s">
        <v>131</v>
      </c>
      <c r="D633" s="550">
        <v>4</v>
      </c>
      <c r="E633" s="546">
        <v>89115</v>
      </c>
      <c r="F633" s="635"/>
      <c r="G633" s="649"/>
      <c r="H633" s="650"/>
      <c r="I633" s="665"/>
      <c r="J633" s="666"/>
      <c r="K633" s="680"/>
      <c r="L633" s="681"/>
      <c r="M633" s="691"/>
      <c r="N633" s="735"/>
      <c r="O633" s="736"/>
      <c r="P633" s="698"/>
      <c r="Q633" s="707"/>
      <c r="R633" s="704"/>
    </row>
    <row r="634" spans="1:18" x14ac:dyDescent="0.25">
      <c r="A634" s="552"/>
      <c r="B634" s="552" t="s">
        <v>400</v>
      </c>
      <c r="C634" s="778" t="s">
        <v>132</v>
      </c>
      <c r="D634" s="550">
        <v>1</v>
      </c>
      <c r="E634" s="546">
        <v>87436</v>
      </c>
      <c r="F634" s="635"/>
      <c r="G634" s="649"/>
      <c r="H634" s="650"/>
      <c r="I634" s="665"/>
      <c r="J634" s="666"/>
      <c r="K634" s="680"/>
      <c r="L634" s="681"/>
      <c r="M634" s="691"/>
      <c r="N634" s="735"/>
      <c r="O634" s="736"/>
      <c r="P634" s="698"/>
      <c r="Q634" s="707"/>
      <c r="R634" s="704"/>
    </row>
    <row r="635" spans="1:18" x14ac:dyDescent="0.25">
      <c r="A635" s="552"/>
      <c r="B635" s="552" t="s">
        <v>401</v>
      </c>
      <c r="C635" s="778" t="s">
        <v>133</v>
      </c>
      <c r="D635" s="550">
        <v>1.8</v>
      </c>
      <c r="E635" s="546">
        <v>105689</v>
      </c>
      <c r="F635" s="635"/>
      <c r="G635" s="649"/>
      <c r="H635" s="650"/>
      <c r="I635" s="665"/>
      <c r="J635" s="666"/>
      <c r="K635" s="680"/>
      <c r="L635" s="681"/>
      <c r="M635" s="691"/>
      <c r="N635" s="735"/>
      <c r="O635" s="736"/>
      <c r="P635" s="698"/>
      <c r="Q635" s="707"/>
      <c r="R635" s="704"/>
    </row>
    <row r="636" spans="1:18" x14ac:dyDescent="0.25">
      <c r="A636" s="552"/>
      <c r="B636" s="552" t="s">
        <v>413</v>
      </c>
      <c r="C636" s="778" t="s">
        <v>262</v>
      </c>
      <c r="D636" s="550">
        <v>6.8</v>
      </c>
      <c r="E636" s="546">
        <v>86221</v>
      </c>
      <c r="F636" s="635"/>
      <c r="G636" s="649"/>
      <c r="H636" s="650"/>
      <c r="I636" s="665"/>
      <c r="J636" s="666"/>
      <c r="K636" s="680"/>
      <c r="L636" s="681"/>
      <c r="M636" s="691"/>
      <c r="N636" s="735"/>
      <c r="O636" s="736"/>
      <c r="P636" s="698"/>
      <c r="Q636" s="707"/>
      <c r="R636" s="704"/>
    </row>
    <row r="637" spans="1:18" x14ac:dyDescent="0.25">
      <c r="A637" s="552"/>
      <c r="B637" s="552" t="s">
        <v>416</v>
      </c>
      <c r="C637" s="778" t="s">
        <v>263</v>
      </c>
      <c r="D637" s="550">
        <v>1.19</v>
      </c>
      <c r="E637" s="546">
        <v>58181</v>
      </c>
      <c r="F637" s="635"/>
      <c r="G637" s="649"/>
      <c r="H637" s="650"/>
      <c r="I637" s="665"/>
      <c r="J637" s="666"/>
      <c r="K637" s="680"/>
      <c r="L637" s="681"/>
      <c r="M637" s="691"/>
      <c r="N637" s="735"/>
      <c r="O637" s="736"/>
      <c r="P637" s="698"/>
      <c r="Q637" s="707"/>
      <c r="R637" s="704"/>
    </row>
    <row r="638" spans="1:18" x14ac:dyDescent="0.25">
      <c r="A638" s="552"/>
      <c r="B638" s="552" t="s">
        <v>417</v>
      </c>
      <c r="C638" s="778" t="s">
        <v>105</v>
      </c>
      <c r="D638" s="550">
        <v>6.3</v>
      </c>
      <c r="E638" s="546">
        <v>61099</v>
      </c>
      <c r="F638" s="635"/>
      <c r="G638" s="649"/>
      <c r="H638" s="650"/>
      <c r="I638" s="665"/>
      <c r="J638" s="666"/>
      <c r="K638" s="680"/>
      <c r="L638" s="681"/>
      <c r="M638" s="691"/>
      <c r="N638" s="735"/>
      <c r="O638" s="736"/>
      <c r="P638" s="698"/>
      <c r="Q638" s="707"/>
      <c r="R638" s="704"/>
    </row>
    <row r="639" spans="1:18" x14ac:dyDescent="0.25">
      <c r="A639" s="552"/>
      <c r="B639" s="552" t="s">
        <v>418</v>
      </c>
      <c r="C639" s="778" t="s">
        <v>106</v>
      </c>
      <c r="D639" s="550">
        <v>1257.3599999999999</v>
      </c>
      <c r="E639" s="546">
        <v>69778</v>
      </c>
      <c r="F639" s="635"/>
      <c r="G639" s="649"/>
      <c r="H639" s="650"/>
      <c r="I639" s="665"/>
      <c r="J639" s="666"/>
      <c r="K639" s="680"/>
      <c r="L639" s="681"/>
      <c r="M639" s="691"/>
      <c r="N639" s="735"/>
      <c r="O639" s="736"/>
      <c r="P639" s="698"/>
      <c r="Q639" s="707"/>
      <c r="R639" s="704"/>
    </row>
    <row r="640" spans="1:18" x14ac:dyDescent="0.25">
      <c r="A640" s="552"/>
      <c r="B640" s="552" t="s">
        <v>419</v>
      </c>
      <c r="C640" s="778" t="s">
        <v>107</v>
      </c>
      <c r="D640" s="550">
        <v>219.35</v>
      </c>
      <c r="E640" s="546">
        <v>59907</v>
      </c>
      <c r="F640" s="635"/>
      <c r="G640" s="649"/>
      <c r="H640" s="650"/>
      <c r="I640" s="665"/>
      <c r="J640" s="666"/>
      <c r="K640" s="680"/>
      <c r="L640" s="681"/>
      <c r="M640" s="691"/>
      <c r="N640" s="735"/>
      <c r="O640" s="736"/>
      <c r="P640" s="698"/>
      <c r="Q640" s="707"/>
      <c r="R640" s="704"/>
    </row>
    <row r="641" spans="1:18" x14ac:dyDescent="0.25">
      <c r="A641" s="552"/>
      <c r="B641" s="552" t="s">
        <v>420</v>
      </c>
      <c r="C641" s="778" t="s">
        <v>108</v>
      </c>
      <c r="D641" s="550">
        <v>1721.91</v>
      </c>
      <c r="E641" s="546">
        <v>65099</v>
      </c>
      <c r="F641" s="635"/>
      <c r="G641" s="649"/>
      <c r="H641" s="650"/>
      <c r="I641" s="665"/>
      <c r="J641" s="666"/>
      <c r="K641" s="680"/>
      <c r="L641" s="681"/>
      <c r="M641" s="691"/>
      <c r="N641" s="735"/>
      <c r="O641" s="736"/>
      <c r="P641" s="698"/>
      <c r="Q641" s="707"/>
      <c r="R641" s="704"/>
    </row>
    <row r="642" spans="1:18" x14ac:dyDescent="0.25">
      <c r="A642" s="552"/>
      <c r="B642" s="552" t="s">
        <v>421</v>
      </c>
      <c r="C642" s="778" t="s">
        <v>109</v>
      </c>
      <c r="D642" s="550">
        <v>42.42</v>
      </c>
      <c r="E642" s="546">
        <v>62552</v>
      </c>
      <c r="F642" s="635"/>
      <c r="G642" s="649"/>
      <c r="H642" s="650"/>
      <c r="I642" s="665"/>
      <c r="J642" s="666"/>
      <c r="K642" s="680"/>
      <c r="L642" s="681"/>
      <c r="M642" s="691"/>
      <c r="N642" s="735"/>
      <c r="O642" s="736"/>
      <c r="P642" s="698"/>
      <c r="Q642" s="707"/>
      <c r="R642" s="704"/>
    </row>
    <row r="643" spans="1:18" x14ac:dyDescent="0.25">
      <c r="A643" s="552"/>
      <c r="B643" s="552" t="s">
        <v>422</v>
      </c>
      <c r="C643" s="778" t="s">
        <v>110</v>
      </c>
      <c r="D643" s="550">
        <v>793.22</v>
      </c>
      <c r="E643" s="546">
        <v>86394</v>
      </c>
      <c r="F643" s="635"/>
      <c r="G643" s="649"/>
      <c r="H643" s="650"/>
      <c r="I643" s="665"/>
      <c r="J643" s="666"/>
      <c r="K643" s="680"/>
      <c r="L643" s="681"/>
      <c r="M643" s="691"/>
      <c r="N643" s="735"/>
      <c r="O643" s="736"/>
      <c r="P643" s="698"/>
      <c r="Q643" s="707"/>
      <c r="R643" s="704"/>
    </row>
    <row r="644" spans="1:18" x14ac:dyDescent="0.25">
      <c r="A644" s="552"/>
      <c r="B644" s="552" t="s">
        <v>423</v>
      </c>
      <c r="C644" s="778" t="s">
        <v>111</v>
      </c>
      <c r="D644" s="550">
        <v>5599.72</v>
      </c>
      <c r="E644" s="546">
        <v>50731</v>
      </c>
      <c r="F644" s="639"/>
      <c r="G644" s="651"/>
      <c r="H644" s="650"/>
      <c r="I644" s="668"/>
      <c r="J644" s="666"/>
      <c r="K644" s="682"/>
      <c r="L644" s="681"/>
      <c r="M644" s="692"/>
      <c r="N644" s="735"/>
      <c r="O644" s="738"/>
      <c r="P644" s="698"/>
      <c r="Q644" s="708"/>
      <c r="R644" s="704"/>
    </row>
    <row r="645" spans="1:18" x14ac:dyDescent="0.25">
      <c r="A645" s="552"/>
      <c r="B645" s="552" t="s">
        <v>424</v>
      </c>
      <c r="C645" s="552" t="s">
        <v>112</v>
      </c>
      <c r="D645" s="550">
        <v>1054.53</v>
      </c>
      <c r="E645" s="546">
        <v>76059</v>
      </c>
      <c r="F645" s="635"/>
      <c r="G645" s="649"/>
      <c r="H645" s="650"/>
      <c r="I645" s="665"/>
      <c r="J645" s="666"/>
      <c r="K645" s="680"/>
      <c r="L645" s="681"/>
      <c r="M645" s="691"/>
      <c r="N645" s="735"/>
      <c r="O645" s="736"/>
      <c r="P645" s="698"/>
      <c r="Q645" s="707"/>
      <c r="R645" s="704"/>
    </row>
    <row r="646" spans="1:18" x14ac:dyDescent="0.25">
      <c r="A646" s="552"/>
      <c r="B646" s="552" t="s">
        <v>425</v>
      </c>
      <c r="C646" s="552" t="s">
        <v>104</v>
      </c>
      <c r="D646" s="550">
        <v>995.17</v>
      </c>
      <c r="E646" s="546">
        <v>118753</v>
      </c>
      <c r="F646" s="635"/>
      <c r="G646" s="649"/>
      <c r="H646" s="650"/>
      <c r="I646" s="665"/>
      <c r="J646" s="666"/>
      <c r="K646" s="680"/>
      <c r="L646" s="681"/>
      <c r="M646" s="691"/>
      <c r="N646" s="735"/>
      <c r="O646" s="736"/>
      <c r="P646" s="698"/>
      <c r="Q646" s="707"/>
      <c r="R646" s="704"/>
    </row>
    <row r="647" spans="1:18" x14ac:dyDescent="0.25">
      <c r="A647" s="241"/>
      <c r="B647" s="243"/>
      <c r="C647" s="241"/>
      <c r="D647" s="762"/>
      <c r="E647" s="629"/>
      <c r="F647" s="636">
        <f>SUM(D625:D636)</f>
        <v>428.00000000000011</v>
      </c>
      <c r="G647" s="655">
        <f>(SUMPRODUCT(D625:D636,E625:E636))</f>
        <v>68985162.290000007</v>
      </c>
      <c r="H647" s="656">
        <f>SUM(D625:D631)</f>
        <v>413.40000000000009</v>
      </c>
      <c r="I647" s="671">
        <f>(SUMPRODUCT(D625:D631,E625:E631))</f>
        <v>67679893.290000007</v>
      </c>
      <c r="J647" s="667">
        <f>SUM(D632:D635)</f>
        <v>7.8</v>
      </c>
      <c r="K647" s="682">
        <f>(SUMPRODUCT(D632:D635,E632:E635))</f>
        <v>718966.2</v>
      </c>
      <c r="L647" s="683">
        <f>SUM(D636:D636)</f>
        <v>6.8</v>
      </c>
      <c r="M647" s="692">
        <f>(SUMPRODUCT(D636:D636,E636:E636))</f>
        <v>586302.79999999993</v>
      </c>
      <c r="N647" s="737">
        <f>+H647+J647+L647</f>
        <v>428.00000000000011</v>
      </c>
      <c r="O647" s="738">
        <f>+I647+K647+M647</f>
        <v>68985162.290000007</v>
      </c>
      <c r="P647" s="699">
        <f>SUM(D637:D646)</f>
        <v>11691.170000000002</v>
      </c>
      <c r="Q647" s="708">
        <f>(SUMPRODUCT(D637:D646,E637:E646))</f>
        <v>767073664.82999992</v>
      </c>
      <c r="R647" s="704"/>
    </row>
    <row r="648" spans="1:18" x14ac:dyDescent="0.25">
      <c r="A648" s="552" t="s">
        <v>424</v>
      </c>
      <c r="B648" s="552" t="s">
        <v>328</v>
      </c>
      <c r="C648" s="552"/>
      <c r="D648" s="550"/>
      <c r="E648" s="546"/>
      <c r="F648" s="636"/>
      <c r="G648" s="651"/>
      <c r="H648" s="652"/>
      <c r="I648" s="668"/>
      <c r="J648" s="667"/>
      <c r="K648" s="682"/>
      <c r="L648" s="683"/>
      <c r="M648" s="692"/>
      <c r="N648" s="737"/>
      <c r="O648" s="738"/>
      <c r="P648" s="699"/>
      <c r="Q648" s="708"/>
      <c r="R648" s="704"/>
    </row>
    <row r="649" spans="1:18" x14ac:dyDescent="0.25">
      <c r="A649" s="552"/>
      <c r="B649" s="552" t="s">
        <v>392</v>
      </c>
      <c r="C649" s="552" t="s">
        <v>129</v>
      </c>
      <c r="D649" s="550">
        <v>0.95</v>
      </c>
      <c r="E649" s="546">
        <v>150024</v>
      </c>
      <c r="F649" s="635"/>
      <c r="G649" s="649"/>
      <c r="H649" s="650"/>
      <c r="I649" s="665"/>
      <c r="J649" s="666"/>
      <c r="K649" s="680"/>
      <c r="L649" s="681"/>
      <c r="M649" s="691"/>
      <c r="N649" s="735"/>
      <c r="O649" s="736"/>
      <c r="P649" s="698"/>
      <c r="Q649" s="707"/>
      <c r="R649" s="704"/>
    </row>
    <row r="650" spans="1:18" x14ac:dyDescent="0.25">
      <c r="A650" s="552"/>
      <c r="B650" s="552" t="s">
        <v>416</v>
      </c>
      <c r="C650" s="552" t="s">
        <v>263</v>
      </c>
      <c r="D650" s="550">
        <v>0.12</v>
      </c>
      <c r="E650" s="546">
        <v>31821</v>
      </c>
      <c r="F650" s="635"/>
      <c r="G650" s="649"/>
      <c r="H650" s="650"/>
      <c r="I650" s="665"/>
      <c r="J650" s="666"/>
      <c r="K650" s="680"/>
      <c r="L650" s="681"/>
      <c r="M650" s="691"/>
      <c r="N650" s="735"/>
      <c r="O650" s="736"/>
      <c r="P650" s="698"/>
      <c r="Q650" s="707"/>
      <c r="R650" s="704"/>
    </row>
    <row r="651" spans="1:18" x14ac:dyDescent="0.25">
      <c r="A651" s="552"/>
      <c r="B651" s="552" t="s">
        <v>417</v>
      </c>
      <c r="C651" s="552" t="s">
        <v>105</v>
      </c>
      <c r="D651" s="550">
        <v>20.7</v>
      </c>
      <c r="E651" s="546">
        <v>38339</v>
      </c>
      <c r="F651" s="635"/>
      <c r="G651" s="649"/>
      <c r="H651" s="650"/>
      <c r="I651" s="665"/>
      <c r="J651" s="666"/>
      <c r="K651" s="680"/>
      <c r="L651" s="681"/>
      <c r="M651" s="691"/>
      <c r="N651" s="735"/>
      <c r="O651" s="736"/>
      <c r="P651" s="698"/>
      <c r="Q651" s="707"/>
      <c r="R651" s="704"/>
    </row>
    <row r="652" spans="1:18" x14ac:dyDescent="0.25">
      <c r="A652" s="552"/>
      <c r="B652" s="552" t="s">
        <v>420</v>
      </c>
      <c r="C652" s="552" t="s">
        <v>108</v>
      </c>
      <c r="D652" s="550">
        <v>117.69</v>
      </c>
      <c r="E652" s="546">
        <v>53081</v>
      </c>
      <c r="F652" s="635"/>
      <c r="G652" s="649"/>
      <c r="H652" s="650"/>
      <c r="I652" s="665"/>
      <c r="J652" s="666"/>
      <c r="K652" s="680"/>
      <c r="L652" s="681"/>
      <c r="M652" s="691"/>
      <c r="N652" s="735"/>
      <c r="O652" s="736"/>
      <c r="P652" s="698"/>
      <c r="Q652" s="707"/>
      <c r="R652" s="704"/>
    </row>
    <row r="653" spans="1:18" x14ac:dyDescent="0.25">
      <c r="A653" s="552"/>
      <c r="B653" s="552" t="s">
        <v>421</v>
      </c>
      <c r="C653" s="552" t="s">
        <v>109</v>
      </c>
      <c r="D653" s="550">
        <v>23.17</v>
      </c>
      <c r="E653" s="546">
        <v>54893</v>
      </c>
      <c r="F653" s="635"/>
      <c r="G653" s="649"/>
      <c r="H653" s="650"/>
      <c r="I653" s="665"/>
      <c r="J653" s="666"/>
      <c r="K653" s="680"/>
      <c r="L653" s="681"/>
      <c r="M653" s="691"/>
      <c r="N653" s="735"/>
      <c r="O653" s="736"/>
      <c r="P653" s="698"/>
      <c r="Q653" s="707"/>
      <c r="R653" s="704"/>
    </row>
    <row r="654" spans="1:18" x14ac:dyDescent="0.25">
      <c r="A654" s="552"/>
      <c r="B654" s="552" t="s">
        <v>422</v>
      </c>
      <c r="C654" s="552" t="s">
        <v>110</v>
      </c>
      <c r="D654" s="550">
        <v>25.75</v>
      </c>
      <c r="E654" s="546">
        <v>63204</v>
      </c>
      <c r="F654" s="635"/>
      <c r="G654" s="649"/>
      <c r="H654" s="650"/>
      <c r="I654" s="665"/>
      <c r="J654" s="666"/>
      <c r="K654" s="680"/>
      <c r="L654" s="681"/>
      <c r="M654" s="691"/>
      <c r="N654" s="735"/>
      <c r="O654" s="736"/>
      <c r="P654" s="698"/>
      <c r="Q654" s="707"/>
      <c r="R654" s="704"/>
    </row>
    <row r="655" spans="1:18" x14ac:dyDescent="0.25">
      <c r="A655" s="552"/>
      <c r="B655" s="552" t="s">
        <v>423</v>
      </c>
      <c r="C655" s="552" t="s">
        <v>111</v>
      </c>
      <c r="D655" s="550">
        <v>2190</v>
      </c>
      <c r="E655" s="546">
        <v>41930</v>
      </c>
      <c r="F655" s="635"/>
      <c r="G655" s="649"/>
      <c r="H655" s="650"/>
      <c r="I655" s="665"/>
      <c r="J655" s="666"/>
      <c r="K655" s="680"/>
      <c r="L655" s="681"/>
      <c r="M655" s="691"/>
      <c r="N655" s="735"/>
      <c r="O655" s="736"/>
      <c r="P655" s="698"/>
      <c r="Q655" s="707"/>
      <c r="R655" s="704"/>
    </row>
    <row r="656" spans="1:18" x14ac:dyDescent="0.25">
      <c r="A656" s="552"/>
      <c r="B656" s="552" t="s">
        <v>424</v>
      </c>
      <c r="C656" s="552" t="s">
        <v>112</v>
      </c>
      <c r="D656" s="550">
        <v>9.2100000000000009</v>
      </c>
      <c r="E656" s="546">
        <v>81356</v>
      </c>
      <c r="F656" s="635"/>
      <c r="G656" s="649"/>
      <c r="H656" s="650"/>
      <c r="I656" s="665"/>
      <c r="J656" s="666"/>
      <c r="K656" s="680"/>
      <c r="L656" s="681"/>
      <c r="M656" s="691"/>
      <c r="N656" s="735"/>
      <c r="O656" s="736"/>
      <c r="P656" s="698"/>
      <c r="Q656" s="707"/>
      <c r="R656" s="704"/>
    </row>
    <row r="657" spans="1:18" x14ac:dyDescent="0.25">
      <c r="A657" s="552"/>
      <c r="B657" s="552" t="s">
        <v>425</v>
      </c>
      <c r="C657" s="552" t="s">
        <v>104</v>
      </c>
      <c r="D657" s="550">
        <v>162.91</v>
      </c>
      <c r="E657" s="546">
        <v>88481</v>
      </c>
      <c r="F657" s="635"/>
      <c r="G657" s="649"/>
      <c r="H657" s="650"/>
      <c r="I657" s="665"/>
      <c r="J657" s="666"/>
      <c r="K657" s="680"/>
      <c r="L657" s="681"/>
      <c r="M657" s="691"/>
      <c r="N657" s="735"/>
      <c r="O657" s="736"/>
      <c r="P657" s="698"/>
      <c r="Q657" s="707"/>
      <c r="R657" s="704"/>
    </row>
    <row r="658" spans="1:18" x14ac:dyDescent="0.25">
      <c r="A658" s="241"/>
      <c r="B658" s="243"/>
      <c r="C658" s="241"/>
      <c r="D658" s="762"/>
      <c r="E658" s="629"/>
      <c r="F658" s="636">
        <f>SUM(D649:D649)</f>
        <v>0.95</v>
      </c>
      <c r="G658" s="651">
        <f>(SUMPRODUCT(D649:D649,E649:E649))</f>
        <v>142522.79999999999</v>
      </c>
      <c r="H658" s="652">
        <f>SUM(D649:D649)</f>
        <v>0.95</v>
      </c>
      <c r="I658" s="668">
        <f>(SUMPRODUCT(D649:D649,E649:E649))</f>
        <v>142522.79999999999</v>
      </c>
      <c r="J658" s="667"/>
      <c r="K658" s="682"/>
      <c r="L658" s="683"/>
      <c r="M658" s="692"/>
      <c r="N658" s="737">
        <f>+H658+J658+L658</f>
        <v>0.95</v>
      </c>
      <c r="O658" s="738">
        <f>+I658+K658+M658</f>
        <v>142522.79999999999</v>
      </c>
      <c r="P658" s="699">
        <f>SUM(D650:D657)</f>
        <v>2549.5499999999997</v>
      </c>
      <c r="Q658" s="708">
        <f>(SUMPRODUCT(D650:D657,E650:E657))</f>
        <v>116934340.98999999</v>
      </c>
      <c r="R658" s="704"/>
    </row>
    <row r="659" spans="1:18" x14ac:dyDescent="0.25">
      <c r="A659" s="552" t="s">
        <v>425</v>
      </c>
      <c r="B659" s="552" t="s">
        <v>153</v>
      </c>
      <c r="C659" s="552"/>
      <c r="D659" s="550"/>
      <c r="E659" s="546"/>
      <c r="F659" s="635"/>
      <c r="G659" s="649"/>
      <c r="H659" s="650"/>
      <c r="I659" s="665"/>
      <c r="J659" s="666"/>
      <c r="K659" s="680"/>
      <c r="L659" s="681"/>
      <c r="M659" s="691"/>
      <c r="N659" s="735"/>
      <c r="O659" s="736"/>
      <c r="P659" s="698"/>
      <c r="Q659" s="707"/>
      <c r="R659" s="704"/>
    </row>
    <row r="660" spans="1:18" x14ac:dyDescent="0.25">
      <c r="A660" s="552"/>
      <c r="B660" s="552" t="s">
        <v>391</v>
      </c>
      <c r="C660" s="552" t="s">
        <v>128</v>
      </c>
      <c r="D660" s="550">
        <v>0.13</v>
      </c>
      <c r="E660" s="546">
        <v>152232</v>
      </c>
      <c r="F660" s="635"/>
      <c r="G660" s="649"/>
      <c r="H660" s="650"/>
      <c r="I660" s="665"/>
      <c r="J660" s="666"/>
      <c r="K660" s="680"/>
      <c r="L660" s="681"/>
      <c r="M660" s="691"/>
      <c r="N660" s="735"/>
      <c r="O660" s="736"/>
      <c r="P660" s="698"/>
      <c r="Q660" s="707"/>
      <c r="R660" s="704"/>
    </row>
    <row r="661" spans="1:18" x14ac:dyDescent="0.25">
      <c r="A661" s="552"/>
      <c r="B661" s="552" t="s">
        <v>392</v>
      </c>
      <c r="C661" s="552" t="s">
        <v>129</v>
      </c>
      <c r="D661" s="550">
        <v>5.07</v>
      </c>
      <c r="E661" s="546">
        <v>135158</v>
      </c>
      <c r="F661" s="635"/>
      <c r="G661" s="649"/>
      <c r="H661" s="650"/>
      <c r="I661" s="665"/>
      <c r="J661" s="666"/>
      <c r="K661" s="680"/>
      <c r="L661" s="681"/>
      <c r="M661" s="691"/>
      <c r="N661" s="735"/>
      <c r="O661" s="736"/>
      <c r="P661" s="698"/>
      <c r="Q661" s="707"/>
      <c r="R661" s="704"/>
    </row>
    <row r="662" spans="1:18" x14ac:dyDescent="0.25">
      <c r="A662" s="552"/>
      <c r="B662" s="552" t="s">
        <v>416</v>
      </c>
      <c r="C662" s="552" t="s">
        <v>263</v>
      </c>
      <c r="D662" s="550">
        <v>0.37</v>
      </c>
      <c r="E662" s="546">
        <v>50973</v>
      </c>
      <c r="F662" s="635"/>
      <c r="G662" s="649"/>
      <c r="H662" s="650"/>
      <c r="I662" s="665"/>
      <c r="J662" s="666"/>
      <c r="K662" s="680"/>
      <c r="L662" s="681"/>
      <c r="M662" s="691"/>
      <c r="N662" s="735"/>
      <c r="O662" s="736"/>
      <c r="P662" s="698"/>
      <c r="Q662" s="707"/>
      <c r="R662" s="704"/>
    </row>
    <row r="663" spans="1:18" x14ac:dyDescent="0.25">
      <c r="A663" s="552"/>
      <c r="B663" s="552" t="s">
        <v>417</v>
      </c>
      <c r="C663" s="552" t="s">
        <v>105</v>
      </c>
      <c r="D663" s="550">
        <v>92.8</v>
      </c>
      <c r="E663" s="546">
        <v>44180</v>
      </c>
      <c r="F663" s="635"/>
      <c r="G663" s="649"/>
      <c r="H663" s="650"/>
      <c r="I663" s="665"/>
      <c r="J663" s="666"/>
      <c r="K663" s="680"/>
      <c r="L663" s="681"/>
      <c r="M663" s="691"/>
      <c r="N663" s="735"/>
      <c r="O663" s="736"/>
      <c r="P663" s="698"/>
      <c r="Q663" s="707"/>
      <c r="R663" s="704"/>
    </row>
    <row r="664" spans="1:18" x14ac:dyDescent="0.25">
      <c r="A664" s="552"/>
      <c r="B664" s="552" t="s">
        <v>418</v>
      </c>
      <c r="C664" s="552" t="s">
        <v>106</v>
      </c>
      <c r="D664" s="550">
        <v>347.12</v>
      </c>
      <c r="E664" s="546">
        <v>67674</v>
      </c>
      <c r="F664" s="635"/>
      <c r="G664" s="649"/>
      <c r="H664" s="650"/>
      <c r="I664" s="665"/>
      <c r="J664" s="666"/>
      <c r="K664" s="680"/>
      <c r="L664" s="681"/>
      <c r="M664" s="691"/>
      <c r="N664" s="735"/>
      <c r="O664" s="736"/>
      <c r="P664" s="698"/>
      <c r="Q664" s="707"/>
      <c r="R664" s="704"/>
    </row>
    <row r="665" spans="1:18" x14ac:dyDescent="0.25">
      <c r="A665" s="552"/>
      <c r="B665" s="552" t="s">
        <v>419</v>
      </c>
      <c r="C665" s="552" t="s">
        <v>107</v>
      </c>
      <c r="D665" s="550">
        <v>5.0599999999999996</v>
      </c>
      <c r="E665" s="546">
        <v>45837</v>
      </c>
      <c r="F665" s="635"/>
      <c r="G665" s="649"/>
      <c r="H665" s="650"/>
      <c r="I665" s="665"/>
      <c r="J665" s="666"/>
      <c r="K665" s="680"/>
      <c r="L665" s="681"/>
      <c r="M665" s="691"/>
      <c r="N665" s="735"/>
      <c r="O665" s="736"/>
      <c r="P665" s="698"/>
      <c r="Q665" s="707"/>
      <c r="R665" s="704"/>
    </row>
    <row r="666" spans="1:18" x14ac:dyDescent="0.25">
      <c r="A666" s="552"/>
      <c r="B666" s="552" t="s">
        <v>420</v>
      </c>
      <c r="C666" s="552" t="s">
        <v>108</v>
      </c>
      <c r="D666" s="550">
        <v>174.92</v>
      </c>
      <c r="E666" s="546">
        <v>57706</v>
      </c>
      <c r="F666" s="635"/>
      <c r="G666" s="649"/>
      <c r="H666" s="650"/>
      <c r="I666" s="665"/>
      <c r="J666" s="666"/>
      <c r="K666" s="680"/>
      <c r="L666" s="681"/>
      <c r="M666" s="691"/>
      <c r="N666" s="735"/>
      <c r="O666" s="736"/>
      <c r="P666" s="698"/>
      <c r="Q666" s="707"/>
      <c r="R666" s="704"/>
    </row>
    <row r="667" spans="1:18" x14ac:dyDescent="0.25">
      <c r="A667" s="552"/>
      <c r="B667" s="552" t="s">
        <v>421</v>
      </c>
      <c r="C667" s="552" t="s">
        <v>109</v>
      </c>
      <c r="D667" s="550">
        <v>2381.88</v>
      </c>
      <c r="E667" s="546">
        <v>54526</v>
      </c>
      <c r="F667" s="635"/>
      <c r="G667" s="649"/>
      <c r="H667" s="650"/>
      <c r="I667" s="665"/>
      <c r="J667" s="666"/>
      <c r="K667" s="680"/>
      <c r="L667" s="681"/>
      <c r="M667" s="691"/>
      <c r="N667" s="735"/>
      <c r="O667" s="736"/>
      <c r="P667" s="698"/>
      <c r="Q667" s="707"/>
      <c r="R667" s="704"/>
    </row>
    <row r="668" spans="1:18" x14ac:dyDescent="0.25">
      <c r="A668" s="552"/>
      <c r="B668" s="552" t="s">
        <v>422</v>
      </c>
      <c r="C668" s="552" t="s">
        <v>110</v>
      </c>
      <c r="D668" s="550">
        <v>6.15</v>
      </c>
      <c r="E668" s="546">
        <v>79448</v>
      </c>
      <c r="F668" s="635"/>
      <c r="G668" s="649"/>
      <c r="H668" s="650"/>
      <c r="I668" s="665"/>
      <c r="J668" s="666"/>
      <c r="K668" s="680"/>
      <c r="L668" s="681"/>
      <c r="M668" s="691"/>
      <c r="N668" s="735"/>
      <c r="O668" s="736"/>
      <c r="P668" s="698"/>
      <c r="Q668" s="707"/>
      <c r="R668" s="704"/>
    </row>
    <row r="669" spans="1:18" x14ac:dyDescent="0.25">
      <c r="A669" s="552"/>
      <c r="B669" s="552" t="s">
        <v>423</v>
      </c>
      <c r="C669" s="552" t="s">
        <v>111</v>
      </c>
      <c r="D669" s="550">
        <v>36.479999999999997</v>
      </c>
      <c r="E669" s="546">
        <v>49997</v>
      </c>
      <c r="F669" s="635"/>
      <c r="G669" s="649"/>
      <c r="H669" s="650"/>
      <c r="I669" s="665"/>
      <c r="J669" s="666"/>
      <c r="K669" s="680"/>
      <c r="L669" s="681"/>
      <c r="M669" s="691"/>
      <c r="N669" s="735"/>
      <c r="O669" s="736"/>
      <c r="P669" s="698"/>
      <c r="Q669" s="707"/>
      <c r="R669" s="704"/>
    </row>
    <row r="670" spans="1:18" x14ac:dyDescent="0.25">
      <c r="A670" s="552"/>
      <c r="B670" s="552" t="s">
        <v>424</v>
      </c>
      <c r="C670" s="552" t="s">
        <v>112</v>
      </c>
      <c r="D670" s="550">
        <v>44.13</v>
      </c>
      <c r="E670" s="546">
        <v>74306</v>
      </c>
      <c r="F670" s="639"/>
      <c r="G670" s="651"/>
      <c r="H670" s="650"/>
      <c r="I670" s="668"/>
      <c r="J670" s="666"/>
      <c r="K670" s="682"/>
      <c r="L670" s="681"/>
      <c r="M670" s="692"/>
      <c r="N670" s="735"/>
      <c r="O670" s="738"/>
      <c r="P670" s="698"/>
      <c r="Q670" s="708"/>
      <c r="R670" s="704"/>
    </row>
    <row r="671" spans="1:18" x14ac:dyDescent="0.25">
      <c r="A671" s="552"/>
      <c r="B671" s="552" t="s">
        <v>425</v>
      </c>
      <c r="C671" s="552" t="s">
        <v>104</v>
      </c>
      <c r="D671" s="550">
        <v>232.52</v>
      </c>
      <c r="E671" s="546">
        <v>91254</v>
      </c>
      <c r="F671" s="635"/>
      <c r="G671" s="649"/>
      <c r="H671" s="650"/>
      <c r="I671" s="665"/>
      <c r="J671" s="666"/>
      <c r="K671" s="680"/>
      <c r="L671" s="681"/>
      <c r="M671" s="691"/>
      <c r="N671" s="735"/>
      <c r="O671" s="736"/>
      <c r="P671" s="698"/>
      <c r="Q671" s="707"/>
      <c r="R671" s="704"/>
    </row>
    <row r="672" spans="1:18" x14ac:dyDescent="0.25">
      <c r="A672" s="241"/>
      <c r="B672" s="243"/>
      <c r="C672" s="241"/>
      <c r="D672" s="762"/>
      <c r="E672" s="629"/>
      <c r="F672" s="636">
        <f>SUM(D660:D661)</f>
        <v>5.2</v>
      </c>
      <c r="G672" s="651">
        <f>(SUMPRODUCT(D660:D661,E660:E661))</f>
        <v>705041.22000000009</v>
      </c>
      <c r="H672" s="652">
        <f>SUM(D660:D661)</f>
        <v>5.2</v>
      </c>
      <c r="I672" s="668">
        <f>(SUMPRODUCT(D660:D661,E660:E661))</f>
        <v>705041.22000000009</v>
      </c>
      <c r="J672" s="667"/>
      <c r="K672" s="682"/>
      <c r="L672" s="683"/>
      <c r="M672" s="692"/>
      <c r="N672" s="737">
        <f>+H672+J672+L672</f>
        <v>5.2</v>
      </c>
      <c r="O672" s="738">
        <f>+I672+K672+M672</f>
        <v>705041.22000000009</v>
      </c>
      <c r="P672" s="699">
        <f>SUM(D662:D671)</f>
        <v>3321.4300000000003</v>
      </c>
      <c r="Q672" s="708">
        <f>(SUMPRODUCT(D662:D671,E662:E671))</f>
        <v>194620020.13</v>
      </c>
      <c r="R672" s="704"/>
    </row>
    <row r="673" spans="1:18" x14ac:dyDescent="0.25">
      <c r="A673" s="552" t="s">
        <v>154</v>
      </c>
      <c r="B673" s="552" t="s">
        <v>155</v>
      </c>
      <c r="C673" s="552"/>
      <c r="D673" s="550"/>
      <c r="E673" s="546"/>
      <c r="F673" s="635"/>
      <c r="G673" s="649"/>
      <c r="H673" s="650"/>
      <c r="I673" s="665"/>
      <c r="J673" s="666"/>
      <c r="K673" s="680"/>
      <c r="L673" s="681"/>
      <c r="M673" s="691"/>
      <c r="N673" s="735"/>
      <c r="O673" s="736"/>
      <c r="P673" s="698"/>
      <c r="Q673" s="707"/>
      <c r="R673" s="704"/>
    </row>
    <row r="674" spans="1:18" x14ac:dyDescent="0.25">
      <c r="A674" s="552"/>
      <c r="B674" s="552" t="s">
        <v>391</v>
      </c>
      <c r="C674" s="552" t="s">
        <v>128</v>
      </c>
      <c r="D674" s="550">
        <v>2.15</v>
      </c>
      <c r="E674" s="546">
        <v>172355</v>
      </c>
      <c r="F674" s="635"/>
      <c r="G674" s="649"/>
      <c r="H674" s="650"/>
      <c r="I674" s="665"/>
      <c r="J674" s="666"/>
      <c r="K674" s="680"/>
      <c r="L674" s="681"/>
      <c r="M674" s="691"/>
      <c r="N674" s="735"/>
      <c r="O674" s="736"/>
      <c r="P674" s="698"/>
      <c r="Q674" s="707"/>
      <c r="R674" s="704"/>
    </row>
    <row r="675" spans="1:18" x14ac:dyDescent="0.25">
      <c r="A675" s="552"/>
      <c r="B675" s="552" t="s">
        <v>392</v>
      </c>
      <c r="C675" s="552" t="s">
        <v>129</v>
      </c>
      <c r="D675" s="550">
        <v>5.8</v>
      </c>
      <c r="E675" s="546">
        <v>155074</v>
      </c>
      <c r="F675" s="635"/>
      <c r="G675" s="649"/>
      <c r="H675" s="650"/>
      <c r="I675" s="665"/>
      <c r="J675" s="666"/>
      <c r="K675" s="680"/>
      <c r="L675" s="681"/>
      <c r="M675" s="691"/>
      <c r="N675" s="735"/>
      <c r="O675" s="736"/>
      <c r="P675" s="698"/>
      <c r="Q675" s="707"/>
      <c r="R675" s="704"/>
    </row>
    <row r="676" spans="1:18" x14ac:dyDescent="0.25">
      <c r="A676" s="552"/>
      <c r="B676" s="552" t="s">
        <v>400</v>
      </c>
      <c r="C676" s="552" t="s">
        <v>132</v>
      </c>
      <c r="D676" s="550">
        <v>1</v>
      </c>
      <c r="E676" s="546">
        <v>84827</v>
      </c>
      <c r="F676" s="635"/>
      <c r="G676" s="649"/>
      <c r="H676" s="650"/>
      <c r="I676" s="665"/>
      <c r="J676" s="666"/>
      <c r="K676" s="680"/>
      <c r="L676" s="681"/>
      <c r="M676" s="691"/>
      <c r="N676" s="735"/>
      <c r="O676" s="736"/>
      <c r="P676" s="698"/>
      <c r="Q676" s="707"/>
      <c r="R676" s="704"/>
    </row>
    <row r="677" spans="1:18" x14ac:dyDescent="0.25">
      <c r="A677" s="552"/>
      <c r="B677" s="552" t="s">
        <v>401</v>
      </c>
      <c r="C677" s="552" t="s">
        <v>133</v>
      </c>
      <c r="D677" s="550">
        <v>15.4</v>
      </c>
      <c r="E677" s="546">
        <v>107003</v>
      </c>
      <c r="F677" s="635"/>
      <c r="G677" s="649"/>
      <c r="H677" s="650"/>
      <c r="I677" s="665"/>
      <c r="J677" s="666"/>
      <c r="K677" s="680"/>
      <c r="L677" s="681"/>
      <c r="M677" s="691"/>
      <c r="N677" s="735"/>
      <c r="O677" s="736"/>
      <c r="P677" s="698"/>
      <c r="Q677" s="707"/>
      <c r="R677" s="704"/>
    </row>
    <row r="678" spans="1:18" x14ac:dyDescent="0.25">
      <c r="A678" s="552"/>
      <c r="B678" s="552" t="s">
        <v>417</v>
      </c>
      <c r="C678" s="552" t="s">
        <v>105</v>
      </c>
      <c r="D678" s="550">
        <v>7.38</v>
      </c>
      <c r="E678" s="546">
        <v>58241</v>
      </c>
      <c r="F678" s="635"/>
      <c r="G678" s="649"/>
      <c r="H678" s="650"/>
      <c r="I678" s="665"/>
      <c r="J678" s="666"/>
      <c r="K678" s="680"/>
      <c r="L678" s="681"/>
      <c r="M678" s="691"/>
      <c r="N678" s="735"/>
      <c r="O678" s="736"/>
      <c r="P678" s="698"/>
      <c r="Q678" s="707"/>
      <c r="R678" s="704"/>
    </row>
    <row r="679" spans="1:18" x14ac:dyDescent="0.25">
      <c r="A679" s="552"/>
      <c r="B679" s="552" t="s">
        <v>418</v>
      </c>
      <c r="C679" s="552" t="s">
        <v>106</v>
      </c>
      <c r="D679" s="550">
        <v>5.01</v>
      </c>
      <c r="E679" s="546">
        <v>79654</v>
      </c>
      <c r="F679" s="635"/>
      <c r="G679" s="649"/>
      <c r="H679" s="650"/>
      <c r="I679" s="665"/>
      <c r="J679" s="666"/>
      <c r="K679" s="680"/>
      <c r="L679" s="681"/>
      <c r="M679" s="691"/>
      <c r="N679" s="735"/>
      <c r="O679" s="736"/>
      <c r="P679" s="698"/>
      <c r="Q679" s="707"/>
      <c r="R679" s="704"/>
    </row>
    <row r="680" spans="1:18" x14ac:dyDescent="0.25">
      <c r="A680" s="552"/>
      <c r="B680" s="552" t="s">
        <v>420</v>
      </c>
      <c r="C680" s="552" t="s">
        <v>108</v>
      </c>
      <c r="D680" s="550">
        <v>35.020000000000003</v>
      </c>
      <c r="E680" s="546">
        <v>66514</v>
      </c>
      <c r="F680" s="635"/>
      <c r="G680" s="649"/>
      <c r="H680" s="650"/>
      <c r="I680" s="665"/>
      <c r="J680" s="666"/>
      <c r="K680" s="680"/>
      <c r="L680" s="681"/>
      <c r="M680" s="691"/>
      <c r="N680" s="735"/>
      <c r="O680" s="736"/>
      <c r="P680" s="698"/>
      <c r="Q680" s="707"/>
      <c r="R680" s="704"/>
    </row>
    <row r="681" spans="1:18" x14ac:dyDescent="0.25">
      <c r="A681" s="552"/>
      <c r="B681" s="552" t="s">
        <v>422</v>
      </c>
      <c r="C681" s="552" t="s">
        <v>110</v>
      </c>
      <c r="D681" s="550">
        <v>139.34</v>
      </c>
      <c r="E681" s="546">
        <v>103890</v>
      </c>
      <c r="F681" s="635"/>
      <c r="G681" s="649"/>
      <c r="H681" s="650"/>
      <c r="I681" s="665"/>
      <c r="J681" s="666"/>
      <c r="K681" s="680"/>
      <c r="L681" s="681"/>
      <c r="M681" s="691"/>
      <c r="N681" s="735"/>
      <c r="O681" s="736"/>
      <c r="P681" s="698"/>
      <c r="Q681" s="707"/>
      <c r="R681" s="704"/>
    </row>
    <row r="682" spans="1:18" x14ac:dyDescent="0.25">
      <c r="A682" s="552"/>
      <c r="B682" s="552" t="s">
        <v>423</v>
      </c>
      <c r="C682" s="552" t="s">
        <v>111</v>
      </c>
      <c r="D682" s="550">
        <v>5.2</v>
      </c>
      <c r="E682" s="546">
        <v>103769</v>
      </c>
      <c r="F682" s="635"/>
      <c r="G682" s="649"/>
      <c r="H682" s="650"/>
      <c r="I682" s="665"/>
      <c r="J682" s="666"/>
      <c r="K682" s="680"/>
      <c r="L682" s="681"/>
      <c r="M682" s="691"/>
      <c r="N682" s="735"/>
      <c r="O682" s="736"/>
      <c r="P682" s="698"/>
      <c r="Q682" s="707"/>
      <c r="R682" s="704"/>
    </row>
    <row r="683" spans="1:18" x14ac:dyDescent="0.25">
      <c r="A683" s="552"/>
      <c r="B683" s="552" t="s">
        <v>424</v>
      </c>
      <c r="C683" s="552" t="s">
        <v>112</v>
      </c>
      <c r="D683" s="550">
        <v>84.78</v>
      </c>
      <c r="E683" s="546">
        <v>95332</v>
      </c>
      <c r="F683" s="635"/>
      <c r="G683" s="649"/>
      <c r="H683" s="650"/>
      <c r="I683" s="665"/>
      <c r="J683" s="666"/>
      <c r="K683" s="680"/>
      <c r="L683" s="681"/>
      <c r="M683" s="691"/>
      <c r="N683" s="735"/>
      <c r="O683" s="736"/>
      <c r="P683" s="698"/>
      <c r="Q683" s="707"/>
      <c r="R683" s="704"/>
    </row>
    <row r="684" spans="1:18" x14ac:dyDescent="0.25">
      <c r="A684" s="552"/>
      <c r="B684" s="552" t="s">
        <v>425</v>
      </c>
      <c r="C684" s="552" t="s">
        <v>104</v>
      </c>
      <c r="D684" s="550">
        <v>72.45</v>
      </c>
      <c r="E684" s="546">
        <v>144750</v>
      </c>
      <c r="F684" s="635"/>
      <c r="G684" s="649"/>
      <c r="H684" s="650"/>
      <c r="I684" s="665"/>
      <c r="J684" s="666"/>
      <c r="K684" s="680"/>
      <c r="L684" s="681"/>
      <c r="M684" s="691"/>
      <c r="N684" s="735"/>
      <c r="O684" s="736"/>
      <c r="P684" s="698"/>
      <c r="Q684" s="707"/>
      <c r="R684" s="704"/>
    </row>
    <row r="685" spans="1:18" x14ac:dyDescent="0.25">
      <c r="A685" s="241"/>
      <c r="B685" s="243"/>
      <c r="C685" s="241"/>
      <c r="D685" s="762"/>
      <c r="E685" s="629"/>
      <c r="F685" s="636">
        <f>SUM(D674:D677)</f>
        <v>24.35</v>
      </c>
      <c r="G685" s="651">
        <f>(SUMPRODUCT(D674:D677,E674:E677))</f>
        <v>3002665.65</v>
      </c>
      <c r="H685" s="652">
        <f>SUM(D674:D675)</f>
        <v>7.9499999999999993</v>
      </c>
      <c r="I685" s="668">
        <f>(SUMPRODUCT(D674:D675,E674:E675))</f>
        <v>1269992.45</v>
      </c>
      <c r="J685" s="667">
        <f>SUM(D676:D677)</f>
        <v>16.399999999999999</v>
      </c>
      <c r="K685" s="682">
        <f>(SUMPRODUCT(D676:D677,E676:E677))</f>
        <v>1732673.2</v>
      </c>
      <c r="L685" s="683"/>
      <c r="M685" s="692"/>
      <c r="N685" s="737">
        <f>+H685+J685+L685</f>
        <v>24.349999999999998</v>
      </c>
      <c r="O685" s="738">
        <f>+I685+K685+M685</f>
        <v>3002665.65</v>
      </c>
      <c r="P685" s="699">
        <f>SUM(D678:D684)</f>
        <v>349.18</v>
      </c>
      <c r="Q685" s="708">
        <f>(SUMPRODUCT(D678:D684,E678:E684))</f>
        <v>36743221.260000005</v>
      </c>
      <c r="R685" s="704"/>
    </row>
    <row r="686" spans="1:18" x14ac:dyDescent="0.25">
      <c r="A686" s="552" t="s">
        <v>156</v>
      </c>
      <c r="B686" s="552" t="s">
        <v>308</v>
      </c>
      <c r="C686" s="552"/>
      <c r="D686" s="550"/>
      <c r="E686" s="546"/>
      <c r="F686" s="635"/>
      <c r="G686" s="649"/>
      <c r="H686" s="650"/>
      <c r="I686" s="665"/>
      <c r="J686" s="666"/>
      <c r="K686" s="680"/>
      <c r="L686" s="681"/>
      <c r="M686" s="691"/>
      <c r="N686" s="735"/>
      <c r="O686" s="736"/>
      <c r="P686" s="698"/>
      <c r="Q686" s="707"/>
      <c r="R686" s="704"/>
    </row>
    <row r="687" spans="1:18" x14ac:dyDescent="0.25">
      <c r="A687" s="552"/>
      <c r="B687" s="552" t="s">
        <v>422</v>
      </c>
      <c r="C687" s="552" t="s">
        <v>110</v>
      </c>
      <c r="D687" s="550">
        <v>0.06</v>
      </c>
      <c r="E687" s="546">
        <v>77869</v>
      </c>
      <c r="F687" s="635"/>
      <c r="G687" s="649"/>
      <c r="H687" s="650"/>
      <c r="I687" s="665"/>
      <c r="J687" s="666"/>
      <c r="K687" s="680"/>
      <c r="L687" s="681"/>
      <c r="M687" s="691"/>
      <c r="N687" s="735"/>
      <c r="O687" s="736"/>
      <c r="P687" s="698"/>
      <c r="Q687" s="707"/>
      <c r="R687" s="704"/>
    </row>
    <row r="688" spans="1:18" x14ac:dyDescent="0.25">
      <c r="A688" s="241"/>
      <c r="B688" s="243"/>
      <c r="C688" s="241"/>
      <c r="D688" s="762"/>
      <c r="E688" s="629"/>
      <c r="F688" s="636"/>
      <c r="G688" s="651"/>
      <c r="H688" s="650"/>
      <c r="I688" s="665"/>
      <c r="J688" s="667"/>
      <c r="K688" s="682"/>
      <c r="L688" s="681"/>
      <c r="M688" s="691"/>
      <c r="N688" s="735"/>
      <c r="O688" s="736"/>
      <c r="P688" s="699">
        <f>SUM(D687:D687)</f>
        <v>0.06</v>
      </c>
      <c r="Q688" s="708">
        <f>(SUMPRODUCT(D687:D687,E687:E687))</f>
        <v>4672.1399999999994</v>
      </c>
      <c r="R688" s="704"/>
    </row>
    <row r="689" spans="1:18" x14ac:dyDescent="0.25">
      <c r="A689" s="572" t="s">
        <v>157</v>
      </c>
      <c r="B689" s="572" t="s">
        <v>157</v>
      </c>
      <c r="C689" s="572" t="s">
        <v>158</v>
      </c>
      <c r="D689" s="761">
        <f>SUBTOTAL(9,D6:D688)</f>
        <v>118691.85000000006</v>
      </c>
      <c r="E689" s="634">
        <f>SUBTOTAL(9,E6:E688)</f>
        <v>49882481</v>
      </c>
      <c r="F689" s="741" t="s">
        <v>120</v>
      </c>
      <c r="G689" s="657"/>
      <c r="H689" s="742" t="s">
        <v>121</v>
      </c>
      <c r="I689" s="657"/>
      <c r="J689" s="672" t="s">
        <v>122</v>
      </c>
      <c r="K689" s="687"/>
      <c r="L689" s="679" t="s">
        <v>123</v>
      </c>
      <c r="M689" s="690"/>
      <c r="N689" s="743" t="s">
        <v>124</v>
      </c>
      <c r="O689" s="744"/>
      <c r="P689" s="701" t="s">
        <v>125</v>
      </c>
      <c r="Q689" s="711"/>
      <c r="R689" s="704"/>
    </row>
    <row r="690" spans="1:18" x14ac:dyDescent="0.25">
      <c r="A690" s="241"/>
      <c r="B690" s="243"/>
      <c r="C690" s="573"/>
      <c r="D690" s="564"/>
      <c r="E690" s="629"/>
      <c r="F690" s="642"/>
      <c r="G690" s="657"/>
      <c r="H690" s="642"/>
      <c r="I690" s="657"/>
      <c r="J690" s="672"/>
      <c r="K690" s="687"/>
      <c r="L690" s="679"/>
      <c r="M690" s="690"/>
      <c r="N690" s="743"/>
      <c r="O690" s="744"/>
      <c r="P690" s="701"/>
      <c r="Q690" s="711"/>
      <c r="R690" s="704"/>
    </row>
    <row r="691" spans="1:18" x14ac:dyDescent="0.25">
      <c r="A691" s="241"/>
      <c r="B691" s="241"/>
      <c r="C691" s="573"/>
      <c r="D691" s="573"/>
      <c r="E691" s="634"/>
      <c r="F691" s="714">
        <f t="shared" ref="F691:Q691" si="0">SUBTOTAL(9,F6:F688)</f>
        <v>77704.469999999987</v>
      </c>
      <c r="G691" s="715">
        <f t="shared" si="0"/>
        <v>6517770854.0000019</v>
      </c>
      <c r="H691" s="717">
        <f t="shared" si="0"/>
        <v>5028.5199999999995</v>
      </c>
      <c r="I691" s="718">
        <f t="shared" si="0"/>
        <v>705515898.26000023</v>
      </c>
      <c r="J691" s="720">
        <f t="shared" si="0"/>
        <v>72395.959999999977</v>
      </c>
      <c r="K691" s="721">
        <f t="shared" si="0"/>
        <v>5789038613.2000008</v>
      </c>
      <c r="L691" s="723">
        <f t="shared" si="0"/>
        <v>279.99</v>
      </c>
      <c r="M691" s="724">
        <f t="shared" si="0"/>
        <v>23216342.540000007</v>
      </c>
      <c r="N691" s="745">
        <f t="shared" si="0"/>
        <v>77704.469999999987</v>
      </c>
      <c r="O691" s="746">
        <f t="shared" si="0"/>
        <v>6517770854</v>
      </c>
      <c r="P691" s="726">
        <f t="shared" si="0"/>
        <v>40987.380000000012</v>
      </c>
      <c r="Q691" s="727">
        <f t="shared" si="0"/>
        <v>2310727635.0999999</v>
      </c>
      <c r="R691" s="704"/>
    </row>
    <row r="692" spans="1:18" x14ac:dyDescent="0.25">
      <c r="A692" s="241"/>
      <c r="B692" s="241"/>
      <c r="C692" s="573"/>
      <c r="D692" s="564"/>
      <c r="E692" s="629"/>
      <c r="F692" s="747"/>
      <c r="G692" s="716">
        <f>G691/F691</f>
        <v>83878.969305112085</v>
      </c>
      <c r="H692" s="747"/>
      <c r="I692" s="719">
        <f>I691/H691</f>
        <v>140302.89195628144</v>
      </c>
      <c r="J692" s="747"/>
      <c r="K692" s="722">
        <f>K691/J691</f>
        <v>79963.558922348748</v>
      </c>
      <c r="L692" s="748"/>
      <c r="M692" s="725">
        <f>M691/L691</f>
        <v>82918.470445373066</v>
      </c>
      <c r="N692" s="748"/>
      <c r="O692" s="749">
        <f>O691/N691</f>
        <v>83878.969305112056</v>
      </c>
      <c r="P692" s="748"/>
      <c r="Q692" s="728">
        <f>Q691/P691</f>
        <v>56376.5635934768</v>
      </c>
      <c r="R692" s="704"/>
    </row>
    <row r="693" spans="1:18" x14ac:dyDescent="0.25">
      <c r="A693" s="241"/>
      <c r="B693" s="241"/>
      <c r="C693" s="241"/>
      <c r="D693" s="564"/>
      <c r="E693" s="629"/>
      <c r="F693" s="639"/>
      <c r="G693" s="651"/>
      <c r="H693" s="658"/>
      <c r="I693" s="673"/>
      <c r="J693" s="666"/>
      <c r="K693" s="682"/>
      <c r="L693" s="666"/>
      <c r="M693" s="692"/>
      <c r="N693" s="666"/>
      <c r="O693" s="738"/>
      <c r="P693" s="698"/>
      <c r="Q693" s="708"/>
      <c r="R693" s="704"/>
    </row>
    <row r="694" spans="1:18" x14ac:dyDescent="0.25">
      <c r="A694" s="241"/>
      <c r="B694" s="241"/>
      <c r="C694" s="750" t="s">
        <v>176</v>
      </c>
      <c r="D694" s="573"/>
      <c r="E694" s="634"/>
      <c r="F694" s="751">
        <f>Table3WS1!D32</f>
        <v>77704.450000000012</v>
      </c>
      <c r="G694" s="752">
        <f>Table3WS1!E32</f>
        <v>83878.929227476634</v>
      </c>
      <c r="H694" s="751">
        <f>Table3WS1!J9</f>
        <v>5028.51</v>
      </c>
      <c r="I694" s="752">
        <f>Table3WS1!J10</f>
        <v>140303.00747935273</v>
      </c>
      <c r="J694" s="751">
        <f>Table3WS1!J24</f>
        <v>72395.950000000012</v>
      </c>
      <c r="K694" s="753">
        <f>Table3WS1!J25</f>
        <v>79963.519224763251</v>
      </c>
      <c r="L694" s="751">
        <f>Table3WS1!F30</f>
        <v>279.99</v>
      </c>
      <c r="M694" s="753">
        <f>Table3WS1!G30</f>
        <v>82917.412943319403</v>
      </c>
      <c r="N694" s="751"/>
      <c r="O694" s="753"/>
      <c r="P694" s="751">
        <f>Table3WS1!D47</f>
        <v>40987.369999999995</v>
      </c>
      <c r="Q694" s="753">
        <f>Table3WS1!E47</f>
        <v>56376.726725086301</v>
      </c>
      <c r="R694" s="704"/>
    </row>
    <row r="695" spans="1:18" x14ac:dyDescent="0.25">
      <c r="A695" s="241"/>
      <c r="B695" s="241"/>
      <c r="C695" s="754" t="s">
        <v>172</v>
      </c>
      <c r="D695" s="573"/>
      <c r="E695" s="634"/>
      <c r="F695" s="698">
        <f>Table2!J68</f>
        <v>77704.44</v>
      </c>
      <c r="G695" s="707">
        <f>Table2!K68</f>
        <v>83879</v>
      </c>
      <c r="H695" s="698">
        <f>Table2!B68+Table2!D68</f>
        <v>5028.51</v>
      </c>
      <c r="I695" s="707">
        <f>((Table2!B68*Table2!C68)+(Table2!D68*Table2!E68))/H695</f>
        <v>140303.00747935273</v>
      </c>
      <c r="J695" s="698">
        <f>Table2!F68+Table2!H68</f>
        <v>72395.950000000012</v>
      </c>
      <c r="K695" s="707">
        <f>((Table2!F68*Table2!G68)+(Table2!H68*Table2!I68))/J695</f>
        <v>79963.519224763266</v>
      </c>
      <c r="L695" s="751"/>
      <c r="M695" s="680"/>
      <c r="N695" s="751"/>
      <c r="O695" s="680"/>
      <c r="P695" s="698">
        <f>Table2!L68</f>
        <v>40987.360000000001</v>
      </c>
      <c r="Q695" s="707">
        <f>Table2!M68</f>
        <v>56377</v>
      </c>
      <c r="R695" s="704"/>
    </row>
    <row r="696" spans="1:18" x14ac:dyDescent="0.25">
      <c r="A696" s="241"/>
      <c r="B696" s="241"/>
      <c r="C696" s="241"/>
      <c r="D696" s="564"/>
      <c r="E696" s="629"/>
      <c r="F696" s="755">
        <f>F691-F694</f>
        <v>1.9999999974970706E-2</v>
      </c>
      <c r="G696" s="756"/>
      <c r="H696" s="755">
        <f>H691-H694</f>
        <v>9.999999999308784E-3</v>
      </c>
      <c r="I696" s="757"/>
      <c r="J696" s="755">
        <f>J691-J694</f>
        <v>9.9999999656574801E-3</v>
      </c>
      <c r="K696" s="757"/>
      <c r="L696" s="755">
        <f>L691-L694</f>
        <v>0</v>
      </c>
      <c r="M696" s="757"/>
      <c r="N696" s="755"/>
      <c r="O696" s="757"/>
      <c r="P696" s="755">
        <f>P691-P694</f>
        <v>1.0000000016589183E-2</v>
      </c>
      <c r="Q696" s="757"/>
      <c r="R696" s="704"/>
    </row>
    <row r="697" spans="1:18" x14ac:dyDescent="0.25">
      <c r="A697" s="241"/>
      <c r="B697" s="241"/>
      <c r="C697" s="241"/>
      <c r="D697" s="564"/>
      <c r="E697" s="565"/>
      <c r="F697" s="626"/>
      <c r="G697" s="627"/>
      <c r="H697" s="626"/>
      <c r="I697" s="627"/>
      <c r="J697" s="626"/>
      <c r="K697" s="627"/>
      <c r="L697" s="628"/>
      <c r="M697" s="694"/>
      <c r="N697" s="758" t="s">
        <v>178</v>
      </c>
      <c r="O697" s="759"/>
      <c r="P697" s="702"/>
      <c r="Q697" s="627"/>
    </row>
    <row r="698" spans="1:18" x14ac:dyDescent="0.25">
      <c r="A698" s="241"/>
      <c r="B698" s="241"/>
      <c r="C698" s="241"/>
      <c r="D698" s="564"/>
      <c r="E698" s="565"/>
      <c r="F698" s="575"/>
      <c r="G698" s="576"/>
      <c r="H698" s="575"/>
      <c r="I698" s="576"/>
      <c r="J698" s="575"/>
      <c r="K698" s="576"/>
      <c r="L698" s="577"/>
      <c r="M698" s="691"/>
      <c r="N698" s="666" t="s">
        <v>179</v>
      </c>
      <c r="O698" s="760">
        <f>N691+P691</f>
        <v>118691.85</v>
      </c>
      <c r="P698" s="635"/>
      <c r="Q698" s="576"/>
    </row>
    <row r="699" spans="1:18" x14ac:dyDescent="0.25">
      <c r="A699" s="241"/>
      <c r="B699" s="241"/>
      <c r="C699" s="241"/>
      <c r="D699" s="241"/>
      <c r="E699" s="241"/>
      <c r="F699" s="575"/>
      <c r="G699" s="576"/>
      <c r="H699" s="575"/>
      <c r="I699" s="576"/>
      <c r="J699" s="575"/>
      <c r="K699" s="576"/>
      <c r="L699" s="575"/>
      <c r="M699" s="691"/>
      <c r="N699" s="666" t="s">
        <v>177</v>
      </c>
      <c r="O699" s="760">
        <f>D689</f>
        <v>118691.85000000006</v>
      </c>
      <c r="P699" s="635"/>
      <c r="Q699" s="576"/>
    </row>
    <row r="700" spans="1:18" x14ac:dyDescent="0.25">
      <c r="A700" s="579"/>
      <c r="B700" s="241"/>
      <c r="C700" s="241"/>
      <c r="D700" s="241"/>
      <c r="E700" s="241"/>
      <c r="F700" s="575"/>
      <c r="G700" s="576"/>
      <c r="H700" s="575"/>
      <c r="I700" s="576"/>
      <c r="J700" s="575"/>
      <c r="K700" s="576"/>
      <c r="L700" s="575"/>
      <c r="M700" s="691"/>
      <c r="N700" s="712"/>
      <c r="O700" s="713">
        <v>0</v>
      </c>
      <c r="P700" s="635"/>
      <c r="Q700" s="576"/>
    </row>
    <row r="701" spans="1:18" ht="15" thickBot="1" x14ac:dyDescent="0.3">
      <c r="A701" s="579"/>
      <c r="B701" s="241"/>
      <c r="C701" s="241"/>
      <c r="D701" s="241"/>
      <c r="E701" s="241"/>
      <c r="F701" s="575"/>
      <c r="G701" s="576"/>
      <c r="H701" s="575"/>
      <c r="I701" s="576"/>
      <c r="J701" s="575"/>
      <c r="K701" s="576"/>
      <c r="L701" s="575"/>
      <c r="M701" s="578"/>
      <c r="N701" s="580"/>
      <c r="O701" s="581"/>
      <c r="P701" s="575"/>
      <c r="Q701" s="576"/>
    </row>
    <row r="702" spans="1:18" ht="15" thickTop="1" x14ac:dyDescent="0.25">
      <c r="A702" s="579"/>
      <c r="B702" s="241"/>
      <c r="C702" s="242"/>
      <c r="D702" s="582" t="s">
        <v>180</v>
      </c>
      <c r="E702" s="583"/>
      <c r="F702" s="584"/>
      <c r="G702" s="585"/>
      <c r="H702" s="584"/>
      <c r="I702" s="585"/>
      <c r="J702" s="584"/>
      <c r="K702" s="585"/>
      <c r="L702" s="584"/>
      <c r="M702" s="586"/>
      <c r="N702" s="584"/>
      <c r="O702" s="586"/>
      <c r="P702" s="584"/>
      <c r="Q702" s="587"/>
    </row>
    <row r="703" spans="1:18" x14ac:dyDescent="0.25">
      <c r="A703" s="579"/>
      <c r="B703" s="241"/>
      <c r="C703" s="242"/>
      <c r="D703" s="779">
        <v>12</v>
      </c>
      <c r="E703" s="589"/>
      <c r="F703" s="590">
        <f>F101</f>
        <v>138.34</v>
      </c>
      <c r="G703" s="591">
        <f t="shared" ref="G703:Q703" si="1">G101</f>
        <v>10082747.819999998</v>
      </c>
      <c r="H703" s="590">
        <f t="shared" si="1"/>
        <v>7</v>
      </c>
      <c r="I703" s="591">
        <f t="shared" si="1"/>
        <v>903861</v>
      </c>
      <c r="J703" s="590">
        <f t="shared" si="1"/>
        <v>131.34</v>
      </c>
      <c r="K703" s="591">
        <f t="shared" si="1"/>
        <v>9178886.8200000003</v>
      </c>
      <c r="L703" s="590">
        <f t="shared" si="1"/>
        <v>0</v>
      </c>
      <c r="M703" s="591">
        <f t="shared" si="1"/>
        <v>0</v>
      </c>
      <c r="N703" s="590">
        <f t="shared" si="1"/>
        <v>138.34</v>
      </c>
      <c r="O703" s="591">
        <f t="shared" si="1"/>
        <v>10082747.82</v>
      </c>
      <c r="P703" s="590">
        <f t="shared" si="1"/>
        <v>329.34999999999997</v>
      </c>
      <c r="Q703" s="592">
        <f t="shared" si="1"/>
        <v>17256538.309999999</v>
      </c>
    </row>
    <row r="704" spans="1:18" x14ac:dyDescent="0.25">
      <c r="A704" s="579"/>
      <c r="B704" s="241"/>
      <c r="C704" s="242"/>
      <c r="D704" s="588">
        <v>14</v>
      </c>
      <c r="E704" s="589"/>
      <c r="F704" s="590">
        <f>F106</f>
        <v>0</v>
      </c>
      <c r="G704" s="591">
        <f t="shared" ref="G704:Q704" si="2">G106</f>
        <v>0</v>
      </c>
      <c r="H704" s="590">
        <f t="shared" si="2"/>
        <v>0</v>
      </c>
      <c r="I704" s="591">
        <f t="shared" si="2"/>
        <v>0</v>
      </c>
      <c r="J704" s="590">
        <f t="shared" si="2"/>
        <v>0</v>
      </c>
      <c r="K704" s="591">
        <f t="shared" si="2"/>
        <v>0</v>
      </c>
      <c r="L704" s="590">
        <f t="shared" si="2"/>
        <v>0</v>
      </c>
      <c r="M704" s="591">
        <f t="shared" si="2"/>
        <v>0</v>
      </c>
      <c r="N704" s="590">
        <f t="shared" si="2"/>
        <v>0</v>
      </c>
      <c r="O704" s="591">
        <f t="shared" si="2"/>
        <v>0</v>
      </c>
      <c r="P704" s="590">
        <f t="shared" si="2"/>
        <v>0.23</v>
      </c>
      <c r="Q704" s="592">
        <f t="shared" si="2"/>
        <v>10724.810000000001</v>
      </c>
    </row>
    <row r="705" spans="1:17" x14ac:dyDescent="0.25">
      <c r="A705" s="579"/>
      <c r="B705" s="241"/>
      <c r="C705" s="242"/>
      <c r="D705" s="780">
        <v>19</v>
      </c>
      <c r="E705" s="589"/>
      <c r="F705" s="590">
        <f t="shared" ref="F705:Q705" si="3">F109</f>
        <v>0</v>
      </c>
      <c r="G705" s="591">
        <f t="shared" si="3"/>
        <v>0</v>
      </c>
      <c r="H705" s="590">
        <f t="shared" si="3"/>
        <v>0</v>
      </c>
      <c r="I705" s="591">
        <f t="shared" si="3"/>
        <v>0</v>
      </c>
      <c r="J705" s="590">
        <f t="shared" si="3"/>
        <v>0</v>
      </c>
      <c r="K705" s="591">
        <f t="shared" si="3"/>
        <v>0</v>
      </c>
      <c r="L705" s="590">
        <f t="shared" si="3"/>
        <v>0</v>
      </c>
      <c r="M705" s="591">
        <f t="shared" si="3"/>
        <v>0</v>
      </c>
      <c r="N705" s="590">
        <f t="shared" si="3"/>
        <v>0</v>
      </c>
      <c r="O705" s="591">
        <f t="shared" si="3"/>
        <v>0</v>
      </c>
      <c r="P705" s="590">
        <f t="shared" si="3"/>
        <v>1.4</v>
      </c>
      <c r="Q705" s="592">
        <f t="shared" si="3"/>
        <v>233272.19999999998</v>
      </c>
    </row>
    <row r="706" spans="1:17" x14ac:dyDescent="0.25">
      <c r="A706" s="579"/>
      <c r="B706" s="241"/>
      <c r="C706" s="242"/>
      <c r="D706" s="588">
        <v>38</v>
      </c>
      <c r="E706" s="589"/>
      <c r="F706" s="590">
        <f t="shared" ref="F706:Q706" si="4">F246</f>
        <v>4.38</v>
      </c>
      <c r="G706" s="591">
        <f t="shared" si="4"/>
        <v>358717</v>
      </c>
      <c r="H706" s="590">
        <f t="shared" si="4"/>
        <v>0</v>
      </c>
      <c r="I706" s="591">
        <f t="shared" si="4"/>
        <v>0</v>
      </c>
      <c r="J706" s="590">
        <f t="shared" si="4"/>
        <v>4.38</v>
      </c>
      <c r="K706" s="591">
        <f t="shared" si="4"/>
        <v>358717</v>
      </c>
      <c r="L706" s="590">
        <f t="shared" si="4"/>
        <v>0</v>
      </c>
      <c r="M706" s="591">
        <f t="shared" si="4"/>
        <v>0</v>
      </c>
      <c r="N706" s="590">
        <f t="shared" si="4"/>
        <v>4.38</v>
      </c>
      <c r="O706" s="591">
        <f t="shared" si="4"/>
        <v>358717</v>
      </c>
      <c r="P706" s="590">
        <f t="shared" si="4"/>
        <v>6.1999999999999993</v>
      </c>
      <c r="Q706" s="592">
        <f t="shared" si="4"/>
        <v>351189.74</v>
      </c>
    </row>
    <row r="707" spans="1:17" x14ac:dyDescent="0.25">
      <c r="A707" s="579"/>
      <c r="B707" s="241"/>
      <c r="C707" s="242"/>
      <c r="D707" s="588">
        <v>39</v>
      </c>
      <c r="E707" s="589"/>
      <c r="F707" s="590">
        <f t="shared" ref="F707:Q707" si="5">F250</f>
        <v>0</v>
      </c>
      <c r="G707" s="591">
        <f t="shared" si="5"/>
        <v>0</v>
      </c>
      <c r="H707" s="590">
        <f t="shared" si="5"/>
        <v>0</v>
      </c>
      <c r="I707" s="591">
        <f t="shared" si="5"/>
        <v>0</v>
      </c>
      <c r="J707" s="590">
        <f t="shared" si="5"/>
        <v>0</v>
      </c>
      <c r="K707" s="591">
        <f t="shared" si="5"/>
        <v>0</v>
      </c>
      <c r="L707" s="590">
        <f t="shared" si="5"/>
        <v>0</v>
      </c>
      <c r="M707" s="591">
        <f t="shared" si="5"/>
        <v>0</v>
      </c>
      <c r="N707" s="590">
        <f t="shared" si="5"/>
        <v>0</v>
      </c>
      <c r="O707" s="591">
        <f t="shared" si="5"/>
        <v>0</v>
      </c>
      <c r="P707" s="590">
        <f t="shared" si="5"/>
        <v>1.18</v>
      </c>
      <c r="Q707" s="592">
        <f t="shared" si="5"/>
        <v>104123.91</v>
      </c>
    </row>
    <row r="708" spans="1:17" x14ac:dyDescent="0.25">
      <c r="A708" s="579"/>
      <c r="B708" s="241"/>
      <c r="C708" s="242"/>
      <c r="D708" s="588">
        <v>46</v>
      </c>
      <c r="E708" s="589"/>
      <c r="F708" s="590">
        <f t="shared" ref="F708:Q708" si="6">F271</f>
        <v>0.4</v>
      </c>
      <c r="G708" s="591">
        <f t="shared" si="6"/>
        <v>36150.800000000003</v>
      </c>
      <c r="H708" s="590">
        <f t="shared" si="6"/>
        <v>0</v>
      </c>
      <c r="I708" s="591">
        <f t="shared" si="6"/>
        <v>0</v>
      </c>
      <c r="J708" s="590">
        <f t="shared" si="6"/>
        <v>0.4</v>
      </c>
      <c r="K708" s="591">
        <f t="shared" si="6"/>
        <v>36150.800000000003</v>
      </c>
      <c r="L708" s="590">
        <f t="shared" si="6"/>
        <v>0</v>
      </c>
      <c r="M708" s="591">
        <f t="shared" si="6"/>
        <v>0</v>
      </c>
      <c r="N708" s="590">
        <f t="shared" si="6"/>
        <v>0.4</v>
      </c>
      <c r="O708" s="591">
        <f t="shared" si="6"/>
        <v>36150.800000000003</v>
      </c>
      <c r="P708" s="590">
        <f t="shared" si="6"/>
        <v>0</v>
      </c>
      <c r="Q708" s="592">
        <f t="shared" si="6"/>
        <v>0</v>
      </c>
    </row>
    <row r="709" spans="1:17" x14ac:dyDescent="0.25">
      <c r="A709" s="579"/>
      <c r="B709" s="241"/>
      <c r="C709" s="242"/>
      <c r="D709" s="588">
        <v>52</v>
      </c>
      <c r="E709" s="589"/>
      <c r="F709" s="590">
        <f t="shared" ref="F709:Q709" si="7">F318</f>
        <v>164.17000000000002</v>
      </c>
      <c r="G709" s="591">
        <f t="shared" si="7"/>
        <v>14967804.079999998</v>
      </c>
      <c r="H709" s="590">
        <f t="shared" si="7"/>
        <v>15.229999999999999</v>
      </c>
      <c r="I709" s="591">
        <f t="shared" si="7"/>
        <v>1715639.74</v>
      </c>
      <c r="J709" s="590">
        <f t="shared" si="7"/>
        <v>148.56000000000003</v>
      </c>
      <c r="K709" s="591">
        <f t="shared" si="7"/>
        <v>13241685.08</v>
      </c>
      <c r="L709" s="590">
        <f t="shared" si="7"/>
        <v>0.38</v>
      </c>
      <c r="M709" s="591">
        <f t="shared" si="7"/>
        <v>10479.26</v>
      </c>
      <c r="N709" s="590">
        <f t="shared" si="7"/>
        <v>164.17000000000002</v>
      </c>
      <c r="O709" s="591">
        <f t="shared" si="7"/>
        <v>14967804.08</v>
      </c>
      <c r="P709" s="590">
        <f t="shared" si="7"/>
        <v>44.470000000000006</v>
      </c>
      <c r="Q709" s="592">
        <f t="shared" si="7"/>
        <v>2446787.0399999996</v>
      </c>
    </row>
    <row r="710" spans="1:17" x14ac:dyDescent="0.25">
      <c r="A710" s="579"/>
      <c r="B710" s="241"/>
      <c r="C710" s="242"/>
      <c r="D710" s="588">
        <v>53</v>
      </c>
      <c r="E710" s="589"/>
      <c r="F710" s="590">
        <f t="shared" ref="F710:Q710" si="8">F337</f>
        <v>30.950000000000003</v>
      </c>
      <c r="G710" s="591">
        <f t="shared" si="8"/>
        <v>2579805.7600000002</v>
      </c>
      <c r="H710" s="590">
        <f t="shared" si="8"/>
        <v>6.19</v>
      </c>
      <c r="I710" s="591">
        <f t="shared" si="8"/>
        <v>743128.34000000008</v>
      </c>
      <c r="J710" s="590">
        <f t="shared" si="8"/>
        <v>24.759999999999998</v>
      </c>
      <c r="K710" s="591">
        <f t="shared" si="8"/>
        <v>1836677.4200000002</v>
      </c>
      <c r="L710" s="590">
        <f t="shared" si="8"/>
        <v>0</v>
      </c>
      <c r="M710" s="591">
        <f t="shared" si="8"/>
        <v>0</v>
      </c>
      <c r="N710" s="590">
        <f t="shared" si="8"/>
        <v>30.95</v>
      </c>
      <c r="O710" s="591">
        <f t="shared" si="8"/>
        <v>2579805.7600000002</v>
      </c>
      <c r="P710" s="590">
        <f t="shared" si="8"/>
        <v>138.12</v>
      </c>
      <c r="Q710" s="592">
        <f t="shared" si="8"/>
        <v>6811002.0099999998</v>
      </c>
    </row>
    <row r="711" spans="1:17" x14ac:dyDescent="0.25">
      <c r="A711" s="579"/>
      <c r="B711" s="241"/>
      <c r="C711" s="242"/>
      <c r="D711" s="588">
        <v>54</v>
      </c>
      <c r="E711" s="589"/>
      <c r="F711" s="590">
        <f>F340</f>
        <v>0</v>
      </c>
      <c r="G711" s="591">
        <f t="shared" ref="G711:Q711" si="9">G340</f>
        <v>0</v>
      </c>
      <c r="H711" s="590">
        <f t="shared" si="9"/>
        <v>0</v>
      </c>
      <c r="I711" s="591">
        <f t="shared" si="9"/>
        <v>0</v>
      </c>
      <c r="J711" s="590">
        <f t="shared" si="9"/>
        <v>0</v>
      </c>
      <c r="K711" s="591">
        <f t="shared" si="9"/>
        <v>0</v>
      </c>
      <c r="L711" s="590">
        <f t="shared" si="9"/>
        <v>0</v>
      </c>
      <c r="M711" s="591">
        <f t="shared" si="9"/>
        <v>0</v>
      </c>
      <c r="N711" s="590">
        <f t="shared" si="9"/>
        <v>0</v>
      </c>
      <c r="O711" s="591">
        <f t="shared" si="9"/>
        <v>0</v>
      </c>
      <c r="P711" s="590">
        <f t="shared" si="9"/>
        <v>0.14000000000000001</v>
      </c>
      <c r="Q711" s="592">
        <f t="shared" si="9"/>
        <v>7041.5800000000008</v>
      </c>
    </row>
    <row r="712" spans="1:17" x14ac:dyDescent="0.25">
      <c r="A712" s="579"/>
      <c r="B712" s="241"/>
      <c r="C712" s="242"/>
      <c r="D712" s="588">
        <v>57</v>
      </c>
      <c r="E712" s="589"/>
      <c r="F712" s="590">
        <f t="shared" ref="F712:Q712" si="10">F388</f>
        <v>4.71</v>
      </c>
      <c r="G712" s="591">
        <f t="shared" si="10"/>
        <v>385795.91000000003</v>
      </c>
      <c r="H712" s="590">
        <f t="shared" si="10"/>
        <v>0.14000000000000001</v>
      </c>
      <c r="I712" s="591">
        <f t="shared" si="10"/>
        <v>17075.100000000002</v>
      </c>
      <c r="J712" s="590">
        <f t="shared" si="10"/>
        <v>4.5699999999999994</v>
      </c>
      <c r="K712" s="591">
        <f t="shared" si="10"/>
        <v>368720.81</v>
      </c>
      <c r="L712" s="590">
        <f t="shared" si="10"/>
        <v>0</v>
      </c>
      <c r="M712" s="591">
        <f t="shared" si="10"/>
        <v>0</v>
      </c>
      <c r="N712" s="590">
        <f t="shared" si="10"/>
        <v>4.7099999999999991</v>
      </c>
      <c r="O712" s="591">
        <f t="shared" si="10"/>
        <v>385795.91</v>
      </c>
      <c r="P712" s="590">
        <f t="shared" si="10"/>
        <v>13.379999999999999</v>
      </c>
      <c r="Q712" s="592">
        <f t="shared" si="10"/>
        <v>689622.14999999991</v>
      </c>
    </row>
    <row r="713" spans="1:17" x14ac:dyDescent="0.25">
      <c r="A713" s="579"/>
      <c r="B713" s="241"/>
      <c r="C713" s="241"/>
      <c r="D713" s="588">
        <v>58</v>
      </c>
      <c r="E713" s="589"/>
      <c r="F713" s="590">
        <f t="shared" ref="F713:Q713" si="11">F407</f>
        <v>43.31</v>
      </c>
      <c r="G713" s="591">
        <f t="shared" si="11"/>
        <v>4165844.3</v>
      </c>
      <c r="H713" s="590">
        <f t="shared" si="11"/>
        <v>6.34</v>
      </c>
      <c r="I713" s="591">
        <f t="shared" si="11"/>
        <v>862577.26</v>
      </c>
      <c r="J713" s="590">
        <f t="shared" si="11"/>
        <v>36.97</v>
      </c>
      <c r="K713" s="591">
        <f t="shared" si="11"/>
        <v>3303267.0399999996</v>
      </c>
      <c r="L713" s="590">
        <f t="shared" si="11"/>
        <v>0</v>
      </c>
      <c r="M713" s="591">
        <f t="shared" si="11"/>
        <v>0</v>
      </c>
      <c r="N713" s="590">
        <f t="shared" si="11"/>
        <v>43.31</v>
      </c>
      <c r="O713" s="591">
        <f t="shared" si="11"/>
        <v>4165844.3</v>
      </c>
      <c r="P713" s="590">
        <f t="shared" si="11"/>
        <v>58.070000000000007</v>
      </c>
      <c r="Q713" s="592">
        <f t="shared" si="11"/>
        <v>2843999.9800000004</v>
      </c>
    </row>
    <row r="714" spans="1:17" x14ac:dyDescent="0.25">
      <c r="A714" s="579"/>
      <c r="B714" s="241"/>
      <c r="C714" s="241"/>
      <c r="D714" s="588">
        <v>61</v>
      </c>
      <c r="E714" s="589"/>
      <c r="F714" s="590">
        <f t="shared" ref="F714:Q714" si="12">F423</f>
        <v>9.61</v>
      </c>
      <c r="G714" s="591">
        <f t="shared" si="12"/>
        <v>827706.1100000001</v>
      </c>
      <c r="H714" s="590">
        <f t="shared" si="12"/>
        <v>0.21000000000000002</v>
      </c>
      <c r="I714" s="591">
        <f t="shared" si="12"/>
        <v>29080.91</v>
      </c>
      <c r="J714" s="590">
        <f t="shared" si="12"/>
        <v>9.4</v>
      </c>
      <c r="K714" s="591">
        <f t="shared" si="12"/>
        <v>798625.20000000007</v>
      </c>
      <c r="L714" s="590">
        <f t="shared" si="12"/>
        <v>0</v>
      </c>
      <c r="M714" s="591">
        <f t="shared" si="12"/>
        <v>0</v>
      </c>
      <c r="N714" s="590">
        <f t="shared" si="12"/>
        <v>9.6100000000000012</v>
      </c>
      <c r="O714" s="591">
        <f t="shared" si="12"/>
        <v>827706.1100000001</v>
      </c>
      <c r="P714" s="590">
        <f t="shared" si="12"/>
        <v>155.91999999999999</v>
      </c>
      <c r="Q714" s="592">
        <f t="shared" si="12"/>
        <v>9186838.959999999</v>
      </c>
    </row>
    <row r="715" spans="1:17" x14ac:dyDescent="0.25">
      <c r="A715" s="579"/>
      <c r="B715" s="241"/>
      <c r="C715" s="241"/>
      <c r="D715" s="588">
        <v>62</v>
      </c>
      <c r="E715" s="589"/>
      <c r="F715" s="590">
        <f t="shared" ref="F715:Q715" si="13">F426</f>
        <v>0.25</v>
      </c>
      <c r="G715" s="591">
        <f t="shared" si="13"/>
        <v>35906</v>
      </c>
      <c r="H715" s="590">
        <f t="shared" si="13"/>
        <v>0.25</v>
      </c>
      <c r="I715" s="591">
        <f t="shared" si="13"/>
        <v>35906</v>
      </c>
      <c r="J715" s="590">
        <f t="shared" si="13"/>
        <v>0</v>
      </c>
      <c r="K715" s="591">
        <f t="shared" si="13"/>
        <v>0</v>
      </c>
      <c r="L715" s="590">
        <f t="shared" si="13"/>
        <v>0</v>
      </c>
      <c r="M715" s="591">
        <f t="shared" si="13"/>
        <v>0</v>
      </c>
      <c r="N715" s="590">
        <f t="shared" si="13"/>
        <v>0.25</v>
      </c>
      <c r="O715" s="591">
        <f t="shared" si="13"/>
        <v>35906</v>
      </c>
      <c r="P715" s="590">
        <f t="shared" si="13"/>
        <v>0</v>
      </c>
      <c r="Q715" s="592">
        <f t="shared" si="13"/>
        <v>0</v>
      </c>
    </row>
    <row r="716" spans="1:17" x14ac:dyDescent="0.25">
      <c r="A716" s="579"/>
      <c r="B716" s="241"/>
      <c r="C716" s="241"/>
      <c r="D716" s="588">
        <v>64</v>
      </c>
      <c r="E716" s="589"/>
      <c r="F716" s="590">
        <f t="shared" ref="F716:Q716" si="14">F440</f>
        <v>53.489999999999995</v>
      </c>
      <c r="G716" s="591">
        <f t="shared" si="14"/>
        <v>4787993.76</v>
      </c>
      <c r="H716" s="590">
        <f t="shared" si="14"/>
        <v>0.73</v>
      </c>
      <c r="I716" s="591">
        <f t="shared" si="14"/>
        <v>90076.09</v>
      </c>
      <c r="J716" s="590">
        <f t="shared" si="14"/>
        <v>52.76</v>
      </c>
      <c r="K716" s="591">
        <f t="shared" si="14"/>
        <v>4697917.67</v>
      </c>
      <c r="L716" s="590">
        <f t="shared" si="14"/>
        <v>0</v>
      </c>
      <c r="M716" s="591">
        <f t="shared" si="14"/>
        <v>0</v>
      </c>
      <c r="N716" s="590">
        <f t="shared" si="14"/>
        <v>53.489999999999995</v>
      </c>
      <c r="O716" s="591">
        <f t="shared" si="14"/>
        <v>4787993.76</v>
      </c>
      <c r="P716" s="590">
        <f t="shared" si="14"/>
        <v>13.450000000000003</v>
      </c>
      <c r="Q716" s="592">
        <f t="shared" si="14"/>
        <v>676316.43</v>
      </c>
    </row>
    <row r="717" spans="1:17" x14ac:dyDescent="0.25">
      <c r="A717" s="579"/>
      <c r="B717" s="241"/>
      <c r="C717" s="241"/>
      <c r="D717" s="588">
        <v>67</v>
      </c>
      <c r="E717" s="589"/>
      <c r="F717" s="590">
        <f t="shared" ref="F717:Q717" si="15">F465</f>
        <v>0</v>
      </c>
      <c r="G717" s="591">
        <f t="shared" si="15"/>
        <v>0</v>
      </c>
      <c r="H717" s="590">
        <f t="shared" si="15"/>
        <v>0</v>
      </c>
      <c r="I717" s="591">
        <f t="shared" si="15"/>
        <v>0</v>
      </c>
      <c r="J717" s="590">
        <f t="shared" si="15"/>
        <v>0</v>
      </c>
      <c r="K717" s="591">
        <f t="shared" si="15"/>
        <v>0</v>
      </c>
      <c r="L717" s="590">
        <f t="shared" si="15"/>
        <v>0</v>
      </c>
      <c r="M717" s="591">
        <f t="shared" si="15"/>
        <v>0</v>
      </c>
      <c r="N717" s="590">
        <f t="shared" si="15"/>
        <v>0</v>
      </c>
      <c r="O717" s="591">
        <f t="shared" si="15"/>
        <v>0</v>
      </c>
      <c r="P717" s="590">
        <f t="shared" si="15"/>
        <v>0.38</v>
      </c>
      <c r="Q717" s="592">
        <f t="shared" si="15"/>
        <v>15265.8</v>
      </c>
    </row>
    <row r="718" spans="1:17" x14ac:dyDescent="0.25">
      <c r="A718" s="579"/>
      <c r="B718" s="241"/>
      <c r="C718" s="241"/>
      <c r="D718" s="588">
        <v>68</v>
      </c>
      <c r="E718" s="589"/>
      <c r="F718" s="590">
        <f t="shared" ref="F718:Q718" si="16">F483</f>
        <v>22.45</v>
      </c>
      <c r="G718" s="591">
        <f t="shared" si="16"/>
        <v>1886462.51</v>
      </c>
      <c r="H718" s="590">
        <f t="shared" si="16"/>
        <v>5.29</v>
      </c>
      <c r="I718" s="591">
        <f t="shared" si="16"/>
        <v>607632.95000000007</v>
      </c>
      <c r="J718" s="590">
        <f t="shared" si="16"/>
        <v>17.16</v>
      </c>
      <c r="K718" s="591">
        <f t="shared" si="16"/>
        <v>1278829.56</v>
      </c>
      <c r="L718" s="590">
        <f t="shared" si="16"/>
        <v>0</v>
      </c>
      <c r="M718" s="591">
        <f t="shared" si="16"/>
        <v>0</v>
      </c>
      <c r="N718" s="590">
        <f t="shared" si="16"/>
        <v>22.45</v>
      </c>
      <c r="O718" s="591">
        <f t="shared" si="16"/>
        <v>1886462.5100000002</v>
      </c>
      <c r="P718" s="590">
        <f t="shared" si="16"/>
        <v>79.930000000000007</v>
      </c>
      <c r="Q718" s="592">
        <f t="shared" si="16"/>
        <v>4760823.4700000007</v>
      </c>
    </row>
    <row r="719" spans="1:17" x14ac:dyDescent="0.25">
      <c r="A719" s="579"/>
      <c r="B719" s="241"/>
      <c r="C719" s="241"/>
      <c r="D719" s="588">
        <v>69</v>
      </c>
      <c r="E719" s="589"/>
      <c r="F719" s="590">
        <f t="shared" ref="F719:Q719" si="17">F498</f>
        <v>11.420000000000002</v>
      </c>
      <c r="G719" s="591">
        <f t="shared" si="17"/>
        <v>861097.54</v>
      </c>
      <c r="H719" s="590">
        <f t="shared" si="17"/>
        <v>0.83000000000000007</v>
      </c>
      <c r="I719" s="591">
        <f t="shared" si="17"/>
        <v>105594.70999999999</v>
      </c>
      <c r="J719" s="590">
        <f t="shared" si="17"/>
        <v>10.59</v>
      </c>
      <c r="K719" s="591">
        <f t="shared" si="17"/>
        <v>755502.83000000007</v>
      </c>
      <c r="L719" s="590">
        <f t="shared" si="17"/>
        <v>0</v>
      </c>
      <c r="M719" s="591">
        <f t="shared" si="17"/>
        <v>0</v>
      </c>
      <c r="N719" s="590">
        <f t="shared" si="17"/>
        <v>11.42</v>
      </c>
      <c r="O719" s="591">
        <f t="shared" si="17"/>
        <v>861097.54</v>
      </c>
      <c r="P719" s="590">
        <f t="shared" si="17"/>
        <v>48.83</v>
      </c>
      <c r="Q719" s="592">
        <f t="shared" si="17"/>
        <v>3790020.9499999997</v>
      </c>
    </row>
    <row r="720" spans="1:17" x14ac:dyDescent="0.25">
      <c r="A720" s="579"/>
      <c r="B720" s="241"/>
      <c r="C720" s="241"/>
      <c r="D720" s="588">
        <v>71</v>
      </c>
      <c r="E720" s="589"/>
      <c r="F720" s="590">
        <f t="shared" ref="F720:Q720" si="18">F503</f>
        <v>0.89</v>
      </c>
      <c r="G720" s="591">
        <f t="shared" si="18"/>
        <v>69751.08</v>
      </c>
      <c r="H720" s="590">
        <f t="shared" si="18"/>
        <v>0</v>
      </c>
      <c r="I720" s="591">
        <f t="shared" si="18"/>
        <v>0</v>
      </c>
      <c r="J720" s="590">
        <f t="shared" si="18"/>
        <v>0.89</v>
      </c>
      <c r="K720" s="591">
        <f t="shared" si="18"/>
        <v>69751.08</v>
      </c>
      <c r="L720" s="590">
        <f t="shared" si="18"/>
        <v>0</v>
      </c>
      <c r="M720" s="591">
        <f t="shared" si="18"/>
        <v>0</v>
      </c>
      <c r="N720" s="590">
        <f t="shared" si="18"/>
        <v>0.89</v>
      </c>
      <c r="O720" s="591">
        <f t="shared" si="18"/>
        <v>69751.08</v>
      </c>
      <c r="P720" s="590">
        <f t="shared" si="18"/>
        <v>1.08</v>
      </c>
      <c r="Q720" s="592">
        <f t="shared" si="18"/>
        <v>66902.12</v>
      </c>
    </row>
    <row r="721" spans="1:17" x14ac:dyDescent="0.25">
      <c r="A721" s="579"/>
      <c r="B721" s="241"/>
      <c r="C721" s="241"/>
      <c r="D721" s="588">
        <v>73</v>
      </c>
      <c r="E721" s="589"/>
      <c r="F721" s="590">
        <f t="shared" ref="F721:Q721" si="19">F508</f>
        <v>0.2</v>
      </c>
      <c r="G721" s="591">
        <f t="shared" si="19"/>
        <v>20104</v>
      </c>
      <c r="H721" s="590">
        <f t="shared" si="19"/>
        <v>0</v>
      </c>
      <c r="I721" s="591">
        <f t="shared" si="19"/>
        <v>0</v>
      </c>
      <c r="J721" s="590">
        <f t="shared" si="19"/>
        <v>0.2</v>
      </c>
      <c r="K721" s="591">
        <f t="shared" si="19"/>
        <v>20104</v>
      </c>
      <c r="L721" s="590">
        <f t="shared" si="19"/>
        <v>0</v>
      </c>
      <c r="M721" s="591">
        <f t="shared" si="19"/>
        <v>0</v>
      </c>
      <c r="N721" s="590">
        <f t="shared" si="19"/>
        <v>0.2</v>
      </c>
      <c r="O721" s="591">
        <f t="shared" si="19"/>
        <v>20104</v>
      </c>
      <c r="P721" s="590">
        <f t="shared" si="19"/>
        <v>0.91</v>
      </c>
      <c r="Q721" s="592">
        <f t="shared" si="19"/>
        <v>55272.07</v>
      </c>
    </row>
    <row r="722" spans="1:17" x14ac:dyDescent="0.25">
      <c r="A722" s="579"/>
      <c r="B722" s="241"/>
      <c r="C722" s="241"/>
      <c r="D722" s="588">
        <v>76</v>
      </c>
      <c r="E722" s="589"/>
      <c r="F722" s="590">
        <f t="shared" ref="F722:Q722" si="20">F538</f>
        <v>8.129999999999999</v>
      </c>
      <c r="G722" s="591">
        <f t="shared" si="20"/>
        <v>609098.13</v>
      </c>
      <c r="H722" s="590">
        <f t="shared" si="20"/>
        <v>2.5499999999999998</v>
      </c>
      <c r="I722" s="591">
        <f t="shared" si="20"/>
        <v>242090.85</v>
      </c>
      <c r="J722" s="590">
        <f t="shared" si="20"/>
        <v>5.580000000000001</v>
      </c>
      <c r="K722" s="591">
        <f t="shared" si="20"/>
        <v>367007.28</v>
      </c>
      <c r="L722" s="590">
        <f t="shared" si="20"/>
        <v>0</v>
      </c>
      <c r="M722" s="591">
        <f t="shared" si="20"/>
        <v>0</v>
      </c>
      <c r="N722" s="590">
        <f t="shared" si="20"/>
        <v>8.1300000000000008</v>
      </c>
      <c r="O722" s="591">
        <f t="shared" si="20"/>
        <v>609098.13</v>
      </c>
      <c r="P722" s="590">
        <f t="shared" si="20"/>
        <v>2.4699999999999998</v>
      </c>
      <c r="Q722" s="592">
        <f t="shared" si="20"/>
        <v>117034.05</v>
      </c>
    </row>
    <row r="723" spans="1:17" x14ac:dyDescent="0.25">
      <c r="A723" s="579"/>
      <c r="B723" s="241"/>
      <c r="C723" s="241"/>
      <c r="D723" s="588">
        <v>78</v>
      </c>
      <c r="E723" s="589"/>
      <c r="F723" s="590">
        <f t="shared" ref="F723:Q723" si="21">F543</f>
        <v>1.4</v>
      </c>
      <c r="G723" s="591">
        <f t="shared" si="21"/>
        <v>117665.79999999999</v>
      </c>
      <c r="H723" s="590">
        <f t="shared" si="21"/>
        <v>0</v>
      </c>
      <c r="I723" s="591">
        <f t="shared" si="21"/>
        <v>0</v>
      </c>
      <c r="J723" s="590">
        <f t="shared" si="21"/>
        <v>1.4</v>
      </c>
      <c r="K723" s="591">
        <f t="shared" si="21"/>
        <v>117665.79999999999</v>
      </c>
      <c r="L723" s="590">
        <f t="shared" si="21"/>
        <v>0</v>
      </c>
      <c r="M723" s="591">
        <f t="shared" si="21"/>
        <v>0</v>
      </c>
      <c r="N723" s="590">
        <f t="shared" si="21"/>
        <v>1.4</v>
      </c>
      <c r="O723" s="591">
        <f t="shared" si="21"/>
        <v>117665.79999999999</v>
      </c>
      <c r="P723" s="590">
        <f t="shared" si="21"/>
        <v>2</v>
      </c>
      <c r="Q723" s="592">
        <f t="shared" si="21"/>
        <v>89765</v>
      </c>
    </row>
    <row r="724" spans="1:17" x14ac:dyDescent="0.25">
      <c r="A724" s="579"/>
      <c r="B724" s="241"/>
      <c r="C724" s="241"/>
      <c r="D724" s="588">
        <v>79</v>
      </c>
      <c r="E724" s="589"/>
      <c r="F724" s="590">
        <f t="shared" ref="F724:Q724" si="22">F571</f>
        <v>204.60999999999996</v>
      </c>
      <c r="G724" s="591">
        <f t="shared" si="22"/>
        <v>16853291.669999998</v>
      </c>
      <c r="H724" s="590">
        <f t="shared" si="22"/>
        <v>14.25</v>
      </c>
      <c r="I724" s="591">
        <f t="shared" si="22"/>
        <v>1721695.44</v>
      </c>
      <c r="J724" s="590">
        <f t="shared" si="22"/>
        <v>175.65999999999997</v>
      </c>
      <c r="K724" s="591">
        <f t="shared" si="22"/>
        <v>13733243.43</v>
      </c>
      <c r="L724" s="590">
        <f t="shared" si="22"/>
        <v>14.7</v>
      </c>
      <c r="M724" s="591">
        <f t="shared" si="22"/>
        <v>1398352.8</v>
      </c>
      <c r="N724" s="590">
        <f t="shared" si="22"/>
        <v>204.60999999999996</v>
      </c>
      <c r="O724" s="591">
        <f t="shared" si="22"/>
        <v>16853291.669999998</v>
      </c>
      <c r="P724" s="590">
        <f t="shared" si="22"/>
        <v>297.24</v>
      </c>
      <c r="Q724" s="592">
        <f t="shared" si="22"/>
        <v>19064262.990000002</v>
      </c>
    </row>
    <row r="725" spans="1:17" x14ac:dyDescent="0.25">
      <c r="A725" s="579"/>
      <c r="B725" s="241"/>
      <c r="C725" s="241"/>
      <c r="D725" s="588">
        <v>81</v>
      </c>
      <c r="E725" s="589"/>
      <c r="F725" s="590">
        <f t="shared" ref="F725:Q725" si="23">F578</f>
        <v>0</v>
      </c>
      <c r="G725" s="591">
        <f t="shared" si="23"/>
        <v>0</v>
      </c>
      <c r="H725" s="590">
        <f t="shared" si="23"/>
        <v>0</v>
      </c>
      <c r="I725" s="591">
        <f t="shared" si="23"/>
        <v>0</v>
      </c>
      <c r="J725" s="590">
        <f t="shared" si="23"/>
        <v>0</v>
      </c>
      <c r="K725" s="591">
        <f t="shared" si="23"/>
        <v>0</v>
      </c>
      <c r="L725" s="590">
        <f t="shared" si="23"/>
        <v>0</v>
      </c>
      <c r="M725" s="591">
        <f t="shared" si="23"/>
        <v>0</v>
      </c>
      <c r="N725" s="590">
        <f t="shared" si="23"/>
        <v>0</v>
      </c>
      <c r="O725" s="591">
        <f t="shared" si="23"/>
        <v>0</v>
      </c>
      <c r="P725" s="590">
        <f t="shared" si="23"/>
        <v>11.62</v>
      </c>
      <c r="Q725" s="592">
        <f t="shared" si="23"/>
        <v>870259.22</v>
      </c>
    </row>
    <row r="726" spans="1:17" x14ac:dyDescent="0.25">
      <c r="A726" s="579"/>
      <c r="B726" s="241"/>
      <c r="C726" s="241"/>
      <c r="D726" s="588">
        <v>86</v>
      </c>
      <c r="E726" s="589"/>
      <c r="F726" s="590">
        <f t="shared" ref="F726:Q726" si="24">F587</f>
        <v>1.45</v>
      </c>
      <c r="G726" s="591">
        <f t="shared" si="24"/>
        <v>151771.4</v>
      </c>
      <c r="H726" s="590">
        <f t="shared" si="24"/>
        <v>0.25</v>
      </c>
      <c r="I726" s="591">
        <f t="shared" si="24"/>
        <v>34319</v>
      </c>
      <c r="J726" s="590">
        <f t="shared" si="24"/>
        <v>1.2</v>
      </c>
      <c r="K726" s="591">
        <f t="shared" si="24"/>
        <v>117452.4</v>
      </c>
      <c r="L726" s="590">
        <f t="shared" si="24"/>
        <v>0</v>
      </c>
      <c r="M726" s="591">
        <f t="shared" si="24"/>
        <v>0</v>
      </c>
      <c r="N726" s="590">
        <f t="shared" si="24"/>
        <v>1.45</v>
      </c>
      <c r="O726" s="591">
        <f t="shared" si="24"/>
        <v>151771.4</v>
      </c>
      <c r="P726" s="590">
        <f t="shared" si="24"/>
        <v>16.259999999999998</v>
      </c>
      <c r="Q726" s="592">
        <f t="shared" si="24"/>
        <v>1102797.2</v>
      </c>
    </row>
    <row r="727" spans="1:17" x14ac:dyDescent="0.25">
      <c r="A727" s="579"/>
      <c r="B727" s="241"/>
      <c r="C727" s="241"/>
      <c r="D727" s="588">
        <v>88</v>
      </c>
      <c r="E727" s="589"/>
      <c r="F727" s="590">
        <f t="shared" ref="F727:Q727" si="25">F605</f>
        <v>61.84</v>
      </c>
      <c r="G727" s="591">
        <f t="shared" si="25"/>
        <v>5000703.5999999987</v>
      </c>
      <c r="H727" s="590">
        <f t="shared" si="25"/>
        <v>7.17</v>
      </c>
      <c r="I727" s="591">
        <f t="shared" si="25"/>
        <v>888144.03999999992</v>
      </c>
      <c r="J727" s="590">
        <f t="shared" si="25"/>
        <v>54.67</v>
      </c>
      <c r="K727" s="591">
        <f t="shared" si="25"/>
        <v>4112559.5599999996</v>
      </c>
      <c r="L727" s="590">
        <f t="shared" si="25"/>
        <v>0</v>
      </c>
      <c r="M727" s="591">
        <f t="shared" si="25"/>
        <v>0</v>
      </c>
      <c r="N727" s="590">
        <f t="shared" si="25"/>
        <v>61.84</v>
      </c>
      <c r="O727" s="591">
        <f t="shared" si="25"/>
        <v>5000703.5999999996</v>
      </c>
      <c r="P727" s="590">
        <f t="shared" si="25"/>
        <v>618.07000000000005</v>
      </c>
      <c r="Q727" s="592">
        <f t="shared" si="25"/>
        <v>32049499.869999997</v>
      </c>
    </row>
    <row r="728" spans="1:17" x14ac:dyDescent="0.25">
      <c r="A728" s="242"/>
      <c r="B728" s="242"/>
      <c r="C728" s="242"/>
      <c r="D728" s="588">
        <v>89</v>
      </c>
      <c r="E728" s="589"/>
      <c r="F728" s="590">
        <f t="shared" ref="F728:Q728" si="26">F623</f>
        <v>14.190000000000001</v>
      </c>
      <c r="G728" s="591">
        <f t="shared" si="26"/>
        <v>1434339.3499999999</v>
      </c>
      <c r="H728" s="590">
        <f t="shared" si="26"/>
        <v>3.2399999999999998</v>
      </c>
      <c r="I728" s="591">
        <f t="shared" si="26"/>
        <v>425035.14999999997</v>
      </c>
      <c r="J728" s="590">
        <f t="shared" si="26"/>
        <v>6.65</v>
      </c>
      <c r="K728" s="591">
        <f t="shared" si="26"/>
        <v>532176.19999999995</v>
      </c>
      <c r="L728" s="590">
        <f t="shared" si="26"/>
        <v>4.3</v>
      </c>
      <c r="M728" s="591">
        <f t="shared" si="26"/>
        <v>477128</v>
      </c>
      <c r="N728" s="590">
        <f t="shared" si="26"/>
        <v>14.190000000000001</v>
      </c>
      <c r="O728" s="591">
        <f t="shared" si="26"/>
        <v>1434339.3499999999</v>
      </c>
      <c r="P728" s="590">
        <f t="shared" si="26"/>
        <v>190.37</v>
      </c>
      <c r="Q728" s="592">
        <f t="shared" si="26"/>
        <v>11999667.039999999</v>
      </c>
    </row>
    <row r="729" spans="1:17" x14ac:dyDescent="0.25">
      <c r="A729" s="242"/>
      <c r="B729" s="242"/>
      <c r="C729" s="242"/>
      <c r="D729" s="593" t="s">
        <v>154</v>
      </c>
      <c r="E729" s="589"/>
      <c r="F729" s="590">
        <f t="shared" ref="F729:Q729" si="27">F685</f>
        <v>24.35</v>
      </c>
      <c r="G729" s="591">
        <f t="shared" si="27"/>
        <v>3002665.65</v>
      </c>
      <c r="H729" s="590">
        <f t="shared" si="27"/>
        <v>7.9499999999999993</v>
      </c>
      <c r="I729" s="591">
        <f t="shared" si="27"/>
        <v>1269992.45</v>
      </c>
      <c r="J729" s="590">
        <f t="shared" si="27"/>
        <v>16.399999999999999</v>
      </c>
      <c r="K729" s="591">
        <f t="shared" si="27"/>
        <v>1732673.2</v>
      </c>
      <c r="L729" s="590">
        <f t="shared" si="27"/>
        <v>0</v>
      </c>
      <c r="M729" s="591">
        <f t="shared" si="27"/>
        <v>0</v>
      </c>
      <c r="N729" s="590">
        <f t="shared" si="27"/>
        <v>24.349999999999998</v>
      </c>
      <c r="O729" s="591">
        <f t="shared" si="27"/>
        <v>3002665.65</v>
      </c>
      <c r="P729" s="590">
        <f t="shared" si="27"/>
        <v>349.18</v>
      </c>
      <c r="Q729" s="592">
        <f t="shared" si="27"/>
        <v>36743221.260000005</v>
      </c>
    </row>
    <row r="730" spans="1:17" x14ac:dyDescent="0.25">
      <c r="A730" s="242"/>
      <c r="B730" s="242"/>
      <c r="C730" s="242"/>
      <c r="D730" s="593" t="s">
        <v>156</v>
      </c>
      <c r="E730" s="589"/>
      <c r="F730" s="590">
        <f t="shared" ref="F730:Q730" si="28">F688</f>
        <v>0</v>
      </c>
      <c r="G730" s="591">
        <f t="shared" si="28"/>
        <v>0</v>
      </c>
      <c r="H730" s="590">
        <f t="shared" si="28"/>
        <v>0</v>
      </c>
      <c r="I730" s="591">
        <f t="shared" si="28"/>
        <v>0</v>
      </c>
      <c r="J730" s="590">
        <f t="shared" si="28"/>
        <v>0</v>
      </c>
      <c r="K730" s="591">
        <f t="shared" si="28"/>
        <v>0</v>
      </c>
      <c r="L730" s="590">
        <f t="shared" si="28"/>
        <v>0</v>
      </c>
      <c r="M730" s="591">
        <f t="shared" si="28"/>
        <v>0</v>
      </c>
      <c r="N730" s="590">
        <f t="shared" si="28"/>
        <v>0</v>
      </c>
      <c r="O730" s="591">
        <f t="shared" si="28"/>
        <v>0</v>
      </c>
      <c r="P730" s="590">
        <f t="shared" si="28"/>
        <v>0.06</v>
      </c>
      <c r="Q730" s="594">
        <f t="shared" si="28"/>
        <v>4672.1399999999994</v>
      </c>
    </row>
    <row r="731" spans="1:17" x14ac:dyDescent="0.25">
      <c r="A731" s="242"/>
      <c r="B731" s="242"/>
      <c r="C731" s="242"/>
      <c r="D731" s="595" t="s">
        <v>38</v>
      </c>
      <c r="E731" s="596"/>
      <c r="F731" s="597">
        <f t="shared" ref="F731:Q731" si="29">SUM(F703:F730)</f>
        <v>800.54000000000008</v>
      </c>
      <c r="G731" s="598">
        <f t="shared" si="29"/>
        <v>68235422.269999996</v>
      </c>
      <c r="H731" s="597">
        <f t="shared" si="29"/>
        <v>77.61999999999999</v>
      </c>
      <c r="I731" s="598">
        <f t="shared" si="29"/>
        <v>9691849.0299999993</v>
      </c>
      <c r="J731" s="597">
        <f t="shared" si="29"/>
        <v>703.53999999999985</v>
      </c>
      <c r="K731" s="598">
        <f t="shared" si="29"/>
        <v>56657613.180000007</v>
      </c>
      <c r="L731" s="597">
        <f t="shared" si="29"/>
        <v>19.38</v>
      </c>
      <c r="M731" s="598">
        <f t="shared" si="29"/>
        <v>1885960.06</v>
      </c>
      <c r="N731" s="597">
        <f t="shared" si="29"/>
        <v>800.54000000000008</v>
      </c>
      <c r="O731" s="598">
        <f t="shared" si="29"/>
        <v>68235422.269999996</v>
      </c>
      <c r="P731" s="597">
        <f t="shared" si="29"/>
        <v>2380.3099999999995</v>
      </c>
      <c r="Q731" s="599">
        <f t="shared" si="29"/>
        <v>151346920.29999995</v>
      </c>
    </row>
    <row r="732" spans="1:17" ht="15" thickBot="1" x14ac:dyDescent="0.3">
      <c r="A732" s="600"/>
      <c r="B732" s="242"/>
      <c r="C732" s="242"/>
      <c r="D732" s="601" t="s">
        <v>210</v>
      </c>
      <c r="E732" s="602"/>
      <c r="F732" s="603"/>
      <c r="G732" s="604">
        <f>G731/F731</f>
        <v>85236.743035950727</v>
      </c>
      <c r="H732" s="603"/>
      <c r="I732" s="604">
        <f>I731/H731</f>
        <v>124862.78059778408</v>
      </c>
      <c r="J732" s="603"/>
      <c r="K732" s="604">
        <f>K731/J731</f>
        <v>80532.184637689425</v>
      </c>
      <c r="L732" s="603"/>
      <c r="M732" s="604">
        <f>M731/L731</f>
        <v>97314.760577915382</v>
      </c>
      <c r="N732" s="603"/>
      <c r="O732" s="604">
        <f>O731/N731</f>
        <v>85236.743035950727</v>
      </c>
      <c r="P732" s="603"/>
      <c r="Q732" s="605">
        <f>Q731/P731</f>
        <v>63582.861181946886</v>
      </c>
    </row>
    <row r="733" spans="1:17" ht="15" thickTop="1" x14ac:dyDescent="0.25">
      <c r="A733" s="600"/>
      <c r="B733" s="242"/>
      <c r="C733" s="242"/>
      <c r="D733" s="242"/>
      <c r="E733" s="242"/>
      <c r="F733" s="242"/>
      <c r="G733" s="242"/>
      <c r="H733" s="242"/>
      <c r="I733" s="242"/>
      <c r="J733" s="242"/>
      <c r="K733" s="242"/>
      <c r="L733" s="242"/>
      <c r="M733" s="242"/>
      <c r="N733" s="242"/>
      <c r="O733" s="242"/>
      <c r="P733" s="242"/>
      <c r="Q733" s="242"/>
    </row>
    <row r="734" spans="1:17" x14ac:dyDescent="0.25">
      <c r="A734" s="606"/>
      <c r="B734" s="607"/>
      <c r="C734" s="607"/>
      <c r="D734" s="241"/>
      <c r="E734" s="241"/>
      <c r="F734" s="575"/>
      <c r="G734" s="576"/>
      <c r="H734" s="575"/>
      <c r="I734" s="576"/>
      <c r="J734" s="575"/>
      <c r="K734" s="576"/>
      <c r="L734" s="575"/>
      <c r="M734" s="578"/>
      <c r="N734" s="580"/>
      <c r="O734" s="581"/>
      <c r="P734" s="575"/>
      <c r="Q734" s="576"/>
    </row>
    <row r="735" spans="1:17" x14ac:dyDescent="0.25">
      <c r="A735" s="608" t="s">
        <v>159</v>
      </c>
      <c r="B735" s="609"/>
      <c r="C735" s="609"/>
      <c r="D735" s="610" t="s">
        <v>160</v>
      </c>
      <c r="E735" s="611">
        <f>Table5_6!D43</f>
        <v>5028.51</v>
      </c>
      <c r="F735" s="242"/>
      <c r="G735" s="242"/>
      <c r="H735" s="242"/>
      <c r="I735" s="242"/>
      <c r="J735" s="612"/>
      <c r="K735" s="612"/>
      <c r="L735" s="242"/>
      <c r="M735" s="242"/>
      <c r="N735" s="242"/>
      <c r="O735" s="242"/>
      <c r="P735" s="242"/>
      <c r="Q735" s="242"/>
    </row>
    <row r="736" spans="1:17" x14ac:dyDescent="0.25">
      <c r="A736" s="608" t="s">
        <v>161</v>
      </c>
      <c r="B736" s="613"/>
      <c r="C736" s="613"/>
      <c r="D736" s="614" t="s">
        <v>162</v>
      </c>
      <c r="E736" s="615">
        <f>Table5_6!D58</f>
        <v>72395.950000000012</v>
      </c>
      <c r="F736" s="242"/>
      <c r="G736" s="242"/>
      <c r="H736" s="242"/>
      <c r="I736" s="242"/>
      <c r="J736" s="612"/>
      <c r="K736" s="612"/>
      <c r="L736" s="242"/>
      <c r="M736" s="242"/>
      <c r="N736" s="242"/>
      <c r="O736" s="242"/>
      <c r="P736" s="242"/>
      <c r="Q736" s="242"/>
    </row>
    <row r="737" spans="1:17" x14ac:dyDescent="0.25">
      <c r="A737" s="608" t="s">
        <v>163</v>
      </c>
      <c r="B737" s="609"/>
      <c r="C737" s="609"/>
      <c r="D737" s="610"/>
      <c r="E737" s="611">
        <f>SUM(E735:E736)</f>
        <v>77424.460000000006</v>
      </c>
      <c r="F737" s="242"/>
      <c r="G737" s="242"/>
      <c r="H737" s="242"/>
      <c r="I737" s="242"/>
      <c r="J737" s="612"/>
      <c r="K737" s="612"/>
      <c r="L737" s="242"/>
      <c r="M737" s="242"/>
      <c r="N737" s="242"/>
      <c r="O737" s="242"/>
      <c r="P737" s="242"/>
      <c r="Q737" s="242"/>
    </row>
    <row r="738" spans="1:17" x14ac:dyDescent="0.25">
      <c r="A738" s="608" t="s">
        <v>164</v>
      </c>
      <c r="B738" s="609"/>
      <c r="C738" s="609"/>
      <c r="D738" s="610" t="s">
        <v>165</v>
      </c>
      <c r="E738" s="615">
        <f>Table5_6!D10</f>
        <v>214.45999999999998</v>
      </c>
      <c r="F738" s="242"/>
      <c r="G738" s="242"/>
      <c r="H738" s="242"/>
      <c r="I738" s="242"/>
      <c r="J738" s="612"/>
      <c r="K738" s="612"/>
      <c r="L738" s="242"/>
      <c r="M738" s="242"/>
      <c r="N738" s="242"/>
      <c r="O738" s="242"/>
      <c r="P738" s="242"/>
      <c r="Q738" s="242"/>
    </row>
    <row r="739" spans="1:17" x14ac:dyDescent="0.25">
      <c r="A739" s="608" t="s">
        <v>166</v>
      </c>
      <c r="B739" s="609"/>
      <c r="C739" s="609"/>
      <c r="D739" s="610" t="s">
        <v>165</v>
      </c>
      <c r="E739" s="615">
        <f>Table5_6!D11</f>
        <v>65.53</v>
      </c>
      <c r="F739" s="242"/>
      <c r="G739" s="242"/>
      <c r="H739" s="242"/>
      <c r="I739" s="242"/>
      <c r="J739" s="612"/>
      <c r="K739" s="612"/>
      <c r="L739" s="242"/>
      <c r="M739" s="242"/>
      <c r="N739" s="242"/>
      <c r="O739" s="242"/>
      <c r="P739" s="242"/>
      <c r="Q739" s="242"/>
    </row>
    <row r="740" spans="1:17" x14ac:dyDescent="0.25">
      <c r="A740" s="608" t="s">
        <v>38</v>
      </c>
      <c r="B740" s="609"/>
      <c r="C740" s="609"/>
      <c r="D740" s="610"/>
      <c r="E740" s="616">
        <f>SUM(E737:E739)</f>
        <v>77704.450000000012</v>
      </c>
      <c r="F740" s="242"/>
      <c r="G740" s="242"/>
      <c r="H740" s="242"/>
      <c r="I740" s="242"/>
      <c r="J740" s="612"/>
      <c r="K740" s="612"/>
      <c r="L740" s="575"/>
      <c r="M740" s="578"/>
      <c r="N740" s="580"/>
      <c r="O740" s="581"/>
      <c r="P740" s="575"/>
      <c r="Q740" s="576"/>
    </row>
    <row r="741" spans="1:17" x14ac:dyDescent="0.25">
      <c r="A741" s="608" t="s">
        <v>167</v>
      </c>
      <c r="B741" s="609"/>
      <c r="C741" s="613"/>
      <c r="D741" s="610" t="s">
        <v>168</v>
      </c>
      <c r="E741" s="611">
        <f>Table5_6!D28</f>
        <v>77704.450000000012</v>
      </c>
      <c r="F741" s="242"/>
      <c r="G741" s="242"/>
      <c r="H741" s="242"/>
      <c r="I741" s="242"/>
      <c r="J741" s="612"/>
      <c r="K741" s="612"/>
      <c r="L741" s="575"/>
      <c r="M741" s="578"/>
      <c r="N741" s="580"/>
      <c r="O741" s="581"/>
      <c r="P741" s="575"/>
      <c r="Q741" s="576"/>
    </row>
    <row r="742" spans="1:17" x14ac:dyDescent="0.25">
      <c r="A742" s="241"/>
      <c r="B742" s="241"/>
      <c r="C742" s="241"/>
      <c r="D742" s="241"/>
      <c r="E742" s="241"/>
      <c r="F742" s="241"/>
      <c r="G742" s="241"/>
      <c r="H742" s="241"/>
      <c r="I742" s="241"/>
      <c r="J742" s="617"/>
      <c r="K742" s="617"/>
      <c r="L742" s="241"/>
      <c r="M742" s="241"/>
      <c r="N742" s="241"/>
      <c r="O742" s="241"/>
      <c r="P742" s="241"/>
      <c r="Q742" s="241"/>
    </row>
    <row r="743" spans="1:17" x14ac:dyDescent="0.25">
      <c r="A743" s="241"/>
      <c r="B743" s="241"/>
      <c r="C743" s="241"/>
      <c r="D743" s="241"/>
      <c r="E743" s="241"/>
      <c r="F743" s="241"/>
      <c r="G743" s="241"/>
      <c r="H743" s="241"/>
      <c r="I743" s="241"/>
      <c r="J743" s="617"/>
      <c r="K743" s="617"/>
      <c r="L743" s="241"/>
      <c r="M743" s="241"/>
      <c r="N743" s="241"/>
      <c r="O743" s="241"/>
      <c r="P743" s="241"/>
      <c r="Q743" s="241"/>
    </row>
    <row r="744" spans="1:17" x14ac:dyDescent="0.25">
      <c r="A744" s="241"/>
      <c r="B744" s="241"/>
      <c r="C744" s="241"/>
      <c r="D744" s="241"/>
      <c r="E744" s="241"/>
      <c r="F744" s="241"/>
      <c r="G744" s="241"/>
      <c r="H744" s="241"/>
      <c r="I744" s="241"/>
      <c r="J744" s="241"/>
      <c r="K744" s="617"/>
      <c r="L744" s="241"/>
      <c r="M744" s="241"/>
      <c r="N744" s="241"/>
      <c r="O744" s="241"/>
      <c r="P744" s="241"/>
      <c r="Q744" s="241"/>
    </row>
    <row r="745" spans="1:17" x14ac:dyDescent="0.25">
      <c r="A745" s="241"/>
      <c r="B745" s="241"/>
      <c r="C745" s="241"/>
      <c r="D745" s="241"/>
      <c r="E745" s="241"/>
      <c r="F745" s="241"/>
      <c r="G745" s="241"/>
      <c r="H745" s="241"/>
      <c r="I745" s="241"/>
      <c r="J745" s="241"/>
      <c r="K745" s="617"/>
      <c r="L745" s="241"/>
      <c r="M745" s="241"/>
      <c r="N745" s="241"/>
      <c r="O745" s="241"/>
      <c r="P745" s="241"/>
      <c r="Q745" s="241"/>
    </row>
    <row r="746" spans="1:17" x14ac:dyDescent="0.25">
      <c r="A746" s="241"/>
      <c r="B746" s="241"/>
      <c r="C746" s="241"/>
      <c r="D746" s="241"/>
      <c r="E746" s="241"/>
      <c r="F746" s="241"/>
      <c r="G746" s="241"/>
      <c r="H746" s="241"/>
      <c r="I746" s="241"/>
      <c r="J746" s="241"/>
      <c r="K746" s="617"/>
      <c r="L746" s="241"/>
      <c r="M746" s="241"/>
      <c r="N746" s="241"/>
      <c r="O746" s="241"/>
      <c r="P746" s="241"/>
      <c r="Q746" s="241"/>
    </row>
    <row r="747" spans="1:17" x14ac:dyDescent="0.25">
      <c r="A747" s="241"/>
      <c r="B747" s="241"/>
      <c r="C747" s="241"/>
      <c r="D747" s="241"/>
      <c r="E747" s="241"/>
      <c r="F747" s="241"/>
      <c r="G747" s="241"/>
      <c r="H747" s="241"/>
      <c r="I747" s="241"/>
      <c r="J747" s="241"/>
      <c r="K747" s="617"/>
      <c r="L747" s="241"/>
      <c r="M747" s="241"/>
      <c r="N747" s="241"/>
      <c r="O747" s="241"/>
      <c r="P747" s="241"/>
      <c r="Q747" s="241"/>
    </row>
    <row r="748" spans="1:17" x14ac:dyDescent="0.25">
      <c r="A748" s="241"/>
      <c r="B748" s="241"/>
      <c r="C748" s="241"/>
      <c r="D748" s="241"/>
      <c r="E748" s="241"/>
      <c r="F748" s="241"/>
      <c r="G748" s="241"/>
      <c r="H748" s="241"/>
      <c r="I748" s="241"/>
      <c r="J748" s="241"/>
      <c r="K748" s="617"/>
      <c r="L748" s="241"/>
      <c r="M748" s="241"/>
      <c r="N748" s="241"/>
      <c r="O748" s="241"/>
      <c r="P748" s="241"/>
      <c r="Q748" s="241"/>
    </row>
    <row r="749" spans="1:17" x14ac:dyDescent="0.25">
      <c r="A749" s="241"/>
      <c r="B749" s="241"/>
      <c r="C749" s="241"/>
      <c r="D749" s="241"/>
      <c r="E749" s="241"/>
      <c r="F749" s="241"/>
      <c r="G749" s="241"/>
      <c r="H749" s="241"/>
      <c r="I749" s="241"/>
      <c r="J749" s="241"/>
      <c r="K749" s="617"/>
      <c r="L749" s="241"/>
      <c r="M749" s="241"/>
      <c r="N749" s="241"/>
      <c r="O749" s="241"/>
      <c r="P749" s="241"/>
      <c r="Q749" s="241"/>
    </row>
    <row r="750" spans="1:17" x14ac:dyDescent="0.25">
      <c r="A750" s="241"/>
      <c r="B750" s="241"/>
      <c r="C750" s="241"/>
      <c r="D750" s="241"/>
      <c r="E750" s="241"/>
      <c r="F750" s="241"/>
      <c r="G750" s="241"/>
      <c r="H750" s="241"/>
      <c r="I750" s="241"/>
      <c r="J750" s="241"/>
      <c r="K750" s="617"/>
      <c r="L750" s="241"/>
      <c r="M750" s="241"/>
      <c r="N750" s="241"/>
      <c r="O750" s="241"/>
      <c r="P750" s="241"/>
      <c r="Q750" s="241"/>
    </row>
    <row r="751" spans="1:17" x14ac:dyDescent="0.25">
      <c r="A751" s="241"/>
      <c r="B751" s="241"/>
      <c r="C751" s="241"/>
      <c r="D751" s="241"/>
      <c r="E751" s="241"/>
      <c r="F751" s="241"/>
      <c r="G751" s="241"/>
      <c r="H751" s="241"/>
      <c r="I751" s="241"/>
      <c r="J751" s="241"/>
      <c r="K751" s="617"/>
      <c r="L751" s="241"/>
      <c r="M751" s="241"/>
      <c r="N751" s="241"/>
      <c r="O751" s="241"/>
      <c r="P751" s="241"/>
      <c r="Q751" s="241"/>
    </row>
    <row r="752" spans="1:17" x14ac:dyDescent="0.25">
      <c r="A752" s="241"/>
      <c r="B752" s="241"/>
      <c r="C752" s="241"/>
      <c r="D752" s="241"/>
      <c r="E752" s="241"/>
      <c r="F752" s="241"/>
      <c r="G752" s="241"/>
      <c r="H752" s="241"/>
      <c r="I752" s="241"/>
      <c r="J752" s="241"/>
      <c r="K752" s="617"/>
      <c r="L752" s="241"/>
      <c r="M752" s="241"/>
      <c r="N752" s="241"/>
      <c r="O752" s="241"/>
      <c r="P752" s="241"/>
      <c r="Q752" s="241"/>
    </row>
  </sheetData>
  <autoFilter ref="A5:Q689" xr:uid="{00000000-0009-0000-0000-000008000000}">
    <filterColumn colId="5" showButton="0"/>
    <filterColumn colId="7" showButton="0"/>
    <filterColumn colId="9" showButton="0"/>
    <filterColumn colId="15" showButton="0"/>
  </autoFilter>
  <phoneticPr fontId="0" type="noConversion"/>
  <pageMargins left="0.5" right="0.5" top="1" bottom="1" header="0.5" footer="0.5"/>
  <pageSetup scale="64" fitToHeight="0" orientation="landscape" r:id="rId1"/>
  <headerFooter alignWithMargins="0">
    <oddHeader>&amp;L&amp;F&amp;C&amp;A</oddHeader>
    <oddFooter>&amp;LOSPI/SAFS&amp;CPage &amp;P of &amp;N&amp;R&amp;D</oddFooter>
  </headerFooter>
  <rowBreaks count="1" manualBreakCount="1">
    <brk id="6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Table1</vt:lpstr>
      <vt:lpstr>Table2</vt:lpstr>
      <vt:lpstr>Table3</vt:lpstr>
      <vt:lpstr>Table3WS1</vt:lpstr>
      <vt:lpstr>Table3WS2</vt:lpstr>
      <vt:lpstr>Table4</vt:lpstr>
      <vt:lpstr>Table4ws</vt:lpstr>
      <vt:lpstr>Table5_6</vt:lpstr>
      <vt:lpstr>Table5_6ws1</vt:lpstr>
      <vt:lpstr>table7</vt:lpstr>
      <vt:lpstr>Table1!Print_Area</vt:lpstr>
      <vt:lpstr>Table5_6!Print_Area</vt:lpstr>
      <vt:lpstr>Table4ws!Print_Titles</vt:lpstr>
      <vt:lpstr>Table5_6ws1!Print_Titles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2021-11-05T16:23:14Z</cp:lastPrinted>
  <dcterms:created xsi:type="dcterms:W3CDTF">1996-11-12T19:09:12Z</dcterms:created>
  <dcterms:modified xsi:type="dcterms:W3CDTF">2021-11-10T19:51:03Z</dcterms:modified>
</cp:coreProperties>
</file>