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Monthly Apport Data\2223\"/>
    </mc:Choice>
  </mc:AlternateContent>
  <xr:revisionPtr revIDLastSave="0" documentId="13_ncr:1_{9D036054-5E63-4326-9EB1-F863CF39B4B1}" xr6:coauthVersionLast="47" xr6:coauthVersionMax="47" xr10:uidLastSave="{00000000-0000-0000-0000-000000000000}"/>
  <bookViews>
    <workbookView xWindow="2115" yWindow="1635" windowWidth="26295" windowHeight="12780" xr2:uid="{00000000-000D-0000-FFFF-FFFF00000000}"/>
  </bookViews>
  <sheets>
    <sheet name="RECOVERY" sheetId="1" r:id="rId1"/>
    <sheet name="ALLOC" sheetId="2" state="hidden" r:id="rId2"/>
  </sheets>
  <definedNames>
    <definedName name="_xlnm._FilterDatabase" localSheetId="1" hidden="1">ALLOC!$A$6:$AS$6</definedName>
    <definedName name="Data">ALLOC!$B$7:$AO$334</definedName>
    <definedName name="DISNAME">ALLOC!$A$7:$A$334</definedName>
    <definedName name="_xlnm.Print_Area" localSheetId="0">RECOVERY!$A$6:$G$107</definedName>
    <definedName name="_xlnm.Print_Titles" localSheetId="0">RECOVERY!$6:$9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34" i="2" l="1"/>
  <c r="AK334" i="2"/>
  <c r="AL333" i="2"/>
  <c r="AK333" i="2"/>
  <c r="AL332" i="2"/>
  <c r="AK332" i="2"/>
  <c r="AL331" i="2"/>
  <c r="AK331" i="2"/>
  <c r="AL330" i="2"/>
  <c r="AK330" i="2"/>
  <c r="AL329" i="2"/>
  <c r="AK329" i="2"/>
  <c r="AL328" i="2"/>
  <c r="AK328" i="2"/>
  <c r="AL327" i="2"/>
  <c r="AK327" i="2"/>
  <c r="AL326" i="2"/>
  <c r="AK326" i="2"/>
  <c r="AL325" i="2"/>
  <c r="AK325" i="2"/>
  <c r="AL324" i="2"/>
  <c r="AK324" i="2"/>
  <c r="AL323" i="2"/>
  <c r="AK323" i="2"/>
  <c r="AL322" i="2"/>
  <c r="AK322" i="2"/>
  <c r="AL321" i="2"/>
  <c r="AK321" i="2"/>
  <c r="AL320" i="2"/>
  <c r="AK320" i="2"/>
  <c r="AL319" i="2"/>
  <c r="AK319" i="2"/>
  <c r="AL318" i="2"/>
  <c r="AK318" i="2"/>
  <c r="AL317" i="2"/>
  <c r="AK317" i="2"/>
  <c r="AL316" i="2"/>
  <c r="AK316" i="2"/>
  <c r="AL315" i="2"/>
  <c r="AK315" i="2"/>
  <c r="AL314" i="2"/>
  <c r="AK314" i="2"/>
  <c r="AL313" i="2"/>
  <c r="AK313" i="2"/>
  <c r="AL312" i="2"/>
  <c r="AK312" i="2"/>
  <c r="AL311" i="2"/>
  <c r="AK311" i="2"/>
  <c r="AL310" i="2"/>
  <c r="AK310" i="2"/>
  <c r="AL309" i="2"/>
  <c r="AK309" i="2"/>
  <c r="AL308" i="2"/>
  <c r="AK308" i="2"/>
  <c r="AL307" i="2"/>
  <c r="AK307" i="2"/>
  <c r="AL306" i="2"/>
  <c r="AK306" i="2"/>
  <c r="AL305" i="2"/>
  <c r="AK305" i="2"/>
  <c r="AL304" i="2"/>
  <c r="AK304" i="2"/>
  <c r="AL303" i="2"/>
  <c r="AK303" i="2"/>
  <c r="AL302" i="2"/>
  <c r="AK302" i="2"/>
  <c r="AL301" i="2"/>
  <c r="AK301" i="2"/>
  <c r="AL300" i="2"/>
  <c r="AK300" i="2"/>
  <c r="AL299" i="2"/>
  <c r="AK299" i="2"/>
  <c r="AL298" i="2"/>
  <c r="AK298" i="2"/>
  <c r="AL297" i="2"/>
  <c r="AK297" i="2"/>
  <c r="AL296" i="2"/>
  <c r="AK296" i="2"/>
  <c r="AL295" i="2"/>
  <c r="AK295" i="2"/>
  <c r="AL294" i="2"/>
  <c r="AK294" i="2"/>
  <c r="AL293" i="2"/>
  <c r="AK293" i="2"/>
  <c r="AL292" i="2"/>
  <c r="AK292" i="2"/>
  <c r="AL291" i="2"/>
  <c r="AK291" i="2"/>
  <c r="AL290" i="2"/>
  <c r="AK290" i="2"/>
  <c r="AL289" i="2"/>
  <c r="AK289" i="2"/>
  <c r="AL288" i="2"/>
  <c r="AK288" i="2"/>
  <c r="AL287" i="2"/>
  <c r="AK287" i="2"/>
  <c r="AL286" i="2"/>
  <c r="AK286" i="2"/>
  <c r="AL285" i="2"/>
  <c r="AK285" i="2"/>
  <c r="AL284" i="2"/>
  <c r="AK284" i="2"/>
  <c r="AL283" i="2"/>
  <c r="AK283" i="2"/>
  <c r="AL282" i="2"/>
  <c r="AK282" i="2"/>
  <c r="AL281" i="2"/>
  <c r="AK281" i="2"/>
  <c r="AL280" i="2"/>
  <c r="AK280" i="2"/>
  <c r="AL279" i="2"/>
  <c r="AK279" i="2"/>
  <c r="AL278" i="2"/>
  <c r="AK278" i="2"/>
  <c r="AL277" i="2"/>
  <c r="AK277" i="2"/>
  <c r="AL276" i="2"/>
  <c r="AK276" i="2"/>
  <c r="AL275" i="2"/>
  <c r="AK275" i="2"/>
  <c r="AL274" i="2"/>
  <c r="AK274" i="2"/>
  <c r="AL273" i="2"/>
  <c r="AK273" i="2"/>
  <c r="AL272" i="2"/>
  <c r="AK272" i="2"/>
  <c r="AL271" i="2"/>
  <c r="AK271" i="2"/>
  <c r="AL270" i="2"/>
  <c r="AK270" i="2"/>
  <c r="AL269" i="2"/>
  <c r="AK269" i="2"/>
  <c r="AL268" i="2"/>
  <c r="AK268" i="2"/>
  <c r="AL267" i="2"/>
  <c r="AK267" i="2"/>
  <c r="AL266" i="2"/>
  <c r="AK266" i="2"/>
  <c r="AL265" i="2"/>
  <c r="AK265" i="2"/>
  <c r="AL264" i="2"/>
  <c r="AK264" i="2"/>
  <c r="AL263" i="2"/>
  <c r="AK263" i="2"/>
  <c r="AL262" i="2"/>
  <c r="AK262" i="2"/>
  <c r="AL261" i="2"/>
  <c r="AK261" i="2"/>
  <c r="AL260" i="2"/>
  <c r="AK260" i="2"/>
  <c r="AL259" i="2"/>
  <c r="AK259" i="2"/>
  <c r="AL258" i="2"/>
  <c r="AK258" i="2"/>
  <c r="AL257" i="2"/>
  <c r="AK257" i="2"/>
  <c r="AL256" i="2"/>
  <c r="AK256" i="2"/>
  <c r="AL255" i="2"/>
  <c r="AK255" i="2"/>
  <c r="AL254" i="2"/>
  <c r="AK254" i="2"/>
  <c r="AL253" i="2"/>
  <c r="AK253" i="2"/>
  <c r="AL252" i="2"/>
  <c r="AK252" i="2"/>
  <c r="AL251" i="2"/>
  <c r="AK251" i="2"/>
  <c r="AL250" i="2"/>
  <c r="AK250" i="2"/>
  <c r="AL249" i="2"/>
  <c r="AK249" i="2"/>
  <c r="AL248" i="2"/>
  <c r="AK248" i="2"/>
  <c r="AL247" i="2"/>
  <c r="AK247" i="2"/>
  <c r="AL246" i="2"/>
  <c r="AK246" i="2"/>
  <c r="AL245" i="2"/>
  <c r="AK245" i="2"/>
  <c r="AL244" i="2"/>
  <c r="AK244" i="2"/>
  <c r="AL243" i="2"/>
  <c r="AK243" i="2"/>
  <c r="AL242" i="2"/>
  <c r="AK242" i="2"/>
  <c r="AL241" i="2"/>
  <c r="AK241" i="2"/>
  <c r="AL240" i="2"/>
  <c r="AK240" i="2"/>
  <c r="AL239" i="2"/>
  <c r="AK239" i="2"/>
  <c r="AL238" i="2"/>
  <c r="AK238" i="2"/>
  <c r="AL237" i="2"/>
  <c r="AK237" i="2"/>
  <c r="AL236" i="2"/>
  <c r="AK236" i="2"/>
  <c r="AL235" i="2"/>
  <c r="AK235" i="2"/>
  <c r="AL234" i="2"/>
  <c r="AK234" i="2"/>
  <c r="AL233" i="2"/>
  <c r="AK233" i="2"/>
  <c r="AL232" i="2"/>
  <c r="AK232" i="2"/>
  <c r="AL231" i="2"/>
  <c r="AK231" i="2"/>
  <c r="AL230" i="2"/>
  <c r="AK230" i="2"/>
  <c r="AL229" i="2"/>
  <c r="AK229" i="2"/>
  <c r="AL228" i="2"/>
  <c r="AK228" i="2"/>
  <c r="AL227" i="2"/>
  <c r="AK227" i="2"/>
  <c r="AL226" i="2"/>
  <c r="AK226" i="2"/>
  <c r="AL225" i="2"/>
  <c r="AK225" i="2"/>
  <c r="AL224" i="2"/>
  <c r="AK224" i="2"/>
  <c r="AL223" i="2"/>
  <c r="AK223" i="2"/>
  <c r="AL222" i="2"/>
  <c r="AK222" i="2"/>
  <c r="AL221" i="2"/>
  <c r="AK221" i="2"/>
  <c r="AL220" i="2"/>
  <c r="AK220" i="2"/>
  <c r="AL219" i="2"/>
  <c r="AK219" i="2"/>
  <c r="AL218" i="2"/>
  <c r="AK218" i="2"/>
  <c r="AL217" i="2"/>
  <c r="AK217" i="2"/>
  <c r="AL216" i="2"/>
  <c r="AK216" i="2"/>
  <c r="AL215" i="2"/>
  <c r="AK215" i="2"/>
  <c r="AL214" i="2"/>
  <c r="AK214" i="2"/>
  <c r="AL213" i="2"/>
  <c r="AK213" i="2"/>
  <c r="AL212" i="2"/>
  <c r="AK212" i="2"/>
  <c r="AL211" i="2"/>
  <c r="AK211" i="2"/>
  <c r="AL210" i="2"/>
  <c r="AK210" i="2"/>
  <c r="AL209" i="2"/>
  <c r="AK209" i="2"/>
  <c r="AL208" i="2"/>
  <c r="AK208" i="2"/>
  <c r="AL207" i="2"/>
  <c r="AK207" i="2"/>
  <c r="AL206" i="2"/>
  <c r="AK206" i="2"/>
  <c r="AL205" i="2"/>
  <c r="AK205" i="2"/>
  <c r="AL204" i="2"/>
  <c r="AK204" i="2"/>
  <c r="AL203" i="2"/>
  <c r="AK203" i="2"/>
  <c r="AL202" i="2"/>
  <c r="AK202" i="2"/>
  <c r="AL201" i="2"/>
  <c r="AK201" i="2"/>
  <c r="AL200" i="2"/>
  <c r="AK200" i="2"/>
  <c r="AL199" i="2"/>
  <c r="AK199" i="2"/>
  <c r="AL198" i="2"/>
  <c r="AK198" i="2"/>
  <c r="AL197" i="2"/>
  <c r="AK197" i="2"/>
  <c r="AL196" i="2"/>
  <c r="AK196" i="2"/>
  <c r="AL195" i="2"/>
  <c r="AK195" i="2"/>
  <c r="AL194" i="2"/>
  <c r="AK194" i="2"/>
  <c r="AL193" i="2"/>
  <c r="AK193" i="2"/>
  <c r="AL192" i="2"/>
  <c r="AK192" i="2"/>
  <c r="AL191" i="2"/>
  <c r="AK191" i="2"/>
  <c r="AL190" i="2"/>
  <c r="AK190" i="2"/>
  <c r="AL189" i="2"/>
  <c r="AK189" i="2"/>
  <c r="AL188" i="2"/>
  <c r="AK188" i="2"/>
  <c r="AL187" i="2"/>
  <c r="AK187" i="2"/>
  <c r="AL186" i="2"/>
  <c r="AK186" i="2"/>
  <c r="AL185" i="2"/>
  <c r="AK185" i="2"/>
  <c r="AL184" i="2"/>
  <c r="AK184" i="2"/>
  <c r="AL183" i="2"/>
  <c r="AK183" i="2"/>
  <c r="AL182" i="2"/>
  <c r="AK182" i="2"/>
  <c r="AL181" i="2"/>
  <c r="AK181" i="2"/>
  <c r="AL180" i="2"/>
  <c r="AK180" i="2"/>
  <c r="AL179" i="2"/>
  <c r="AK179" i="2"/>
  <c r="AL178" i="2"/>
  <c r="AK178" i="2"/>
  <c r="AL177" i="2"/>
  <c r="AK177" i="2"/>
  <c r="AL176" i="2"/>
  <c r="AK176" i="2"/>
  <c r="AL175" i="2"/>
  <c r="AK175" i="2"/>
  <c r="AL174" i="2"/>
  <c r="AK174" i="2"/>
  <c r="AL173" i="2"/>
  <c r="AK173" i="2"/>
  <c r="AL172" i="2"/>
  <c r="AK172" i="2"/>
  <c r="AL171" i="2"/>
  <c r="AK171" i="2"/>
  <c r="AL170" i="2"/>
  <c r="AK170" i="2"/>
  <c r="AL169" i="2"/>
  <c r="AK169" i="2"/>
  <c r="AL168" i="2"/>
  <c r="AK168" i="2"/>
  <c r="AL167" i="2"/>
  <c r="AK167" i="2"/>
  <c r="AL166" i="2"/>
  <c r="AK166" i="2"/>
  <c r="AL165" i="2"/>
  <c r="AK165" i="2"/>
  <c r="AL164" i="2"/>
  <c r="AK164" i="2"/>
  <c r="AL163" i="2"/>
  <c r="AK163" i="2"/>
  <c r="AL162" i="2"/>
  <c r="AK162" i="2"/>
  <c r="AL161" i="2"/>
  <c r="AK161" i="2"/>
  <c r="AL160" i="2"/>
  <c r="AK160" i="2"/>
  <c r="AL159" i="2"/>
  <c r="AK159" i="2"/>
  <c r="AL158" i="2"/>
  <c r="AK158" i="2"/>
  <c r="AL157" i="2"/>
  <c r="AK157" i="2"/>
  <c r="AL156" i="2"/>
  <c r="AK156" i="2"/>
  <c r="AL155" i="2"/>
  <c r="AK155" i="2"/>
  <c r="AL154" i="2"/>
  <c r="AK154" i="2"/>
  <c r="AL153" i="2"/>
  <c r="AK153" i="2"/>
  <c r="AL152" i="2"/>
  <c r="AK152" i="2"/>
  <c r="AL151" i="2"/>
  <c r="AK151" i="2"/>
  <c r="AL150" i="2"/>
  <c r="AK150" i="2"/>
  <c r="AL149" i="2"/>
  <c r="AK149" i="2"/>
  <c r="AL148" i="2"/>
  <c r="AK148" i="2"/>
  <c r="AL147" i="2"/>
  <c r="AK147" i="2"/>
  <c r="AL146" i="2"/>
  <c r="AK146" i="2"/>
  <c r="AL145" i="2"/>
  <c r="AK145" i="2"/>
  <c r="AL144" i="2"/>
  <c r="AK144" i="2"/>
  <c r="AL143" i="2"/>
  <c r="AK143" i="2"/>
  <c r="AL142" i="2"/>
  <c r="AK142" i="2"/>
  <c r="AL141" i="2"/>
  <c r="AK141" i="2"/>
  <c r="AL140" i="2"/>
  <c r="AK140" i="2"/>
  <c r="AL139" i="2"/>
  <c r="AK139" i="2"/>
  <c r="AL138" i="2"/>
  <c r="AK138" i="2"/>
  <c r="AL137" i="2"/>
  <c r="AK137" i="2"/>
  <c r="AL136" i="2"/>
  <c r="AK136" i="2"/>
  <c r="AL135" i="2"/>
  <c r="AK135" i="2"/>
  <c r="AL134" i="2"/>
  <c r="AK134" i="2"/>
  <c r="AL133" i="2"/>
  <c r="AK133" i="2"/>
  <c r="AL132" i="2"/>
  <c r="AK132" i="2"/>
  <c r="AL131" i="2"/>
  <c r="AK131" i="2"/>
  <c r="AL130" i="2"/>
  <c r="AK130" i="2"/>
  <c r="AL129" i="2"/>
  <c r="AK129" i="2"/>
  <c r="AL128" i="2"/>
  <c r="AK128" i="2"/>
  <c r="AL127" i="2"/>
  <c r="AK127" i="2"/>
  <c r="AL126" i="2"/>
  <c r="AK126" i="2"/>
  <c r="AL125" i="2"/>
  <c r="AK125" i="2"/>
  <c r="AL124" i="2"/>
  <c r="AK124" i="2"/>
  <c r="AL123" i="2"/>
  <c r="AK123" i="2"/>
  <c r="AL122" i="2"/>
  <c r="AK122" i="2"/>
  <c r="AL121" i="2"/>
  <c r="AK121" i="2"/>
  <c r="AL120" i="2"/>
  <c r="AK120" i="2"/>
  <c r="AL119" i="2"/>
  <c r="AK119" i="2"/>
  <c r="AL118" i="2"/>
  <c r="AK118" i="2"/>
  <c r="AL117" i="2"/>
  <c r="AK117" i="2"/>
  <c r="AL116" i="2"/>
  <c r="AK116" i="2"/>
  <c r="AL115" i="2"/>
  <c r="AK115" i="2"/>
  <c r="AL114" i="2"/>
  <c r="AK114" i="2"/>
  <c r="AL113" i="2"/>
  <c r="AK113" i="2"/>
  <c r="AL112" i="2"/>
  <c r="AK112" i="2"/>
  <c r="AL111" i="2"/>
  <c r="AK111" i="2"/>
  <c r="AL110" i="2"/>
  <c r="AK110" i="2"/>
  <c r="AL109" i="2"/>
  <c r="AK109" i="2"/>
  <c r="AL108" i="2"/>
  <c r="AK108" i="2"/>
  <c r="AL107" i="2"/>
  <c r="AK107" i="2"/>
  <c r="AL106" i="2"/>
  <c r="AK106" i="2"/>
  <c r="AL105" i="2"/>
  <c r="AK105" i="2"/>
  <c r="AL104" i="2"/>
  <c r="AK104" i="2"/>
  <c r="AL103" i="2"/>
  <c r="AK103" i="2"/>
  <c r="AL102" i="2"/>
  <c r="AK102" i="2"/>
  <c r="AL101" i="2"/>
  <c r="AK101" i="2"/>
  <c r="AL100" i="2"/>
  <c r="AK100" i="2"/>
  <c r="AL99" i="2"/>
  <c r="AK99" i="2"/>
  <c r="AL98" i="2"/>
  <c r="AK98" i="2"/>
  <c r="AL97" i="2"/>
  <c r="AK97" i="2"/>
  <c r="AL96" i="2"/>
  <c r="AK96" i="2"/>
  <c r="AL95" i="2"/>
  <c r="AK95" i="2"/>
  <c r="AL94" i="2"/>
  <c r="AK94" i="2"/>
  <c r="AL93" i="2"/>
  <c r="AK93" i="2"/>
  <c r="AL92" i="2"/>
  <c r="AK92" i="2"/>
  <c r="AL91" i="2"/>
  <c r="AK91" i="2"/>
  <c r="AL90" i="2"/>
  <c r="AK90" i="2"/>
  <c r="AL89" i="2"/>
  <c r="AK89" i="2"/>
  <c r="AL88" i="2"/>
  <c r="AK88" i="2"/>
  <c r="AL87" i="2"/>
  <c r="AK87" i="2"/>
  <c r="AL86" i="2"/>
  <c r="AK86" i="2"/>
  <c r="AL85" i="2"/>
  <c r="AK85" i="2"/>
  <c r="AL84" i="2"/>
  <c r="AK84" i="2"/>
  <c r="AL83" i="2"/>
  <c r="AK83" i="2"/>
  <c r="AL82" i="2"/>
  <c r="AK82" i="2"/>
  <c r="AL81" i="2"/>
  <c r="AK81" i="2"/>
  <c r="AL80" i="2"/>
  <c r="AK80" i="2"/>
  <c r="AL79" i="2"/>
  <c r="AK79" i="2"/>
  <c r="AL78" i="2"/>
  <c r="AK78" i="2"/>
  <c r="AL77" i="2"/>
  <c r="AK77" i="2"/>
  <c r="AL76" i="2"/>
  <c r="AK76" i="2"/>
  <c r="AL75" i="2"/>
  <c r="AK75" i="2"/>
  <c r="AL74" i="2"/>
  <c r="AK74" i="2"/>
  <c r="AL73" i="2"/>
  <c r="AK73" i="2"/>
  <c r="AL72" i="2"/>
  <c r="AK72" i="2"/>
  <c r="AL71" i="2"/>
  <c r="AK71" i="2"/>
  <c r="AL70" i="2"/>
  <c r="AK70" i="2"/>
  <c r="AL69" i="2"/>
  <c r="AK69" i="2"/>
  <c r="AL68" i="2"/>
  <c r="AK68" i="2"/>
  <c r="AL67" i="2"/>
  <c r="AK67" i="2"/>
  <c r="AL66" i="2"/>
  <c r="AK66" i="2"/>
  <c r="AL65" i="2"/>
  <c r="AK65" i="2"/>
  <c r="AL64" i="2"/>
  <c r="AK64" i="2"/>
  <c r="AL63" i="2"/>
  <c r="AK63" i="2"/>
  <c r="AL62" i="2"/>
  <c r="AK62" i="2"/>
  <c r="AL61" i="2"/>
  <c r="AK61" i="2"/>
  <c r="AL60" i="2"/>
  <c r="AK60" i="2"/>
  <c r="AL59" i="2"/>
  <c r="AK59" i="2"/>
  <c r="AL58" i="2"/>
  <c r="AK58" i="2"/>
  <c r="AL57" i="2"/>
  <c r="AK57" i="2"/>
  <c r="AL56" i="2"/>
  <c r="AK56" i="2"/>
  <c r="AL55" i="2"/>
  <c r="AK55" i="2"/>
  <c r="AL54" i="2"/>
  <c r="AK54" i="2"/>
  <c r="AL53" i="2"/>
  <c r="AK53" i="2"/>
  <c r="AL52" i="2"/>
  <c r="AK52" i="2"/>
  <c r="AL51" i="2"/>
  <c r="AK51" i="2"/>
  <c r="AL50" i="2"/>
  <c r="AK50" i="2"/>
  <c r="AL49" i="2"/>
  <c r="AK49" i="2"/>
  <c r="AL48" i="2"/>
  <c r="AK48" i="2"/>
  <c r="AL47" i="2"/>
  <c r="AK47" i="2"/>
  <c r="AL46" i="2"/>
  <c r="AK46" i="2"/>
  <c r="AL45" i="2"/>
  <c r="AK45" i="2"/>
  <c r="AL44" i="2"/>
  <c r="AK44" i="2"/>
  <c r="AL43" i="2"/>
  <c r="AK43" i="2"/>
  <c r="AL42" i="2"/>
  <c r="AK42" i="2"/>
  <c r="AL41" i="2"/>
  <c r="AK41" i="2"/>
  <c r="AL40" i="2"/>
  <c r="AK40" i="2"/>
  <c r="AL39" i="2"/>
  <c r="AK39" i="2"/>
  <c r="AL38" i="2"/>
  <c r="AK38" i="2"/>
  <c r="AL37" i="2"/>
  <c r="AK37" i="2"/>
  <c r="AL36" i="2"/>
  <c r="AK36" i="2"/>
  <c r="AL35" i="2"/>
  <c r="AK35" i="2"/>
  <c r="AL34" i="2"/>
  <c r="AK34" i="2"/>
  <c r="AL33" i="2"/>
  <c r="AK33" i="2"/>
  <c r="AL32" i="2"/>
  <c r="AK32" i="2"/>
  <c r="AL31" i="2"/>
  <c r="AK31" i="2"/>
  <c r="AL30" i="2"/>
  <c r="AK30" i="2"/>
  <c r="AL29" i="2"/>
  <c r="AK29" i="2"/>
  <c r="AL28" i="2"/>
  <c r="AK28" i="2"/>
  <c r="AL27" i="2"/>
  <c r="AK27" i="2"/>
  <c r="AL26" i="2"/>
  <c r="AK26" i="2"/>
  <c r="AL25" i="2"/>
  <c r="AK25" i="2"/>
  <c r="AL24" i="2"/>
  <c r="AK24" i="2"/>
  <c r="AL23" i="2"/>
  <c r="AK23" i="2"/>
  <c r="AL22" i="2"/>
  <c r="AK22" i="2"/>
  <c r="AL21" i="2"/>
  <c r="AK21" i="2"/>
  <c r="AL20" i="2"/>
  <c r="AK20" i="2"/>
  <c r="AL19" i="2"/>
  <c r="AK19" i="2"/>
  <c r="AL18" i="2"/>
  <c r="AK18" i="2"/>
  <c r="AL17" i="2"/>
  <c r="AK17" i="2"/>
  <c r="AL16" i="2"/>
  <c r="AK16" i="2"/>
  <c r="AL15" i="2"/>
  <c r="AK15" i="2"/>
  <c r="AL14" i="2"/>
  <c r="AK14" i="2"/>
  <c r="AL13" i="2"/>
  <c r="AK13" i="2"/>
  <c r="AL12" i="2"/>
  <c r="AK12" i="2"/>
  <c r="AL11" i="2"/>
  <c r="AK11" i="2"/>
  <c r="AL10" i="2"/>
  <c r="AK10" i="2"/>
  <c r="AL9" i="2"/>
  <c r="AK9" i="2"/>
  <c r="AL8" i="2"/>
  <c r="AK8" i="2"/>
  <c r="AL7" i="2"/>
  <c r="AK7" i="2"/>
  <c r="AG334" i="2"/>
  <c r="AF334" i="2"/>
  <c r="AG333" i="2"/>
  <c r="AF333" i="2"/>
  <c r="AG332" i="2"/>
  <c r="AF332" i="2"/>
  <c r="AG331" i="2"/>
  <c r="AF331" i="2"/>
  <c r="AG330" i="2"/>
  <c r="AF330" i="2"/>
  <c r="AG329" i="2"/>
  <c r="AF329" i="2"/>
  <c r="AG328" i="2"/>
  <c r="AF328" i="2"/>
  <c r="AG327" i="2"/>
  <c r="AF327" i="2"/>
  <c r="AG326" i="2"/>
  <c r="AF326" i="2"/>
  <c r="AG325" i="2"/>
  <c r="AF325" i="2"/>
  <c r="AG324" i="2"/>
  <c r="AF324" i="2"/>
  <c r="AG323" i="2"/>
  <c r="AF323" i="2"/>
  <c r="AG322" i="2"/>
  <c r="AF322" i="2"/>
  <c r="AG321" i="2"/>
  <c r="AF321" i="2"/>
  <c r="AG320" i="2"/>
  <c r="AF320" i="2"/>
  <c r="AG319" i="2"/>
  <c r="AF319" i="2"/>
  <c r="AG318" i="2"/>
  <c r="AF318" i="2"/>
  <c r="AG317" i="2"/>
  <c r="AF317" i="2"/>
  <c r="AG316" i="2"/>
  <c r="AH316" i="2" s="1"/>
  <c r="AF316" i="2"/>
  <c r="AG315" i="2"/>
  <c r="AF315" i="2"/>
  <c r="AG314" i="2"/>
  <c r="AF314" i="2"/>
  <c r="AG313" i="2"/>
  <c r="AF313" i="2"/>
  <c r="AG312" i="2"/>
  <c r="AF312" i="2"/>
  <c r="AG311" i="2"/>
  <c r="AF311" i="2"/>
  <c r="AG310" i="2"/>
  <c r="AF310" i="2"/>
  <c r="AG309" i="2"/>
  <c r="AF309" i="2"/>
  <c r="AG308" i="2"/>
  <c r="AF308" i="2"/>
  <c r="AG307" i="2"/>
  <c r="AF307" i="2"/>
  <c r="AG306" i="2"/>
  <c r="AF306" i="2"/>
  <c r="AG305" i="2"/>
  <c r="AF305" i="2"/>
  <c r="AG304" i="2"/>
  <c r="AF304" i="2"/>
  <c r="AG303" i="2"/>
  <c r="AF303" i="2"/>
  <c r="AG302" i="2"/>
  <c r="AF302" i="2"/>
  <c r="AG301" i="2"/>
  <c r="AF301" i="2"/>
  <c r="AG300" i="2"/>
  <c r="AF300" i="2"/>
  <c r="AG299" i="2"/>
  <c r="AF299" i="2"/>
  <c r="AG298" i="2"/>
  <c r="AF298" i="2"/>
  <c r="AG297" i="2"/>
  <c r="AF297" i="2"/>
  <c r="AG296" i="2"/>
  <c r="AF296" i="2"/>
  <c r="AG295" i="2"/>
  <c r="AF295" i="2"/>
  <c r="AG294" i="2"/>
  <c r="AF294" i="2"/>
  <c r="AG293" i="2"/>
  <c r="AF293" i="2"/>
  <c r="AG292" i="2"/>
  <c r="AH292" i="2" s="1"/>
  <c r="AF292" i="2"/>
  <c r="AG291" i="2"/>
  <c r="AF291" i="2"/>
  <c r="AG290" i="2"/>
  <c r="AF290" i="2"/>
  <c r="AG289" i="2"/>
  <c r="AF289" i="2"/>
  <c r="AG288" i="2"/>
  <c r="AF288" i="2"/>
  <c r="AG287" i="2"/>
  <c r="AF287" i="2"/>
  <c r="AG286" i="2"/>
  <c r="AF286" i="2"/>
  <c r="AG285" i="2"/>
  <c r="AF285" i="2"/>
  <c r="AG284" i="2"/>
  <c r="AF284" i="2"/>
  <c r="AG283" i="2"/>
  <c r="AF283" i="2"/>
  <c r="AG282" i="2"/>
  <c r="AF282" i="2"/>
  <c r="AG281" i="2"/>
  <c r="AF281" i="2"/>
  <c r="AG280" i="2"/>
  <c r="AF280" i="2"/>
  <c r="AG279" i="2"/>
  <c r="AF279" i="2"/>
  <c r="AG278" i="2"/>
  <c r="AF278" i="2"/>
  <c r="AG277" i="2"/>
  <c r="AF277" i="2"/>
  <c r="AG276" i="2"/>
  <c r="AF276" i="2"/>
  <c r="AG275" i="2"/>
  <c r="AF275" i="2"/>
  <c r="AG274" i="2"/>
  <c r="AF274" i="2"/>
  <c r="AG273" i="2"/>
  <c r="AF273" i="2"/>
  <c r="AG272" i="2"/>
  <c r="AF272" i="2"/>
  <c r="AG271" i="2"/>
  <c r="AF271" i="2"/>
  <c r="AG270" i="2"/>
  <c r="AF270" i="2"/>
  <c r="AG269" i="2"/>
  <c r="AF269" i="2"/>
  <c r="AG268" i="2"/>
  <c r="AF268" i="2"/>
  <c r="AG267" i="2"/>
  <c r="AF267" i="2"/>
  <c r="AG266" i="2"/>
  <c r="AF266" i="2"/>
  <c r="AG265" i="2"/>
  <c r="AF265" i="2"/>
  <c r="AG264" i="2"/>
  <c r="AF264" i="2"/>
  <c r="AG263" i="2"/>
  <c r="AF263" i="2"/>
  <c r="AG262" i="2"/>
  <c r="AF262" i="2"/>
  <c r="AG261" i="2"/>
  <c r="AF261" i="2"/>
  <c r="AG260" i="2"/>
  <c r="AF260" i="2"/>
  <c r="AG259" i="2"/>
  <c r="AF259" i="2"/>
  <c r="AG258" i="2"/>
  <c r="AF258" i="2"/>
  <c r="AG257" i="2"/>
  <c r="AF257" i="2"/>
  <c r="AG256" i="2"/>
  <c r="AF256" i="2"/>
  <c r="AG255" i="2"/>
  <c r="AF255" i="2"/>
  <c r="AG254" i="2"/>
  <c r="AF254" i="2"/>
  <c r="AG253" i="2"/>
  <c r="AH253" i="2" s="1"/>
  <c r="AF253" i="2"/>
  <c r="AG252" i="2"/>
  <c r="AF252" i="2"/>
  <c r="AG251" i="2"/>
  <c r="AF251" i="2"/>
  <c r="AG250" i="2"/>
  <c r="AF250" i="2"/>
  <c r="AG249" i="2"/>
  <c r="AF249" i="2"/>
  <c r="AG248" i="2"/>
  <c r="AF248" i="2"/>
  <c r="AG247" i="2"/>
  <c r="AF247" i="2"/>
  <c r="AG246" i="2"/>
  <c r="AF246" i="2"/>
  <c r="AG245" i="2"/>
  <c r="AF245" i="2"/>
  <c r="AG244" i="2"/>
  <c r="AF244" i="2"/>
  <c r="AG243" i="2"/>
  <c r="AF243" i="2"/>
  <c r="AG242" i="2"/>
  <c r="AF242" i="2"/>
  <c r="AG241" i="2"/>
  <c r="AH241" i="2" s="1"/>
  <c r="AF241" i="2"/>
  <c r="AG240" i="2"/>
  <c r="AF240" i="2"/>
  <c r="AG239" i="2"/>
  <c r="AF239" i="2"/>
  <c r="AG238" i="2"/>
  <c r="AF238" i="2"/>
  <c r="AH238" i="2" s="1"/>
  <c r="AG237" i="2"/>
  <c r="AF237" i="2"/>
  <c r="AG236" i="2"/>
  <c r="AF236" i="2"/>
  <c r="AG235" i="2"/>
  <c r="AF235" i="2"/>
  <c r="AG234" i="2"/>
  <c r="AF234" i="2"/>
  <c r="AG233" i="2"/>
  <c r="AF233" i="2"/>
  <c r="AG232" i="2"/>
  <c r="AF232" i="2"/>
  <c r="AG231" i="2"/>
  <c r="AF231" i="2"/>
  <c r="AG230" i="2"/>
  <c r="AF230" i="2"/>
  <c r="AG229" i="2"/>
  <c r="AF229" i="2"/>
  <c r="AG228" i="2"/>
  <c r="AF228" i="2"/>
  <c r="AG227" i="2"/>
  <c r="AF227" i="2"/>
  <c r="AG226" i="2"/>
  <c r="AF226" i="2"/>
  <c r="AG225" i="2"/>
  <c r="AF225" i="2"/>
  <c r="AG224" i="2"/>
  <c r="AF224" i="2"/>
  <c r="AG223" i="2"/>
  <c r="AF223" i="2"/>
  <c r="AG222" i="2"/>
  <c r="AF222" i="2"/>
  <c r="AG221" i="2"/>
  <c r="AF221" i="2"/>
  <c r="AG220" i="2"/>
  <c r="AF220" i="2"/>
  <c r="AG219" i="2"/>
  <c r="AF219" i="2"/>
  <c r="AG218" i="2"/>
  <c r="AF218" i="2"/>
  <c r="AG217" i="2"/>
  <c r="AF217" i="2"/>
  <c r="AG216" i="2"/>
  <c r="AF216" i="2"/>
  <c r="AG215" i="2"/>
  <c r="AF215" i="2"/>
  <c r="AG214" i="2"/>
  <c r="AF214" i="2"/>
  <c r="AG213" i="2"/>
  <c r="AF213" i="2"/>
  <c r="AG212" i="2"/>
  <c r="AF212" i="2"/>
  <c r="AG211" i="2"/>
  <c r="AF211" i="2"/>
  <c r="AG210" i="2"/>
  <c r="AF210" i="2"/>
  <c r="AG209" i="2"/>
  <c r="AF209" i="2"/>
  <c r="AG208" i="2"/>
  <c r="AF208" i="2"/>
  <c r="AG207" i="2"/>
  <c r="AF207" i="2"/>
  <c r="AG206" i="2"/>
  <c r="AF206" i="2"/>
  <c r="AG205" i="2"/>
  <c r="AF205" i="2"/>
  <c r="AG204" i="2"/>
  <c r="AF204" i="2"/>
  <c r="AG203" i="2"/>
  <c r="AF203" i="2"/>
  <c r="AG202" i="2"/>
  <c r="AF202" i="2"/>
  <c r="AG201" i="2"/>
  <c r="AF201" i="2"/>
  <c r="AG200" i="2"/>
  <c r="AF200" i="2"/>
  <c r="AG199" i="2"/>
  <c r="AF199" i="2"/>
  <c r="AG198" i="2"/>
  <c r="AF198" i="2"/>
  <c r="AG197" i="2"/>
  <c r="AF197" i="2"/>
  <c r="AG196" i="2"/>
  <c r="AF196" i="2"/>
  <c r="AG195" i="2"/>
  <c r="AF195" i="2"/>
  <c r="AG194" i="2"/>
  <c r="AF194" i="2"/>
  <c r="AG193" i="2"/>
  <c r="AF193" i="2"/>
  <c r="AG192" i="2"/>
  <c r="AF192" i="2"/>
  <c r="AG191" i="2"/>
  <c r="AF191" i="2"/>
  <c r="AG190" i="2"/>
  <c r="AF190" i="2"/>
  <c r="AH190" i="2" s="1"/>
  <c r="AG189" i="2"/>
  <c r="AF189" i="2"/>
  <c r="AG188" i="2"/>
  <c r="AF188" i="2"/>
  <c r="AG187" i="2"/>
  <c r="AF187" i="2"/>
  <c r="AG186" i="2"/>
  <c r="AF186" i="2"/>
  <c r="AG185" i="2"/>
  <c r="AF185" i="2"/>
  <c r="AG184" i="2"/>
  <c r="AF184" i="2"/>
  <c r="AG183" i="2"/>
  <c r="AF183" i="2"/>
  <c r="AG182" i="2"/>
  <c r="AF182" i="2"/>
  <c r="AG181" i="2"/>
  <c r="AF181" i="2"/>
  <c r="AG180" i="2"/>
  <c r="AF180" i="2"/>
  <c r="AG179" i="2"/>
  <c r="AF179" i="2"/>
  <c r="AG178" i="2"/>
  <c r="AF178" i="2"/>
  <c r="AG177" i="2"/>
  <c r="AF177" i="2"/>
  <c r="AG176" i="2"/>
  <c r="AF176" i="2"/>
  <c r="AG175" i="2"/>
  <c r="AF175" i="2"/>
  <c r="AG174" i="2"/>
  <c r="AF174" i="2"/>
  <c r="AG173" i="2"/>
  <c r="AF173" i="2"/>
  <c r="AG172" i="2"/>
  <c r="AF172" i="2"/>
  <c r="AG171" i="2"/>
  <c r="AF171" i="2"/>
  <c r="AG170" i="2"/>
  <c r="AF170" i="2"/>
  <c r="AG169" i="2"/>
  <c r="AF169" i="2"/>
  <c r="AG168" i="2"/>
  <c r="AF168" i="2"/>
  <c r="AG167" i="2"/>
  <c r="AF167" i="2"/>
  <c r="AG166" i="2"/>
  <c r="AF166" i="2"/>
  <c r="AG165" i="2"/>
  <c r="AF165" i="2"/>
  <c r="AG164" i="2"/>
  <c r="AF164" i="2"/>
  <c r="AG163" i="2"/>
  <c r="AF163" i="2"/>
  <c r="AG162" i="2"/>
  <c r="AF162" i="2"/>
  <c r="AG161" i="2"/>
  <c r="AF161" i="2"/>
  <c r="AG160" i="2"/>
  <c r="AF160" i="2"/>
  <c r="AG159" i="2"/>
  <c r="AF159" i="2"/>
  <c r="AG158" i="2"/>
  <c r="AF158" i="2"/>
  <c r="AG157" i="2"/>
  <c r="AF157" i="2"/>
  <c r="AG156" i="2"/>
  <c r="AF156" i="2"/>
  <c r="AG155" i="2"/>
  <c r="AF155" i="2"/>
  <c r="AG154" i="2"/>
  <c r="AF154" i="2"/>
  <c r="AG153" i="2"/>
  <c r="AF153" i="2"/>
  <c r="AG152" i="2"/>
  <c r="AF152" i="2"/>
  <c r="AG151" i="2"/>
  <c r="AF151" i="2"/>
  <c r="AG150" i="2"/>
  <c r="AF150" i="2"/>
  <c r="AG149" i="2"/>
  <c r="AF149" i="2"/>
  <c r="AG148" i="2"/>
  <c r="AF148" i="2"/>
  <c r="AG147" i="2"/>
  <c r="AF147" i="2"/>
  <c r="AG146" i="2"/>
  <c r="AF146" i="2"/>
  <c r="AG145" i="2"/>
  <c r="AF145" i="2"/>
  <c r="AG144" i="2"/>
  <c r="AF144" i="2"/>
  <c r="AG143" i="2"/>
  <c r="AF143" i="2"/>
  <c r="AG142" i="2"/>
  <c r="AF142" i="2"/>
  <c r="AH142" i="2" s="1"/>
  <c r="AG141" i="2"/>
  <c r="AF141" i="2"/>
  <c r="AG140" i="2"/>
  <c r="AF140" i="2"/>
  <c r="AG139" i="2"/>
  <c r="AF139" i="2"/>
  <c r="AG138" i="2"/>
  <c r="AF138" i="2"/>
  <c r="AG137" i="2"/>
  <c r="AF137" i="2"/>
  <c r="AG136" i="2"/>
  <c r="AF136" i="2"/>
  <c r="AG135" i="2"/>
  <c r="AF135" i="2"/>
  <c r="AG134" i="2"/>
  <c r="AF134" i="2"/>
  <c r="AG133" i="2"/>
  <c r="AF133" i="2"/>
  <c r="AG132" i="2"/>
  <c r="AF132" i="2"/>
  <c r="AG131" i="2"/>
  <c r="AF131" i="2"/>
  <c r="AG130" i="2"/>
  <c r="AF130" i="2"/>
  <c r="AG129" i="2"/>
  <c r="AF129" i="2"/>
  <c r="AG128" i="2"/>
  <c r="AF128" i="2"/>
  <c r="AG127" i="2"/>
  <c r="AF127" i="2"/>
  <c r="AG126" i="2"/>
  <c r="AF126" i="2"/>
  <c r="AG125" i="2"/>
  <c r="AF125" i="2"/>
  <c r="AG124" i="2"/>
  <c r="AF124" i="2"/>
  <c r="AG123" i="2"/>
  <c r="AF123" i="2"/>
  <c r="AG122" i="2"/>
  <c r="AF122" i="2"/>
  <c r="AG121" i="2"/>
  <c r="AF121" i="2"/>
  <c r="AG120" i="2"/>
  <c r="AF120" i="2"/>
  <c r="AG119" i="2"/>
  <c r="AF119" i="2"/>
  <c r="AG118" i="2"/>
  <c r="AF118" i="2"/>
  <c r="AG117" i="2"/>
  <c r="AF117" i="2"/>
  <c r="AG116" i="2"/>
  <c r="AF116" i="2"/>
  <c r="AG115" i="2"/>
  <c r="AF115" i="2"/>
  <c r="AG114" i="2"/>
  <c r="AF114" i="2"/>
  <c r="AG113" i="2"/>
  <c r="AF113" i="2"/>
  <c r="AG112" i="2"/>
  <c r="AF112" i="2"/>
  <c r="AG111" i="2"/>
  <c r="AF111" i="2"/>
  <c r="AG110" i="2"/>
  <c r="AF110" i="2"/>
  <c r="AG109" i="2"/>
  <c r="AF109" i="2"/>
  <c r="AG108" i="2"/>
  <c r="AF108" i="2"/>
  <c r="AG107" i="2"/>
  <c r="AF107" i="2"/>
  <c r="AG106" i="2"/>
  <c r="AF106" i="2"/>
  <c r="AG105" i="2"/>
  <c r="AF105" i="2"/>
  <c r="AG104" i="2"/>
  <c r="AF104" i="2"/>
  <c r="AG103" i="2"/>
  <c r="AF103" i="2"/>
  <c r="AG102" i="2"/>
  <c r="AF102" i="2"/>
  <c r="AG101" i="2"/>
  <c r="AF101" i="2"/>
  <c r="AG100" i="2"/>
  <c r="AF100" i="2"/>
  <c r="AG99" i="2"/>
  <c r="AF99" i="2"/>
  <c r="AG98" i="2"/>
  <c r="AF98" i="2"/>
  <c r="AG97" i="2"/>
  <c r="AF97" i="2"/>
  <c r="AG96" i="2"/>
  <c r="AF96" i="2"/>
  <c r="AG95" i="2"/>
  <c r="AF95" i="2"/>
  <c r="AG94" i="2"/>
  <c r="AF94" i="2"/>
  <c r="AG93" i="2"/>
  <c r="AF93" i="2"/>
  <c r="AG92" i="2"/>
  <c r="AF92" i="2"/>
  <c r="AG91" i="2"/>
  <c r="AF91" i="2"/>
  <c r="AG90" i="2"/>
  <c r="AF90" i="2"/>
  <c r="AG89" i="2"/>
  <c r="AF89" i="2"/>
  <c r="AG88" i="2"/>
  <c r="AF88" i="2"/>
  <c r="AG87" i="2"/>
  <c r="AF87" i="2"/>
  <c r="AG86" i="2"/>
  <c r="AF86" i="2"/>
  <c r="AG85" i="2"/>
  <c r="AF85" i="2"/>
  <c r="AG84" i="2"/>
  <c r="AF84" i="2"/>
  <c r="AG83" i="2"/>
  <c r="AF83" i="2"/>
  <c r="AG82" i="2"/>
  <c r="AF82" i="2"/>
  <c r="AG81" i="2"/>
  <c r="AF81" i="2"/>
  <c r="AG80" i="2"/>
  <c r="AF80" i="2"/>
  <c r="AG79" i="2"/>
  <c r="AF79" i="2"/>
  <c r="AG78" i="2"/>
  <c r="AF78" i="2"/>
  <c r="AG77" i="2"/>
  <c r="AF77" i="2"/>
  <c r="AG76" i="2"/>
  <c r="AF76" i="2"/>
  <c r="AG75" i="2"/>
  <c r="AF75" i="2"/>
  <c r="AG74" i="2"/>
  <c r="AF74" i="2"/>
  <c r="AG73" i="2"/>
  <c r="AF73" i="2"/>
  <c r="AG72" i="2"/>
  <c r="AF72" i="2"/>
  <c r="AG71" i="2"/>
  <c r="AF71" i="2"/>
  <c r="AG70" i="2"/>
  <c r="AF70" i="2"/>
  <c r="AG69" i="2"/>
  <c r="AF69" i="2"/>
  <c r="AG68" i="2"/>
  <c r="AF68" i="2"/>
  <c r="AG67" i="2"/>
  <c r="AF67" i="2"/>
  <c r="AG66" i="2"/>
  <c r="AF66" i="2"/>
  <c r="AG65" i="2"/>
  <c r="AF65" i="2"/>
  <c r="AG64" i="2"/>
  <c r="AF64" i="2"/>
  <c r="AG63" i="2"/>
  <c r="AF63" i="2"/>
  <c r="AG62" i="2"/>
  <c r="AF62" i="2"/>
  <c r="AG61" i="2"/>
  <c r="AF61" i="2"/>
  <c r="AG60" i="2"/>
  <c r="AF60" i="2"/>
  <c r="AG59" i="2"/>
  <c r="AF59" i="2"/>
  <c r="AG58" i="2"/>
  <c r="AF58" i="2"/>
  <c r="AG57" i="2"/>
  <c r="AF57" i="2"/>
  <c r="AG56" i="2"/>
  <c r="AF56" i="2"/>
  <c r="AG55" i="2"/>
  <c r="AF55" i="2"/>
  <c r="AG54" i="2"/>
  <c r="AF54" i="2"/>
  <c r="AG53" i="2"/>
  <c r="AF53" i="2"/>
  <c r="AG52" i="2"/>
  <c r="AF52" i="2"/>
  <c r="AG51" i="2"/>
  <c r="AF51" i="2"/>
  <c r="AG50" i="2"/>
  <c r="AF50" i="2"/>
  <c r="AG49" i="2"/>
  <c r="AF49" i="2"/>
  <c r="AG48" i="2"/>
  <c r="AF48" i="2"/>
  <c r="AG47" i="2"/>
  <c r="AF47" i="2"/>
  <c r="AG46" i="2"/>
  <c r="AF46" i="2"/>
  <c r="AG45" i="2"/>
  <c r="AF45" i="2"/>
  <c r="AG44" i="2"/>
  <c r="AF44" i="2"/>
  <c r="AG43" i="2"/>
  <c r="AF43" i="2"/>
  <c r="AG42" i="2"/>
  <c r="AF42" i="2"/>
  <c r="AG41" i="2"/>
  <c r="AF41" i="2"/>
  <c r="AG40" i="2"/>
  <c r="AF40" i="2"/>
  <c r="AG39" i="2"/>
  <c r="AF39" i="2"/>
  <c r="AG38" i="2"/>
  <c r="AF38" i="2"/>
  <c r="AG37" i="2"/>
  <c r="AF37" i="2"/>
  <c r="AG36" i="2"/>
  <c r="AF36" i="2"/>
  <c r="AG35" i="2"/>
  <c r="AF35" i="2"/>
  <c r="AG34" i="2"/>
  <c r="AF34" i="2"/>
  <c r="AG33" i="2"/>
  <c r="AF33" i="2"/>
  <c r="AG32" i="2"/>
  <c r="AF32" i="2"/>
  <c r="AG31" i="2"/>
  <c r="AF31" i="2"/>
  <c r="AG30" i="2"/>
  <c r="AF30" i="2"/>
  <c r="AG29" i="2"/>
  <c r="AF29" i="2"/>
  <c r="AG28" i="2"/>
  <c r="AF28" i="2"/>
  <c r="AG27" i="2"/>
  <c r="AF27" i="2"/>
  <c r="AG26" i="2"/>
  <c r="AF26" i="2"/>
  <c r="AG25" i="2"/>
  <c r="AF25" i="2"/>
  <c r="AG24" i="2"/>
  <c r="AF24" i="2"/>
  <c r="AG23" i="2"/>
  <c r="AF23" i="2"/>
  <c r="AG22" i="2"/>
  <c r="AF22" i="2"/>
  <c r="AG21" i="2"/>
  <c r="AF21" i="2"/>
  <c r="AG20" i="2"/>
  <c r="AF20" i="2"/>
  <c r="AG19" i="2"/>
  <c r="AF19" i="2"/>
  <c r="AG18" i="2"/>
  <c r="AF18" i="2"/>
  <c r="AG17" i="2"/>
  <c r="AF17" i="2"/>
  <c r="AG16" i="2"/>
  <c r="AF16" i="2"/>
  <c r="AG15" i="2"/>
  <c r="AF15" i="2"/>
  <c r="AG14" i="2"/>
  <c r="AF14" i="2"/>
  <c r="AG13" i="2"/>
  <c r="AF13" i="2"/>
  <c r="AG12" i="2"/>
  <c r="AF12" i="2"/>
  <c r="AG11" i="2"/>
  <c r="AF11" i="2"/>
  <c r="AG10" i="2"/>
  <c r="AF10" i="2"/>
  <c r="AG9" i="2"/>
  <c r="AF9" i="2"/>
  <c r="AG8" i="2"/>
  <c r="AF8" i="2"/>
  <c r="AG7" i="2"/>
  <c r="AF7" i="2"/>
  <c r="AH242" i="2" l="1"/>
  <c r="AH290" i="2"/>
  <c r="AH314" i="2"/>
  <c r="AH52" i="2"/>
  <c r="AH148" i="2"/>
  <c r="AH257" i="2"/>
  <c r="AH269" i="2"/>
  <c r="AH293" i="2"/>
  <c r="AH42" i="2"/>
  <c r="AH54" i="2"/>
  <c r="AH78" i="2"/>
  <c r="AH102" i="2"/>
  <c r="AH294" i="2"/>
  <c r="AH318" i="2"/>
  <c r="AH33" i="2"/>
  <c r="AH321" i="2"/>
  <c r="AM150" i="2"/>
  <c r="AM78" i="2"/>
  <c r="AM126" i="2"/>
  <c r="AM234" i="2"/>
  <c r="AH128" i="2"/>
  <c r="AH21" i="2"/>
  <c r="AM66" i="2"/>
  <c r="AM246" i="2"/>
  <c r="AH140" i="2"/>
  <c r="AH117" i="2"/>
  <c r="AM210" i="2"/>
  <c r="AM282" i="2"/>
  <c r="AH157" i="2"/>
  <c r="AM42" i="2"/>
  <c r="AM222" i="2"/>
  <c r="AM162" i="2"/>
  <c r="AH38" i="2"/>
  <c r="AH62" i="2"/>
  <c r="AM160" i="2"/>
  <c r="AH196" i="2"/>
  <c r="AH244" i="2"/>
  <c r="AH30" i="2"/>
  <c r="AH69" i="2"/>
  <c r="AH138" i="2"/>
  <c r="AH186" i="2"/>
  <c r="AH234" i="2"/>
  <c r="AH282" i="2"/>
  <c r="AH92" i="2"/>
  <c r="AH116" i="2"/>
  <c r="AM316" i="2"/>
  <c r="AH129" i="2"/>
  <c r="AH273" i="2"/>
  <c r="AH58" i="2"/>
  <c r="AH333" i="2"/>
  <c r="AM17" i="2"/>
  <c r="AM29" i="2"/>
  <c r="AM41" i="2"/>
  <c r="AM53" i="2"/>
  <c r="AM77" i="2"/>
  <c r="AM89" i="2"/>
  <c r="AM101" i="2"/>
  <c r="AM113" i="2"/>
  <c r="AM125" i="2"/>
  <c r="AM137" i="2"/>
  <c r="AM149" i="2"/>
  <c r="AM161" i="2"/>
  <c r="AM173" i="2"/>
  <c r="AM185" i="2"/>
  <c r="AM197" i="2"/>
  <c r="AM209" i="2"/>
  <c r="AM221" i="2"/>
  <c r="AM233" i="2"/>
  <c r="AM245" i="2"/>
  <c r="AM257" i="2"/>
  <c r="AM269" i="2"/>
  <c r="AM281" i="2"/>
  <c r="AM293" i="2"/>
  <c r="AM305" i="2"/>
  <c r="AM317" i="2"/>
  <c r="AM329" i="2"/>
  <c r="AH180" i="2"/>
  <c r="AH252" i="2"/>
  <c r="AH98" i="2"/>
  <c r="AH134" i="2"/>
  <c r="AH146" i="2"/>
  <c r="AH158" i="2"/>
  <c r="AH182" i="2"/>
  <c r="AH206" i="2"/>
  <c r="AH254" i="2"/>
  <c r="AH278" i="2"/>
  <c r="AH99" i="2"/>
  <c r="AM46" i="2"/>
  <c r="AM70" i="2"/>
  <c r="AM118" i="2"/>
  <c r="AM142" i="2"/>
  <c r="AM166" i="2"/>
  <c r="AM214" i="2"/>
  <c r="AM238" i="2"/>
  <c r="AM274" i="2"/>
  <c r="AM286" i="2"/>
  <c r="AM298" i="2"/>
  <c r="AH71" i="2"/>
  <c r="AH177" i="2"/>
  <c r="AH82" i="2"/>
  <c r="AH212" i="2"/>
  <c r="AH165" i="2"/>
  <c r="AH237" i="2"/>
  <c r="AH49" i="2"/>
  <c r="AH261" i="2"/>
  <c r="AH26" i="2"/>
  <c r="AH109" i="2"/>
  <c r="AH332" i="2"/>
  <c r="AM16" i="2"/>
  <c r="AM28" i="2"/>
  <c r="AM40" i="2"/>
  <c r="AM52" i="2"/>
  <c r="AM64" i="2"/>
  <c r="AM88" i="2"/>
  <c r="AM100" i="2"/>
  <c r="AM112" i="2"/>
  <c r="AM124" i="2"/>
  <c r="AM136" i="2"/>
  <c r="AM148" i="2"/>
  <c r="AM172" i="2"/>
  <c r="AM184" i="2"/>
  <c r="AM196" i="2"/>
  <c r="AM208" i="2"/>
  <c r="AM220" i="2"/>
  <c r="AM232" i="2"/>
  <c r="AM244" i="2"/>
  <c r="AM256" i="2"/>
  <c r="AM268" i="2"/>
  <c r="AM280" i="2"/>
  <c r="AM292" i="2"/>
  <c r="AM304" i="2"/>
  <c r="AM328" i="2"/>
  <c r="AH50" i="2"/>
  <c r="AH121" i="2"/>
  <c r="AH133" i="2"/>
  <c r="AH297" i="2"/>
  <c r="AH309" i="2"/>
  <c r="AH271" i="2"/>
  <c r="AH189" i="2"/>
  <c r="AH60" i="2"/>
  <c r="AH225" i="2"/>
  <c r="AH320" i="2"/>
  <c r="AH228" i="2"/>
  <c r="AH263" i="2"/>
  <c r="AH334" i="2"/>
  <c r="AH106" i="2"/>
  <c r="AH213" i="2"/>
  <c r="AH13" i="2"/>
  <c r="AH178" i="2"/>
  <c r="AH37" i="2"/>
  <c r="AH61" i="2"/>
  <c r="AM306" i="2"/>
  <c r="AM318" i="2"/>
  <c r="AH301" i="2"/>
  <c r="AH31" i="2"/>
  <c r="AH90" i="2"/>
  <c r="AH325" i="2"/>
  <c r="AM333" i="2"/>
  <c r="AH18" i="2"/>
  <c r="AH195" i="2"/>
  <c r="AH326" i="2"/>
  <c r="AH100" i="2"/>
  <c r="AH218" i="2"/>
  <c r="AH103" i="2"/>
  <c r="AH161" i="2"/>
  <c r="AH173" i="2"/>
  <c r="AM310" i="2"/>
  <c r="AH276" i="2"/>
  <c r="AH65" i="2"/>
  <c r="AH20" i="2"/>
  <c r="AH291" i="2"/>
  <c r="AH194" i="2"/>
  <c r="AH53" i="2"/>
  <c r="AH198" i="2"/>
  <c r="AH76" i="2"/>
  <c r="AH41" i="2"/>
  <c r="AH224" i="2"/>
  <c r="AH46" i="2"/>
  <c r="AH81" i="2"/>
  <c r="AH105" i="2"/>
  <c r="AH270" i="2"/>
  <c r="AH175" i="2"/>
  <c r="AH209" i="2"/>
  <c r="AM18" i="2"/>
  <c r="AM114" i="2"/>
  <c r="AM198" i="2"/>
  <c r="AM258" i="2"/>
  <c r="AM294" i="2"/>
  <c r="AH17" i="2"/>
  <c r="AH221" i="2"/>
  <c r="AH266" i="2"/>
  <c r="AH311" i="2"/>
  <c r="AH29" i="2"/>
  <c r="AH74" i="2"/>
  <c r="AH86" i="2"/>
  <c r="AH97" i="2"/>
  <c r="AH108" i="2"/>
  <c r="AH119" i="2"/>
  <c r="AH153" i="2"/>
  <c r="AH176" i="2"/>
  <c r="AH210" i="2"/>
  <c r="AH222" i="2"/>
  <c r="AH233" i="2"/>
  <c r="AH220" i="2"/>
  <c r="AH265" i="2"/>
  <c r="AH141" i="2"/>
  <c r="AH277" i="2"/>
  <c r="AH322" i="2"/>
  <c r="AM30" i="2"/>
  <c r="AM90" i="2"/>
  <c r="AM174" i="2"/>
  <c r="AM270" i="2"/>
  <c r="AM330" i="2"/>
  <c r="AH51" i="2"/>
  <c r="AH85" i="2"/>
  <c r="AH300" i="2"/>
  <c r="AH154" i="2"/>
  <c r="AH188" i="2"/>
  <c r="AH324" i="2"/>
  <c r="AH132" i="2"/>
  <c r="AH223" i="2"/>
  <c r="AH245" i="2"/>
  <c r="AH268" i="2"/>
  <c r="AH302" i="2"/>
  <c r="AH313" i="2"/>
  <c r="AH84" i="2"/>
  <c r="AH28" i="2"/>
  <c r="AH73" i="2"/>
  <c r="AH197" i="2"/>
  <c r="AH243" i="2"/>
  <c r="AM54" i="2"/>
  <c r="AM102" i="2"/>
  <c r="AM138" i="2"/>
  <c r="AM186" i="2"/>
  <c r="AH130" i="2"/>
  <c r="AH164" i="2"/>
  <c r="AH289" i="2"/>
  <c r="AH110" i="2"/>
  <c r="AH246" i="2"/>
  <c r="AH122" i="2"/>
  <c r="AH9" i="2"/>
  <c r="AH32" i="2"/>
  <c r="AH77" i="2"/>
  <c r="AH145" i="2"/>
  <c r="AH156" i="2"/>
  <c r="AH167" i="2"/>
  <c r="AH201" i="2"/>
  <c r="AH258" i="2"/>
  <c r="AH281" i="2"/>
  <c r="AH303" i="2"/>
  <c r="AM22" i="2"/>
  <c r="AM94" i="2"/>
  <c r="AM190" i="2"/>
  <c r="AM250" i="2"/>
  <c r="AM262" i="2"/>
  <c r="AM322" i="2"/>
  <c r="AM334" i="2"/>
  <c r="AH66" i="2"/>
  <c r="AH89" i="2"/>
  <c r="AH236" i="2"/>
  <c r="AH10" i="2"/>
  <c r="AH44" i="2"/>
  <c r="AH202" i="2"/>
  <c r="AM11" i="2"/>
  <c r="AM23" i="2"/>
  <c r="AM35" i="2"/>
  <c r="AM47" i="2"/>
  <c r="AM59" i="2"/>
  <c r="AM71" i="2"/>
  <c r="AM83" i="2"/>
  <c r="AM95" i="2"/>
  <c r="AM107" i="2"/>
  <c r="AM119" i="2"/>
  <c r="AM131" i="2"/>
  <c r="AM143" i="2"/>
  <c r="AM155" i="2"/>
  <c r="AM167" i="2"/>
  <c r="AM179" i="2"/>
  <c r="AM191" i="2"/>
  <c r="AM203" i="2"/>
  <c r="AM215" i="2"/>
  <c r="AM227" i="2"/>
  <c r="AM239" i="2"/>
  <c r="AM251" i="2"/>
  <c r="AM263" i="2"/>
  <c r="AM275" i="2"/>
  <c r="AM287" i="2"/>
  <c r="AM299" i="2"/>
  <c r="AM311" i="2"/>
  <c r="AM323" i="2"/>
  <c r="AM324" i="2"/>
  <c r="AM72" i="2"/>
  <c r="AM276" i="2"/>
  <c r="AH101" i="2"/>
  <c r="AH169" i="2"/>
  <c r="AM48" i="2"/>
  <c r="AM132" i="2"/>
  <c r="AM204" i="2"/>
  <c r="AM312" i="2"/>
  <c r="AH215" i="2"/>
  <c r="AH249" i="2"/>
  <c r="AH12" i="2"/>
  <c r="AH23" i="2"/>
  <c r="AH57" i="2"/>
  <c r="AH80" i="2"/>
  <c r="AH125" i="2"/>
  <c r="AH170" i="2"/>
  <c r="AH193" i="2"/>
  <c r="AH204" i="2"/>
  <c r="AH306" i="2"/>
  <c r="AH329" i="2"/>
  <c r="AM13" i="2"/>
  <c r="AM25" i="2"/>
  <c r="AM37" i="2"/>
  <c r="AM49" i="2"/>
  <c r="AM61" i="2"/>
  <c r="AM73" i="2"/>
  <c r="AM85" i="2"/>
  <c r="AM97" i="2"/>
  <c r="AM109" i="2"/>
  <c r="AM121" i="2"/>
  <c r="AM133" i="2"/>
  <c r="AM145" i="2"/>
  <c r="AM157" i="2"/>
  <c r="AM169" i="2"/>
  <c r="AM181" i="2"/>
  <c r="AM193" i="2"/>
  <c r="AM205" i="2"/>
  <c r="AM217" i="2"/>
  <c r="AM229" i="2"/>
  <c r="AM241" i="2"/>
  <c r="AM253" i="2"/>
  <c r="AM265" i="2"/>
  <c r="AM277" i="2"/>
  <c r="AM289" i="2"/>
  <c r="AM301" i="2"/>
  <c r="AM313" i="2"/>
  <c r="AM325" i="2"/>
  <c r="AH114" i="2"/>
  <c r="AH126" i="2"/>
  <c r="AH137" i="2"/>
  <c r="AH205" i="2"/>
  <c r="AH250" i="2"/>
  <c r="AH284" i="2"/>
  <c r="AH330" i="2"/>
  <c r="AM14" i="2"/>
  <c r="AM26" i="2"/>
  <c r="AM38" i="2"/>
  <c r="AM50" i="2"/>
  <c r="AM62" i="2"/>
  <c r="AM74" i="2"/>
  <c r="AM86" i="2"/>
  <c r="AM98" i="2"/>
  <c r="AM110" i="2"/>
  <c r="AM122" i="2"/>
  <c r="AM134" i="2"/>
  <c r="AM146" i="2"/>
  <c r="AM158" i="2"/>
  <c r="AM170" i="2"/>
  <c r="AM182" i="2"/>
  <c r="AM194" i="2"/>
  <c r="AM206" i="2"/>
  <c r="AM218" i="2"/>
  <c r="AM230" i="2"/>
  <c r="AM254" i="2"/>
  <c r="AM266" i="2"/>
  <c r="AM278" i="2"/>
  <c r="AM290" i="2"/>
  <c r="AM302" i="2"/>
  <c r="AM314" i="2"/>
  <c r="AM326" i="2"/>
  <c r="AH124" i="2"/>
  <c r="AM60" i="2"/>
  <c r="AM120" i="2"/>
  <c r="AM192" i="2"/>
  <c r="AM288" i="2"/>
  <c r="AH147" i="2"/>
  <c r="AH272" i="2"/>
  <c r="AH79" i="2"/>
  <c r="AH226" i="2"/>
  <c r="AH305" i="2"/>
  <c r="AM24" i="2"/>
  <c r="AM96" i="2"/>
  <c r="AM144" i="2"/>
  <c r="AM228" i="2"/>
  <c r="AM264" i="2"/>
  <c r="AH34" i="2"/>
  <c r="AH113" i="2"/>
  <c r="AH45" i="2"/>
  <c r="AM12" i="2"/>
  <c r="AM84" i="2"/>
  <c r="AM168" i="2"/>
  <c r="AM300" i="2"/>
  <c r="AH317" i="2"/>
  <c r="AH36" i="2"/>
  <c r="AH217" i="2"/>
  <c r="AH285" i="2"/>
  <c r="AH319" i="2"/>
  <c r="AH14" i="2"/>
  <c r="AH25" i="2"/>
  <c r="AH93" i="2"/>
  <c r="AH127" i="2"/>
  <c r="AH149" i="2"/>
  <c r="AH172" i="2"/>
  <c r="AH229" i="2"/>
  <c r="AH274" i="2"/>
  <c r="AH286" i="2"/>
  <c r="AH308" i="2"/>
  <c r="AM36" i="2"/>
  <c r="AM108" i="2"/>
  <c r="AM156" i="2"/>
  <c r="AM240" i="2"/>
  <c r="AM252" i="2"/>
  <c r="AH68" i="2"/>
  <c r="AH181" i="2"/>
  <c r="AH94" i="2"/>
  <c r="AH150" i="2"/>
  <c r="AH230" i="2"/>
  <c r="AM76" i="2"/>
  <c r="AM180" i="2"/>
  <c r="AH260" i="2"/>
  <c r="AM216" i="2"/>
  <c r="AH162" i="2"/>
  <c r="AH174" i="2"/>
  <c r="AH185" i="2"/>
  <c r="AH298" i="2"/>
  <c r="AM65" i="2"/>
  <c r="AM242" i="2"/>
  <c r="AM231" i="2"/>
  <c r="AM39" i="2"/>
  <c r="AM123" i="2"/>
  <c r="AM171" i="2"/>
  <c r="AM219" i="2"/>
  <c r="AM279" i="2"/>
  <c r="AH24" i="2"/>
  <c r="AH168" i="2"/>
  <c r="AM27" i="2"/>
  <c r="AM159" i="2"/>
  <c r="AM327" i="2"/>
  <c r="AH64" i="2"/>
  <c r="AH275" i="2"/>
  <c r="AH323" i="2"/>
  <c r="AH7" i="2"/>
  <c r="AH55" i="2"/>
  <c r="AH151" i="2"/>
  <c r="AH247" i="2"/>
  <c r="AH295" i="2"/>
  <c r="AH235" i="2"/>
  <c r="AH63" i="2"/>
  <c r="AM111" i="2"/>
  <c r="AM147" i="2"/>
  <c r="AM195" i="2"/>
  <c r="AH83" i="2"/>
  <c r="AH160" i="2"/>
  <c r="AH256" i="2"/>
  <c r="AH304" i="2"/>
  <c r="AH199" i="2"/>
  <c r="AH8" i="2"/>
  <c r="AH27" i="2"/>
  <c r="AH56" i="2"/>
  <c r="AH75" i="2"/>
  <c r="AH104" i="2"/>
  <c r="AH123" i="2"/>
  <c r="AH152" i="2"/>
  <c r="AH171" i="2"/>
  <c r="AH200" i="2"/>
  <c r="AH219" i="2"/>
  <c r="AH248" i="2"/>
  <c r="AH267" i="2"/>
  <c r="AH296" i="2"/>
  <c r="AH315" i="2"/>
  <c r="AH72" i="2"/>
  <c r="AH120" i="2"/>
  <c r="AH216" i="2"/>
  <c r="AH283" i="2"/>
  <c r="AH159" i="2"/>
  <c r="AH255" i="2"/>
  <c r="AM15" i="2"/>
  <c r="AM99" i="2"/>
  <c r="AM135" i="2"/>
  <c r="AM207" i="2"/>
  <c r="AH112" i="2"/>
  <c r="AH208" i="2"/>
  <c r="AH47" i="2"/>
  <c r="AH95" i="2"/>
  <c r="AH287" i="2"/>
  <c r="AM7" i="2"/>
  <c r="AM55" i="2"/>
  <c r="AM115" i="2"/>
  <c r="AM175" i="2"/>
  <c r="AM235" i="2"/>
  <c r="AM247" i="2"/>
  <c r="AM259" i="2"/>
  <c r="AM271" i="2"/>
  <c r="AM283" i="2"/>
  <c r="AH163" i="2"/>
  <c r="AH240" i="2"/>
  <c r="AH288" i="2"/>
  <c r="AM20" i="2"/>
  <c r="AM116" i="2"/>
  <c r="AM296" i="2"/>
  <c r="AH139" i="2"/>
  <c r="AM243" i="2"/>
  <c r="AH179" i="2"/>
  <c r="AM19" i="2"/>
  <c r="AM103" i="2"/>
  <c r="AM187" i="2"/>
  <c r="AM295" i="2"/>
  <c r="AH192" i="2"/>
  <c r="AH259" i="2"/>
  <c r="AM80" i="2"/>
  <c r="AM164" i="2"/>
  <c r="AM248" i="2"/>
  <c r="AH183" i="2"/>
  <c r="AM21" i="2"/>
  <c r="AM105" i="2"/>
  <c r="AM129" i="2"/>
  <c r="AM201" i="2"/>
  <c r="AM285" i="2"/>
  <c r="AM309" i="2"/>
  <c r="AH40" i="2"/>
  <c r="AH59" i="2"/>
  <c r="AH88" i="2"/>
  <c r="AH107" i="2"/>
  <c r="AH136" i="2"/>
  <c r="AH155" i="2"/>
  <c r="AH184" i="2"/>
  <c r="AH203" i="2"/>
  <c r="AH232" i="2"/>
  <c r="AH251" i="2"/>
  <c r="AH280" i="2"/>
  <c r="AH299" i="2"/>
  <c r="AH328" i="2"/>
  <c r="AM10" i="2"/>
  <c r="AM34" i="2"/>
  <c r="AM58" i="2"/>
  <c r="AM82" i="2"/>
  <c r="AM106" i="2"/>
  <c r="AM130" i="2"/>
  <c r="AM154" i="2"/>
  <c r="AM178" i="2"/>
  <c r="AM202" i="2"/>
  <c r="AM226" i="2"/>
  <c r="AH264" i="2"/>
  <c r="AM75" i="2"/>
  <c r="AM303" i="2"/>
  <c r="AH131" i="2"/>
  <c r="AM139" i="2"/>
  <c r="AH115" i="2"/>
  <c r="AM44" i="2"/>
  <c r="AM140" i="2"/>
  <c r="AM236" i="2"/>
  <c r="AM332" i="2"/>
  <c r="AH87" i="2"/>
  <c r="AH231" i="2"/>
  <c r="AH327" i="2"/>
  <c r="AM45" i="2"/>
  <c r="AM117" i="2"/>
  <c r="AM213" i="2"/>
  <c r="AM297" i="2"/>
  <c r="AM321" i="2"/>
  <c r="AH11" i="2"/>
  <c r="AH43" i="2"/>
  <c r="AH331" i="2"/>
  <c r="AM63" i="2"/>
  <c r="AM315" i="2"/>
  <c r="AH227" i="2"/>
  <c r="AM43" i="2"/>
  <c r="AM163" i="2"/>
  <c r="AM32" i="2"/>
  <c r="AM128" i="2"/>
  <c r="AM224" i="2"/>
  <c r="AM57" i="2"/>
  <c r="AM165" i="2"/>
  <c r="AM249" i="2"/>
  <c r="AM255" i="2"/>
  <c r="AH16" i="2"/>
  <c r="AH239" i="2"/>
  <c r="AM91" i="2"/>
  <c r="AM211" i="2"/>
  <c r="AM307" i="2"/>
  <c r="AH67" i="2"/>
  <c r="AH144" i="2"/>
  <c r="AH307" i="2"/>
  <c r="AM56" i="2"/>
  <c r="AM152" i="2"/>
  <c r="AM212" i="2"/>
  <c r="AM284" i="2"/>
  <c r="AM308" i="2"/>
  <c r="AM69" i="2"/>
  <c r="AM177" i="2"/>
  <c r="AM273" i="2"/>
  <c r="AH22" i="2"/>
  <c r="AH70" i="2"/>
  <c r="AH118" i="2"/>
  <c r="AH166" i="2"/>
  <c r="AH214" i="2"/>
  <c r="AH262" i="2"/>
  <c r="AH310" i="2"/>
  <c r="AH91" i="2"/>
  <c r="AM51" i="2"/>
  <c r="AM267" i="2"/>
  <c r="AM31" i="2"/>
  <c r="AM127" i="2"/>
  <c r="AM223" i="2"/>
  <c r="AM319" i="2"/>
  <c r="AH19" i="2"/>
  <c r="AM92" i="2"/>
  <c r="AM176" i="2"/>
  <c r="AM260" i="2"/>
  <c r="AM320" i="2"/>
  <c r="AM9" i="2"/>
  <c r="AM81" i="2"/>
  <c r="AM153" i="2"/>
  <c r="AM237" i="2"/>
  <c r="AH187" i="2"/>
  <c r="AH312" i="2"/>
  <c r="AH15" i="2"/>
  <c r="AH111" i="2"/>
  <c r="AH207" i="2"/>
  <c r="AM183" i="2"/>
  <c r="AH143" i="2"/>
  <c r="AM67" i="2"/>
  <c r="AM151" i="2"/>
  <c r="AM331" i="2"/>
  <c r="AH96" i="2"/>
  <c r="AM8" i="2"/>
  <c r="AM104" i="2"/>
  <c r="AM188" i="2"/>
  <c r="AM272" i="2"/>
  <c r="AH279" i="2"/>
  <c r="AM33" i="2"/>
  <c r="AM141" i="2"/>
  <c r="AM225" i="2"/>
  <c r="AM87" i="2"/>
  <c r="AM291" i="2"/>
  <c r="AH35" i="2"/>
  <c r="AH191" i="2"/>
  <c r="AM79" i="2"/>
  <c r="AM199" i="2"/>
  <c r="AH48" i="2"/>
  <c r="AH211" i="2"/>
  <c r="AM68" i="2"/>
  <c r="AM200" i="2"/>
  <c r="AH39" i="2"/>
  <c r="AH135" i="2"/>
  <c r="AM93" i="2"/>
  <c r="AM189" i="2"/>
  <c r="AM261" i="2"/>
  <c r="AN6" i="2" l="1"/>
  <c r="AO6" i="2"/>
  <c r="S6" i="2"/>
  <c r="T6" i="2" l="1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A335" i="2" l="1"/>
  <c r="AK6" i="2" l="1"/>
  <c r="AL6" i="2"/>
  <c r="AG6" i="2"/>
  <c r="B84" i="1"/>
  <c r="B75" i="1"/>
  <c r="F65" i="1"/>
  <c r="B65" i="1"/>
  <c r="F50" i="1"/>
  <c r="B50" i="1"/>
  <c r="B36" i="1"/>
  <c r="AM6" i="2" l="1"/>
  <c r="AH6" i="2"/>
  <c r="F97" i="1"/>
  <c r="F94" i="1"/>
  <c r="AE6" i="2" l="1"/>
  <c r="AJ6" i="2" l="1"/>
  <c r="C1" i="2" l="1"/>
  <c r="D1" i="2" s="1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M6" i="2" l="1"/>
  <c r="F6" i="2" l="1"/>
  <c r="B54" i="1" l="1"/>
  <c r="I6" i="2" l="1"/>
  <c r="AI6" i="2" l="1"/>
  <c r="Z6" i="2"/>
  <c r="AC6" i="2"/>
  <c r="V6" i="2"/>
  <c r="Y6" i="2"/>
  <c r="AA6" i="2"/>
  <c r="AB6" i="2"/>
  <c r="H6" i="2"/>
  <c r="AD6" i="2"/>
  <c r="E6" i="2"/>
  <c r="G6" i="2"/>
  <c r="J6" i="2"/>
  <c r="K6" i="2"/>
  <c r="L6" i="2"/>
  <c r="P6" i="2"/>
  <c r="D6" i="2"/>
  <c r="A3" i="1" l="1"/>
  <c r="F95" i="1" l="1"/>
  <c r="F96" i="1" s="1"/>
  <c r="F98" i="1" s="1"/>
  <c r="E27" i="1"/>
  <c r="F27" i="1" s="1"/>
  <c r="E24" i="1"/>
  <c r="F56" i="1"/>
  <c r="B55" i="1"/>
  <c r="F49" i="1"/>
  <c r="B82" i="1"/>
  <c r="B96" i="1"/>
  <c r="F76" i="1"/>
  <c r="B38" i="1"/>
  <c r="B63" i="1"/>
  <c r="F64" i="1"/>
  <c r="B64" i="1"/>
  <c r="F55" i="1"/>
  <c r="B49" i="1"/>
  <c r="B83" i="1"/>
  <c r="F82" i="1"/>
  <c r="B66" i="1"/>
  <c r="B74" i="1"/>
  <c r="B34" i="1"/>
  <c r="B48" i="1"/>
  <c r="E28" i="1"/>
  <c r="F28" i="1" s="1"/>
  <c r="F85" i="1"/>
  <c r="B94" i="1"/>
  <c r="B76" i="1"/>
  <c r="F93" i="1"/>
  <c r="F63" i="1"/>
  <c r="B56" i="1"/>
  <c r="F48" i="1"/>
  <c r="B85" i="1"/>
  <c r="F83" i="1"/>
  <c r="B93" i="1"/>
  <c r="F66" i="1"/>
  <c r="F67" i="1" s="1"/>
  <c r="F74" i="1"/>
  <c r="B37" i="1"/>
  <c r="B26" i="1"/>
  <c r="B25" i="1"/>
  <c r="E26" i="1"/>
  <c r="E25" i="1"/>
  <c r="B8" i="1"/>
  <c r="B58" i="1" l="1"/>
  <c r="F58" i="1"/>
  <c r="B57" i="1"/>
  <c r="F99" i="1"/>
  <c r="F100" i="1" s="1"/>
  <c r="E19" i="1" s="1"/>
  <c r="F57" i="1"/>
  <c r="F68" i="1"/>
  <c r="F70" i="1" s="1"/>
  <c r="F16" i="1" s="1"/>
  <c r="F13" i="1"/>
  <c r="B35" i="1"/>
  <c r="B67" i="1"/>
  <c r="B68" i="1" s="1"/>
  <c r="F24" i="1"/>
  <c r="F25" i="1"/>
  <c r="F26" i="1"/>
  <c r="B59" i="1" l="1"/>
  <c r="F59" i="1"/>
  <c r="F71" i="1"/>
  <c r="E16" i="1" s="1"/>
  <c r="B70" i="1"/>
  <c r="B40" i="1" l="1"/>
  <c r="F54" i="1"/>
  <c r="F75" i="1"/>
  <c r="F84" i="1"/>
  <c r="B95" i="1"/>
  <c r="F52" i="1" l="1"/>
  <c r="A92" i="1"/>
  <c r="A22" i="1"/>
  <c r="F53" i="1" l="1"/>
  <c r="F60" i="1" s="1"/>
  <c r="B86" i="1"/>
  <c r="B87" i="1" s="1"/>
  <c r="F77" i="1"/>
  <c r="F78" i="1" s="1"/>
  <c r="B77" i="1"/>
  <c r="B78" i="1" s="1"/>
  <c r="A21" i="1"/>
  <c r="F86" i="1"/>
  <c r="F87" i="1" l="1"/>
  <c r="F89" i="1" s="1"/>
  <c r="B39" i="1"/>
  <c r="B41" i="1" s="1"/>
  <c r="B42" i="1" s="1"/>
  <c r="B79" i="1"/>
  <c r="E17" i="1" s="1"/>
  <c r="E81" i="1"/>
  <c r="F79" i="1" l="1"/>
  <c r="E18" i="1" s="1"/>
  <c r="F15" i="1"/>
  <c r="B71" i="1"/>
  <c r="E15" i="1" s="1"/>
  <c r="F21" i="1"/>
  <c r="F14" i="1" l="1"/>
  <c r="F90" i="1"/>
  <c r="E21" i="1" s="1"/>
  <c r="E14" i="1" l="1"/>
  <c r="R6" i="2" l="1"/>
  <c r="Q6" i="2"/>
  <c r="W6" i="2"/>
  <c r="B97" i="1"/>
  <c r="B98" i="1" s="1"/>
  <c r="X6" i="2"/>
  <c r="B52" i="1"/>
  <c r="B53" i="1" s="1"/>
  <c r="B60" i="1" l="1"/>
  <c r="E13" i="1" s="1"/>
  <c r="B44" i="1"/>
  <c r="F12" i="1" s="1"/>
  <c r="B89" i="1"/>
  <c r="F20" i="1" s="1"/>
  <c r="B100" i="1"/>
  <c r="F22" i="1" s="1"/>
  <c r="U6" i="2"/>
  <c r="B90" i="1" l="1"/>
  <c r="E20" i="1" s="1"/>
  <c r="B45" i="1"/>
  <c r="E12" i="1" s="1"/>
  <c r="B101" i="1"/>
  <c r="E22" i="1" s="1"/>
</calcChain>
</file>

<file path=xl/sharedStrings.xml><?xml version="1.0" encoding="utf-8"?>
<sst xmlns="http://schemas.openxmlformats.org/spreadsheetml/2006/main" count="891" uniqueCount="818">
  <si>
    <t>CARRYOVER</t>
  </si>
  <si>
    <t>4121</t>
  </si>
  <si>
    <t>4155</t>
  </si>
  <si>
    <t>4165</t>
  </si>
  <si>
    <t>4174</t>
  </si>
  <si>
    <t>4199</t>
  </si>
  <si>
    <t>STATE</t>
  </si>
  <si>
    <t>INST INDIRECT</t>
  </si>
  <si>
    <t>INST. 26</t>
  </si>
  <si>
    <t>FIRE DIST</t>
  </si>
  <si>
    <t>EXPEND</t>
  </si>
  <si>
    <t>PAY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</si>
  <si>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</si>
  <si>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</si>
  <si>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</si>
  <si>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</si>
  <si>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</si>
  <si>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</si>
  <si>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</si>
  <si>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</si>
  <si>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</si>
  <si>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</si>
  <si>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</si>
  <si>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</si>
  <si>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</si>
  <si>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</si>
  <si>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</si>
  <si>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</si>
  <si>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</si>
  <si>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</si>
  <si>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</si>
  <si>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</si>
  <si>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</si>
  <si>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</si>
  <si>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</si>
  <si>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</si>
  <si>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</si>
  <si>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</si>
  <si>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</si>
  <si>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</si>
  <si>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</si>
  <si>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</si>
  <si>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</si>
  <si>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</si>
  <si>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</si>
  <si>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</si>
  <si>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</si>
  <si>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</si>
  <si>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</si>
  <si>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</si>
  <si>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</si>
  <si>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</si>
  <si>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</si>
  <si>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</si>
  <si>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</si>
  <si>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</si>
  <si>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</si>
  <si>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</si>
  <si>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</si>
  <si>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</si>
  <si>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</si>
  <si>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</si>
  <si>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</si>
  <si>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</si>
  <si>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</si>
  <si>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</si>
  <si>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</si>
  <si>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</si>
  <si>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</si>
  <si>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</si>
  <si>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</si>
  <si>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</si>
  <si>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</si>
  <si>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</si>
  <si>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</si>
  <si>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</si>
  <si>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</si>
  <si>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</si>
  <si>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</si>
  <si>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</si>
  <si>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</si>
  <si>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</si>
  <si>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</si>
  <si>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</si>
  <si>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</si>
  <si>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</si>
  <si>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</si>
  <si>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</si>
  <si>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</si>
  <si>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</si>
  <si>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</si>
  <si>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</si>
  <si>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</si>
  <si>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</si>
  <si>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</si>
  <si>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</si>
  <si>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</si>
  <si>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</si>
  <si>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</si>
  <si>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</si>
  <si>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</si>
  <si>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</si>
  <si>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</si>
  <si>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</si>
  <si>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</si>
  <si>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</si>
  <si>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</si>
  <si>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</si>
  <si>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</si>
  <si>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</si>
  <si>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</si>
  <si>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</si>
  <si>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</si>
  <si>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</si>
  <si>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</si>
  <si>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</si>
  <si>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</si>
  <si>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</si>
  <si>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</si>
  <si>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</si>
  <si>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</si>
  <si>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</si>
  <si>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</si>
  <si>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</si>
  <si>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</si>
  <si>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</si>
  <si>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</si>
  <si>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</si>
  <si>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</si>
  <si>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</si>
  <si>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</si>
  <si>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</si>
  <si>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</si>
  <si>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</si>
  <si>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</si>
  <si>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</si>
  <si>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</si>
  <si>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</si>
  <si>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</si>
  <si>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</si>
  <si>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</si>
  <si>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</si>
  <si>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</si>
  <si>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</si>
  <si>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</si>
  <si>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</si>
  <si>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</si>
  <si>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</si>
  <si>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</si>
  <si>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</si>
  <si>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</si>
  <si>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</si>
  <si>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</si>
  <si>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</si>
  <si>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</si>
  <si>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</si>
  <si>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</si>
  <si>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</si>
  <si>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</si>
  <si>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</si>
  <si>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</si>
  <si>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</si>
  <si>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</si>
  <si>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</si>
  <si>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</si>
  <si>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</si>
  <si>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</si>
  <si>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</si>
  <si>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</si>
  <si>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</si>
  <si>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</si>
  <si>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</si>
  <si>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</si>
  <si>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</si>
  <si>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</si>
  <si>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</si>
  <si>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</si>
  <si>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</si>
  <si>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</si>
  <si>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</si>
  <si>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</si>
  <si>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</si>
  <si>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</si>
  <si>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</si>
  <si>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</si>
  <si>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</si>
  <si>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</si>
  <si>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</si>
  <si>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</si>
  <si>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</si>
  <si>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</si>
  <si>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</si>
  <si>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</si>
  <si>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</si>
  <si>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</si>
  <si>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</si>
  <si>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</si>
  <si>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</si>
  <si>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</si>
  <si>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</si>
  <si>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</si>
  <si>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</si>
  <si>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</si>
  <si>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</si>
  <si>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</si>
  <si>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</si>
  <si>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</si>
  <si>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</si>
  <si>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</si>
  <si>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</si>
  <si>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</si>
  <si>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</si>
  <si>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</si>
  <si>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</si>
  <si>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</si>
  <si>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</si>
  <si>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</si>
  <si>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</si>
  <si>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</si>
  <si>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</si>
  <si>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</si>
  <si>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</si>
  <si>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</si>
  <si>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</si>
  <si>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</si>
  <si>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</si>
  <si>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</si>
  <si>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</si>
  <si>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</si>
  <si>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</si>
  <si>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</si>
  <si>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</si>
  <si>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</si>
  <si>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</si>
  <si>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</si>
  <si>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</si>
  <si>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</si>
  <si>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</si>
  <si>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</si>
  <si>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</si>
  <si>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</si>
  <si>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</si>
  <si>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</si>
  <si>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</si>
  <si>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</si>
  <si>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</si>
  <si>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</si>
  <si>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</si>
  <si>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</si>
  <si>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</si>
  <si>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</si>
  <si>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</si>
  <si>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</si>
  <si>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</si>
  <si>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</si>
  <si>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</si>
  <si>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</si>
  <si>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</si>
  <si>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</si>
  <si>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</si>
  <si>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</si>
  <si>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</si>
  <si>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</si>
  <si>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</si>
  <si>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</si>
  <si>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</si>
  <si>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</si>
  <si>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</si>
  <si>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</si>
  <si>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</si>
  <si>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</si>
  <si>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</si>
  <si>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</si>
  <si>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</si>
  <si>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</si>
  <si>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</si>
  <si>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</si>
  <si>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</si>
  <si>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</si>
  <si>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</si>
  <si>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</si>
  <si>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</si>
  <si>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</si>
  <si>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</si>
  <si>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</si>
  <si>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</si>
  <si>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</si>
  <si>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</si>
  <si>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</si>
  <si>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</si>
  <si>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</si>
  <si>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</si>
  <si>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</si>
  <si>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</si>
  <si>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</si>
  <si>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</si>
  <si>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</si>
  <si>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</si>
  <si>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</si>
  <si>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</si>
  <si>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</si>
  <si>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</si>
  <si>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</si>
  <si>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</si>
  <si>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</si>
  <si>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</si>
  <si>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</si>
  <si>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Direct Expenditures:</t>
  </si>
  <si>
    <t xml:space="preserve">  Program 21 Special Ed</t>
  </si>
  <si>
    <t xml:space="preserve">  Program 65 Bilingual</t>
  </si>
  <si>
    <t xml:space="preserve">  Program 74 Highly Capable</t>
  </si>
  <si>
    <t xml:space="preserve">  Program 99 Transportation</t>
  </si>
  <si>
    <t xml:space="preserve">  Program 26 State Institution.</t>
  </si>
  <si>
    <t>SPECIAL EDUCATION PROGRAM 21</t>
  </si>
  <si>
    <t>LAP PROGRAM 55</t>
  </si>
  <si>
    <t>B. Prior Year Carryover</t>
  </si>
  <si>
    <t>C. Direct Expenditures</t>
  </si>
  <si>
    <t>E. (C * (1 + D))</t>
  </si>
  <si>
    <t>F. Lesser of A or (E - B)</t>
  </si>
  <si>
    <t>G. Carryover :</t>
  </si>
  <si>
    <t xml:space="preserve">    (A - F, max. A * .1)</t>
  </si>
  <si>
    <t>BILINGUAL PROGRAM 65</t>
  </si>
  <si>
    <t>HIGHLY CAPABLE PROGRAM 74</t>
  </si>
  <si>
    <t>B. Direct Expenditures</t>
  </si>
  <si>
    <t>D. (B * (1 + C))</t>
  </si>
  <si>
    <t>E. Lesser of A or D</t>
  </si>
  <si>
    <t>TRANSPORTATION PROGRAM 99</t>
  </si>
  <si>
    <t>D. Indirect Allocation</t>
  </si>
  <si>
    <t>E. (C + D)</t>
  </si>
  <si>
    <t>H. Recovery (F + G - A)</t>
  </si>
  <si>
    <t>STATE INSTITUTIONS PROGRAM 26</t>
  </si>
  <si>
    <t>Select District =&gt;</t>
  </si>
  <si>
    <t>ccddd</t>
  </si>
  <si>
    <t>Recovery</t>
  </si>
  <si>
    <t>Carryover</t>
  </si>
  <si>
    <t>SUMMARY OF ESTIMATED AMOUNTS</t>
  </si>
  <si>
    <t xml:space="preserve">  Revenue 7121 Special Ed</t>
  </si>
  <si>
    <t xml:space="preserve">  Revenue 7199 Transportation</t>
  </si>
  <si>
    <t>Revenues from Other School Districts</t>
  </si>
  <si>
    <t>A.  Allocation</t>
  </si>
  <si>
    <t>A. Minimum Direct Expend.</t>
  </si>
  <si>
    <t>F. Recovery (E - A)</t>
  </si>
  <si>
    <t>ENTER DATA HERE</t>
  </si>
  <si>
    <t>04801</t>
  </si>
  <si>
    <t>06801</t>
  </si>
  <si>
    <t>11801</t>
  </si>
  <si>
    <t>17801</t>
  </si>
  <si>
    <t>18801</t>
  </si>
  <si>
    <t>29801</t>
  </si>
  <si>
    <t>32801</t>
  </si>
  <si>
    <t>34801</t>
  </si>
  <si>
    <t>39801</t>
  </si>
  <si>
    <t>Click Arrow &amp; Select District =&gt;</t>
  </si>
  <si>
    <t>Deductible Revenues</t>
  </si>
  <si>
    <t xml:space="preserve">  Revenue 1400 Local In-lieu of Taxes</t>
  </si>
  <si>
    <t xml:space="preserve">  Revenue 1600 County Admin Forests</t>
  </si>
  <si>
    <t xml:space="preserve">  Revenue 3600 State Forests</t>
  </si>
  <si>
    <t xml:space="preserve">  Revenue 5400 Federal In-lieu of Taxes</t>
  </si>
  <si>
    <t>Adjustment</t>
  </si>
  <si>
    <t>D. Account 3121 Allotment</t>
  </si>
  <si>
    <t>F. ((C - D) * (1 + E))</t>
  </si>
  <si>
    <t>G.  Revenue 7121</t>
  </si>
  <si>
    <t>H. (F - G)</t>
  </si>
  <si>
    <t>I. Lesser of A or (H - B)</t>
  </si>
  <si>
    <t xml:space="preserve">    (A - I, max. A * .1)</t>
  </si>
  <si>
    <t>J. Carryover :</t>
  </si>
  <si>
    <t>K. Recovery (I + J - A)</t>
  </si>
  <si>
    <t>Report 1191</t>
  </si>
  <si>
    <t>Note:  The allocations displayed may be over written to view the effect of anticipated changes.</t>
  </si>
  <si>
    <t xml:space="preserve">    (A + B - C, max. A * .1)</t>
  </si>
  <si>
    <t>F. Vocational FTE Enrollment</t>
  </si>
  <si>
    <t>FTE</t>
  </si>
  <si>
    <t>ENHANCE</t>
  </si>
  <si>
    <t>INST. 59</t>
  </si>
  <si>
    <t>ACCT. 4159</t>
  </si>
  <si>
    <t>Select district, then enter amounts in cells B13 through B33 to calculate estimated recoveries.</t>
  </si>
  <si>
    <t>198A</t>
  </si>
  <si>
    <t>200A</t>
  </si>
  <si>
    <t>Z266</t>
  </si>
  <si>
    <t>040A</t>
  </si>
  <si>
    <t>E54</t>
  </si>
  <si>
    <t>E55</t>
  </si>
  <si>
    <t>Z456</t>
  </si>
  <si>
    <t>136A</t>
  </si>
  <si>
    <t>076A</t>
  </si>
  <si>
    <t>RATE</t>
  </si>
  <si>
    <t>A24</t>
  </si>
  <si>
    <t>A27</t>
  </si>
  <si>
    <t>116A</t>
  </si>
  <si>
    <t>087A</t>
  </si>
  <si>
    <t>O7</t>
  </si>
  <si>
    <t>137A</t>
  </si>
  <si>
    <t>Z095</t>
  </si>
  <si>
    <t>Prog 21 Calc</t>
  </si>
  <si>
    <t>TBIP Total Alloc</t>
  </si>
  <si>
    <t>HiCap Total</t>
  </si>
  <si>
    <t>&amp; INST 34</t>
  </si>
  <si>
    <t>CTE MIN</t>
  </si>
  <si>
    <t>CTE</t>
  </si>
  <si>
    <t>MS CTE MIN</t>
  </si>
  <si>
    <t>CTE FTE</t>
  </si>
  <si>
    <t>CTE Enhance</t>
  </si>
  <si>
    <t>MS CTE</t>
  </si>
  <si>
    <t>SPECIAL ED</t>
  </si>
  <si>
    <t>CARRYOVER ACCT. 4121</t>
  </si>
  <si>
    <t>088A</t>
  </si>
  <si>
    <t>CARRYOVER ACCT. 4155</t>
  </si>
  <si>
    <t xml:space="preserve"> 075A</t>
  </si>
  <si>
    <t>CAREER &amp; TECH PROGRAM 31</t>
  </si>
  <si>
    <t>MIDDLE SCHOOL CAREER &amp; TECH PROGRAM 34</t>
  </si>
  <si>
    <t xml:space="preserve">  Program 31 Career &amp; Tech</t>
  </si>
  <si>
    <t xml:space="preserve">  Program 34 Middle School Career &amp; Tech</t>
  </si>
  <si>
    <t>17903</t>
  </si>
  <si>
    <t>18902</t>
  </si>
  <si>
    <t>37903</t>
  </si>
  <si>
    <t>17902</t>
  </si>
  <si>
    <t>17908</t>
  </si>
  <si>
    <t>27905</t>
  </si>
  <si>
    <t>32901</t>
  </si>
  <si>
    <t>32907</t>
  </si>
  <si>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</si>
  <si>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</si>
  <si>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</si>
  <si>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</si>
  <si>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</si>
  <si>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</si>
  <si>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</si>
  <si>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</si>
  <si>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</si>
  <si>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 BENTON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</si>
  <si>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</si>
  <si>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</si>
  <si>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</si>
  <si>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</si>
  <si>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</si>
  <si>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</si>
  <si>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</si>
  <si>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</si>
  <si>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</si>
  <si>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</si>
  <si>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</si>
  <si>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</si>
  <si>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</si>
  <si>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</si>
  <si>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</si>
  <si>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</si>
  <si>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</si>
  <si>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LACENTER</t>
  </si>
  <si>
    <t>GREEN MOUNTAIN</t>
  </si>
  <si>
    <t>WASHOUGAL</t>
  </si>
  <si>
    <t>EVERGREEN (CLARK)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</si>
  <si>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</si>
  <si>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</si>
  <si>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</si>
  <si>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</si>
  <si>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</si>
  <si>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</si>
  <si>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</si>
  <si>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</si>
  <si>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</si>
  <si>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</si>
  <si>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</si>
  <si>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</si>
  <si>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</si>
  <si>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</si>
  <si>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</si>
  <si>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</si>
  <si>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</si>
  <si>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</si>
  <si>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</si>
  <si>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</si>
  <si>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</si>
  <si>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</si>
  <si>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</si>
  <si>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</si>
  <si>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</si>
  <si>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</si>
  <si>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</si>
  <si>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</si>
  <si>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</si>
  <si>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</si>
  <si>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COULEE/HARTLINE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</si>
  <si>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</si>
  <si>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</si>
  <si>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</si>
  <si>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</si>
  <si>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</si>
  <si>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</si>
  <si>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</si>
  <si>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</si>
  <si>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</si>
  <si>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 CLEARY</t>
  </si>
  <si>
    <t>MONTESANO</t>
  </si>
  <si>
    <t>ELMA</t>
  </si>
  <si>
    <t>TAHOLAH</t>
  </si>
  <si>
    <t>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</si>
  <si>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</si>
  <si>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</si>
  <si>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</si>
  <si>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</si>
  <si>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</si>
  <si>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</si>
  <si>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</si>
  <si>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</si>
  <si>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</si>
  <si>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</si>
  <si>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</si>
  <si>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</si>
  <si>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</si>
  <si>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</si>
  <si>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</si>
  <si>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</si>
  <si>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</si>
  <si>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</si>
  <si>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</si>
  <si>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</si>
  <si>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</si>
  <si>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</si>
  <si>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</si>
  <si>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</si>
  <si>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</si>
  <si>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</si>
  <si>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</si>
  <si>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</si>
  <si>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</si>
  <si>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</si>
  <si>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</si>
  <si>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</si>
  <si>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</si>
  <si>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BAINBRIDGE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</si>
  <si>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</si>
  <si>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</si>
  <si>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</si>
  <si>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</si>
  <si>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</si>
  <si>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</si>
  <si>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</si>
  <si>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</si>
  <si>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</si>
  <si>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</si>
  <si>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</si>
  <si>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</si>
  <si>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</si>
  <si>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</si>
  <si>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</si>
  <si>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</si>
  <si>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</si>
  <si>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</si>
  <si>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</si>
  <si>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</si>
  <si>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</si>
  <si>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</si>
  <si>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</si>
  <si>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</si>
  <si>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</si>
  <si>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</si>
  <si>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</si>
  <si>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</si>
  <si>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</si>
  <si>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</si>
  <si>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</si>
  <si>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</si>
  <si>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</si>
  <si>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</si>
  <si>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</si>
  <si>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</si>
  <si>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</si>
  <si>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</si>
  <si>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</si>
  <si>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</si>
  <si>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</si>
  <si>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</si>
  <si>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</si>
  <si>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</si>
  <si>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</si>
  <si>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</si>
  <si>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</si>
  <si>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</si>
  <si>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</si>
  <si>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</si>
  <si>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</si>
  <si>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</si>
  <si>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</si>
  <si>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</si>
  <si>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</si>
  <si>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</si>
  <si>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</si>
  <si>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</si>
  <si>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</si>
  <si>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</si>
  <si>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</si>
  <si>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</si>
  <si>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</si>
  <si>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</si>
  <si>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</si>
  <si>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</si>
  <si>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</si>
  <si>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</si>
  <si>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</si>
  <si>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</si>
  <si>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</si>
  <si>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</si>
  <si>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</si>
  <si>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</si>
  <si>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</si>
  <si>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</si>
  <si>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</si>
  <si>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</si>
  <si>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SHAW</t>
  </si>
  <si>
    <t>ORCAS</t>
  </si>
  <si>
    <t>LOPEZ</t>
  </si>
  <si>
    <t>SAN JUAN</t>
  </si>
  <si>
    <t>CONCRETE</t>
  </si>
  <si>
    <t>BURLINGTON EDISON</t>
  </si>
  <si>
    <t>SEDRO WOOLLEY</t>
  </si>
  <si>
    <t>ANACORTES</t>
  </si>
  <si>
    <t>LA CONNER</t>
  </si>
  <si>
    <t>CONWAY</t>
  </si>
  <si>
    <t>MT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</si>
  <si>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</si>
  <si>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</si>
  <si>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</si>
  <si>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</si>
  <si>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</si>
  <si>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</si>
  <si>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</si>
  <si>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</si>
  <si>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</si>
  <si>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</si>
  <si>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</si>
  <si>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</si>
  <si>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</si>
  <si>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</si>
  <si>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</si>
  <si>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</si>
  <si>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</si>
  <si>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</si>
  <si>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</si>
  <si>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</si>
  <si>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</si>
  <si>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</si>
  <si>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</si>
  <si>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</si>
  <si>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</si>
  <si>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</si>
  <si>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</si>
  <si>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</t>
  </si>
  <si>
    <t>LIBERTY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</si>
  <si>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</si>
  <si>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</si>
  <si>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</si>
  <si>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</si>
  <si>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</si>
  <si>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</si>
  <si>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</si>
  <si>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</si>
  <si>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</si>
  <si>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</si>
  <si>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</si>
  <si>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</si>
  <si>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</si>
  <si>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</si>
  <si>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</si>
  <si>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</si>
  <si>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</si>
  <si>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</si>
  <si>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</si>
  <si>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</si>
  <si>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</si>
  <si>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</si>
  <si>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</si>
  <si>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</si>
  <si>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</si>
  <si>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COLUMBIA (WALLA)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</si>
  <si>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</si>
  <si>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</si>
  <si>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</si>
  <si>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</si>
  <si>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</si>
  <si>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</si>
  <si>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</si>
  <si>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</si>
  <si>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</si>
  <si>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LACROSSE JOINT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</si>
  <si>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</si>
  <si>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</si>
  <si>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</si>
  <si>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</si>
  <si>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</si>
  <si>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</si>
  <si>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</si>
  <si>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</si>
  <si>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</si>
  <si>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</si>
  <si>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 JOHN</t>
  </si>
  <si>
    <t>OAKESDALE</t>
  </si>
  <si>
    <t>UNION GAP</t>
  </si>
  <si>
    <t>NACHES VALLEY</t>
  </si>
  <si>
    <t>YAKIMA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</si>
  <si>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</si>
  <si>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</si>
  <si>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</si>
  <si>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</si>
  <si>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</si>
  <si>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</si>
  <si>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</si>
  <si>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</si>
  <si>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</si>
  <si>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MOUNT ADAMS</t>
  </si>
  <si>
    <t>ESD 105</t>
  </si>
  <si>
    <t>ESD 112</t>
  </si>
  <si>
    <t>ESD 123</t>
  </si>
  <si>
    <t>ESD 101</t>
  </si>
  <si>
    <t>ESD 113</t>
  </si>
  <si>
    <t>Sort</t>
  </si>
  <si>
    <t>D. Allowed Carryover :</t>
  </si>
  <si>
    <r>
      <t>D. Allowed Carryover :</t>
    </r>
    <r>
      <rPr>
        <b/>
        <sz val="10"/>
        <color rgb="FFFF0000"/>
        <rFont val="Calibri"/>
        <family val="2"/>
        <scheme val="minor"/>
      </rPr>
      <t xml:space="preserve"> </t>
    </r>
  </si>
  <si>
    <t>E. Unspent (C + D - A - B)</t>
  </si>
  <si>
    <t>05903</t>
  </si>
  <si>
    <t>ESA 112</t>
  </si>
  <si>
    <t>06701</t>
  </si>
  <si>
    <t>SUMMIT: ATLAS</t>
  </si>
  <si>
    <t>17905</t>
  </si>
  <si>
    <t>17910</t>
  </si>
  <si>
    <t>SUMMIT: OLYMPUS</t>
  </si>
  <si>
    <t>WA HE LUT</t>
  </si>
  <si>
    <t>34901</t>
  </si>
  <si>
    <t>O7HP</t>
  </si>
  <si>
    <t>HP LAP Total</t>
  </si>
  <si>
    <t>Regular LAP Total</t>
  </si>
  <si>
    <t>FED RESTRICTED</t>
  </si>
  <si>
    <t>A.  Regular Allocation</t>
  </si>
  <si>
    <t>A. High Poverty Allocation</t>
  </si>
  <si>
    <t>C. Direct Regular Expenditures</t>
  </si>
  <si>
    <t>C. Direct High Poverty Expenditures</t>
  </si>
  <si>
    <t xml:space="preserve">  Program 55 LAP Regular</t>
  </si>
  <si>
    <t xml:space="preserve">  Program 55 LAP High Poverty</t>
  </si>
  <si>
    <t>Fire District Payment (in July's Report 1191 line VI.10.)</t>
  </si>
  <si>
    <t>G. Carryover Regular:</t>
  </si>
  <si>
    <t>H. Recovery Regular (F + G - A)</t>
  </si>
  <si>
    <t>G. Carryover High Poverty:</t>
  </si>
  <si>
    <t>H. Recovery High Poverty (F + G - A)</t>
  </si>
  <si>
    <t>27901</t>
  </si>
  <si>
    <t>CHIEF LESCHI</t>
  </si>
  <si>
    <t>17911</t>
  </si>
  <si>
    <t>LAP Regular</t>
  </si>
  <si>
    <t xml:space="preserve"> 075Ahp</t>
  </si>
  <si>
    <t>LAP HiPov</t>
  </si>
  <si>
    <t>E. State Recovery Rate</t>
  </si>
  <si>
    <t>C. State Recovery Rate</t>
  </si>
  <si>
    <t>INST CARRYOVER</t>
  </si>
  <si>
    <t>ACCT. 4156 &amp; 34</t>
  </si>
  <si>
    <t>INST. 4156</t>
  </si>
  <si>
    <t>ACCT. 4126</t>
  </si>
  <si>
    <t>CTE 9-12 TOTAL</t>
  </si>
  <si>
    <t>BASIC ED</t>
  </si>
  <si>
    <t xml:space="preserve">Basic Ed </t>
  </si>
  <si>
    <t>Per Student</t>
  </si>
  <si>
    <t xml:space="preserve">Alloc </t>
  </si>
  <si>
    <t>per Student</t>
  </si>
  <si>
    <t>Z603</t>
  </si>
  <si>
    <t>Z583</t>
  </si>
  <si>
    <t>CTE 7-8 TOTAL</t>
  </si>
  <si>
    <t>YAKAMA</t>
  </si>
  <si>
    <t>39901</t>
  </si>
  <si>
    <t>D. Fed Restricted Recovery Rate</t>
  </si>
  <si>
    <t>F. Carryover (Lesser of D, A+B-C; 
if C greater than zero)</t>
  </si>
  <si>
    <t>4156 &amp; 34</t>
  </si>
  <si>
    <t>RAINIER VALLEY LEADERSHIP ACADEMY</t>
  </si>
  <si>
    <t>18901</t>
  </si>
  <si>
    <t>CATALYST</t>
  </si>
  <si>
    <t>IMPACT PUGET SOUND</t>
  </si>
  <si>
    <t>17916</t>
  </si>
  <si>
    <t>IMPACT SALISH SEA</t>
  </si>
  <si>
    <t>LUMEN</t>
  </si>
  <si>
    <t>32903</t>
  </si>
  <si>
    <t>WEST VALLEY (SPOKANE)</t>
  </si>
  <si>
    <t>WEST VALLEY (YAKIMA)</t>
  </si>
  <si>
    <t>SUMMIT: SIERRA</t>
  </si>
  <si>
    <t>SPOKANE INT'L</t>
  </si>
  <si>
    <t>RAINIER PREP</t>
  </si>
  <si>
    <t>PRIDE PREP</t>
  </si>
  <si>
    <t>NASELLE GRAYS RIVER</t>
  </si>
  <si>
    <t>EAST VALLEY (YAKIMA)</t>
  </si>
  <si>
    <t>EVERGREEN (STEVENS)</t>
  </si>
  <si>
    <t>COLUMBIA (STEVENS)</t>
  </si>
  <si>
    <t>157A</t>
  </si>
  <si>
    <t>TRN 4199 Total bfr Adjust</t>
  </si>
  <si>
    <t>C. Recovery Rate</t>
  </si>
  <si>
    <t>E.  Revenue 7199</t>
  </si>
  <si>
    <t>F. (D - E)</t>
  </si>
  <si>
    <t>G. Vocational Basic Ed</t>
  </si>
  <si>
    <t>H. Vocational Basic Ed per Student (G / F)</t>
  </si>
  <si>
    <t>I. Vocational Alloc per Student (A / F)</t>
  </si>
  <si>
    <t>J. Vocational Enhancement (I - H) * F</t>
  </si>
  <si>
    <t>K.  Recovery (Lesser of E or -J)</t>
  </si>
  <si>
    <t>G. Lesser of A or F</t>
  </si>
  <si>
    <t>I. Recovery (G - A)</t>
  </si>
  <si>
    <t>27902</t>
  </si>
  <si>
    <t>LUMMI</t>
  </si>
  <si>
    <t>MUCKLESHOOT</t>
  </si>
  <si>
    <t>ESD 171</t>
  </si>
  <si>
    <t>ESD 189</t>
  </si>
  <si>
    <t>ESD 114</t>
  </si>
  <si>
    <t>ESD 121</t>
  </si>
  <si>
    <t>QUILEUTE</t>
  </si>
  <si>
    <t>SUQUAMISH</t>
  </si>
  <si>
    <t>PINNACLES PREP</t>
  </si>
  <si>
    <t>38901</t>
  </si>
  <si>
    <t>PULLMAN COMMUNITY MONTESSORI</t>
  </si>
  <si>
    <t>37902</t>
  </si>
  <si>
    <t>WHATCOM INTERGENERATIONAL</t>
  </si>
  <si>
    <t>17917</t>
  </si>
  <si>
    <t>WHY NOT YOU</t>
  </si>
  <si>
    <t>IMPACT TACOMA</t>
  </si>
  <si>
    <t>04901</t>
  </si>
  <si>
    <t>Worksheet for Estimating 2022-23 State Recoveries and Carryover</t>
  </si>
  <si>
    <t>2022-23 Estimated State Recoveries and Carryover using Allocations as of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</si>
</sst>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_(* #,##0.00_);_(* \(#,##0.00\);_(* &quot;-&quot;_);_(@_)"/>
    <numFmt numFmtId="166" formatCode="_(* #,##0_);_(* \(#,##0\);_(* &quot;-&quot;??_);_(@_)"/>
    <numFmt numFmtId="167" formatCode="_(* #,##0.0000_);_(* \(#,##0.0000\);_(* &quot;-&quot;_);_(@_)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MT"/>
    </font>
    <font>
      <sz val="8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color theme="8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41" fontId="0" fillId="0" borderId="0" xfId="1" applyNumberFormat="1" applyFont="1"/>
    <xf numFmtId="0" fontId="12" fillId="0" borderId="0" xfId="0" applyFont="1"/>
    <xf numFmtId="0" fontId="13" fillId="0" borderId="0" xfId="0" applyFont="1"/>
    <xf numFmtId="0" fontId="13" fillId="2" borderId="0" xfId="0" applyFont="1" applyFill="1"/>
    <xf numFmtId="0" fontId="14" fillId="0" borderId="7" xfId="0" applyFont="1" applyBorder="1"/>
    <xf numFmtId="0" fontId="13" fillId="2" borderId="7" xfId="0" applyFont="1" applyFill="1" applyBorder="1"/>
    <xf numFmtId="164" fontId="14" fillId="0" borderId="0" xfId="4" quotePrefix="1" applyNumberFormat="1" applyFont="1" applyAlignment="1">
      <alignment horizontal="left"/>
    </xf>
    <xf numFmtId="0" fontId="14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13" fillId="0" borderId="3" xfId="0" quotePrefix="1" applyFont="1" applyBorder="1"/>
    <xf numFmtId="7" fontId="15" fillId="2" borderId="4" xfId="4" quotePrefix="1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7" fontId="15" fillId="0" borderId="0" xfId="4" quotePrefix="1" applyNumberFormat="1" applyFont="1" applyAlignment="1">
      <alignment horizontal="right"/>
    </xf>
    <xf numFmtId="7" fontId="15" fillId="0" borderId="0" xfId="0" applyNumberFormat="1" applyFont="1"/>
    <xf numFmtId="0" fontId="15" fillId="0" borderId="0" xfId="0" applyFont="1"/>
    <xf numFmtId="0" fontId="13" fillId="0" borderId="6" xfId="0" applyFont="1" applyBorder="1"/>
    <xf numFmtId="7" fontId="15" fillId="2" borderId="5" xfId="4" quotePrefix="1" applyNumberFormat="1" applyFont="1" applyFill="1" applyBorder="1" applyAlignment="1">
      <alignment horizontal="right"/>
    </xf>
    <xf numFmtId="0" fontId="14" fillId="0" borderId="0" xfId="0" applyFont="1"/>
    <xf numFmtId="7" fontId="14" fillId="0" borderId="0" xfId="0" quotePrefix="1" applyNumberFormat="1" applyFont="1"/>
    <xf numFmtId="7" fontId="13" fillId="0" borderId="0" xfId="4" quotePrefix="1" applyNumberFormat="1" applyFont="1" applyAlignment="1">
      <alignment horizontal="right"/>
    </xf>
    <xf numFmtId="7" fontId="15" fillId="0" borderId="0" xfId="0" quotePrefix="1" applyNumberFormat="1" applyFont="1"/>
    <xf numFmtId="10" fontId="15" fillId="0" borderId="0" xfId="4" quotePrefix="1" applyNumberFormat="1" applyFont="1" applyAlignment="1">
      <alignment horizontal="right"/>
    </xf>
    <xf numFmtId="7" fontId="14" fillId="0" borderId="0" xfId="4" quotePrefix="1" applyNumberFormat="1" applyFont="1"/>
    <xf numFmtId="7" fontId="14" fillId="0" borderId="0" xfId="4" quotePrefix="1" applyNumberFormat="1" applyFont="1" applyAlignment="1">
      <alignment horizontal="right"/>
    </xf>
    <xf numFmtId="0" fontId="15" fillId="2" borderId="0" xfId="0" applyFont="1" applyFill="1"/>
    <xf numFmtId="0" fontId="16" fillId="0" borderId="0" xfId="6" applyFont="1"/>
    <xf numFmtId="0" fontId="13" fillId="3" borderId="0" xfId="0" quotePrefix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" borderId="0" xfId="0" applyFont="1" applyFill="1"/>
    <xf numFmtId="43" fontId="13" fillId="0" borderId="0" xfId="0" applyNumberFormat="1" applyFont="1" applyAlignment="1">
      <alignment horizontal="center"/>
    </xf>
    <xf numFmtId="0" fontId="13" fillId="0" borderId="0" xfId="0" quotePrefix="1" applyFont="1" applyAlignment="1">
      <alignment horizontal="center"/>
    </xf>
    <xf numFmtId="41" fontId="13" fillId="0" borderId="0" xfId="0" applyNumberFormat="1" applyFont="1"/>
    <xf numFmtId="41" fontId="13" fillId="0" borderId="0" xfId="1" applyNumberFormat="1" applyFont="1"/>
    <xf numFmtId="165" fontId="13" fillId="0" borderId="0" xfId="1" applyNumberFormat="1" applyFont="1"/>
    <xf numFmtId="43" fontId="13" fillId="0" borderId="0" xfId="1" applyFont="1"/>
    <xf numFmtId="0" fontId="18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66" fontId="13" fillId="0" borderId="0" xfId="1" applyNumberFormat="1" applyFont="1"/>
    <xf numFmtId="2" fontId="15" fillId="0" borderId="0" xfId="1" quotePrefix="1" applyNumberFormat="1" applyFont="1" applyFill="1" applyBorder="1" applyAlignment="1" applyProtection="1">
      <alignment horizontal="right"/>
    </xf>
    <xf numFmtId="0" fontId="14" fillId="0" borderId="8" xfId="0" applyFont="1" applyBorder="1"/>
    <xf numFmtId="0" fontId="13" fillId="0" borderId="10" xfId="0" applyFont="1" applyBorder="1"/>
    <xf numFmtId="0" fontId="13" fillId="6" borderId="0" xfId="0" applyFont="1" applyFill="1" applyAlignment="1">
      <alignment horizontal="center"/>
    </xf>
    <xf numFmtId="0" fontId="13" fillId="5" borderId="0" xfId="0" applyFont="1" applyFill="1"/>
    <xf numFmtId="7" fontId="13" fillId="0" borderId="0" xfId="0" applyNumberFormat="1" applyFont="1"/>
    <xf numFmtId="0" fontId="15" fillId="7" borderId="0" xfId="0" applyFont="1" applyFill="1"/>
    <xf numFmtId="167" fontId="13" fillId="0" borderId="0" xfId="1" applyNumberFormat="1" applyFont="1"/>
    <xf numFmtId="2" fontId="13" fillId="0" borderId="0" xfId="0" applyNumberFormat="1" applyFont="1" applyAlignment="1">
      <alignment horizontal="right"/>
    </xf>
    <xf numFmtId="0" fontId="20" fillId="0" borderId="0" xfId="6" applyFont="1"/>
    <xf numFmtId="0" fontId="19" fillId="0" borderId="0" xfId="9" applyFont="1"/>
    <xf numFmtId="0" fontId="19" fillId="6" borderId="0" xfId="9" applyFont="1" applyFill="1"/>
    <xf numFmtId="0" fontId="13" fillId="0" borderId="0" xfId="0" applyFont="1" applyAlignment="1">
      <alignment vertical="top"/>
    </xf>
    <xf numFmtId="41" fontId="13" fillId="0" borderId="0" xfId="0" applyNumberFormat="1" applyFont="1" applyAlignment="1">
      <alignment horizontal="left" vertical="top"/>
    </xf>
    <xf numFmtId="41" fontId="13" fillId="0" borderId="0" xfId="1" applyNumberFormat="1" applyFont="1" applyAlignment="1">
      <alignment horizontal="left" vertical="top"/>
    </xf>
    <xf numFmtId="165" fontId="13" fillId="0" borderId="0" xfId="0" applyNumberFormat="1" applyFont="1" applyAlignment="1">
      <alignment horizontal="left" vertical="top"/>
    </xf>
    <xf numFmtId="0" fontId="13" fillId="0" borderId="0" xfId="8" applyFont="1"/>
    <xf numFmtId="0" fontId="13" fillId="4" borderId="0" xfId="8" applyFont="1" applyFill="1"/>
    <xf numFmtId="0" fontId="13" fillId="0" borderId="0" xfId="8" quotePrefix="1" applyFont="1"/>
    <xf numFmtId="0" fontId="13" fillId="8" borderId="0" xfId="8" applyFont="1" applyFill="1"/>
    <xf numFmtId="0" fontId="19" fillId="4" borderId="0" xfId="7" applyFont="1" applyFill="1"/>
    <xf numFmtId="0" fontId="13" fillId="4" borderId="0" xfId="8" quotePrefix="1" applyFont="1" applyFill="1"/>
    <xf numFmtId="43" fontId="20" fillId="0" borderId="0" xfId="6" applyNumberFormat="1" applyFont="1"/>
    <xf numFmtId="167" fontId="13" fillId="6" borderId="0" xfId="1" applyNumberFormat="1" applyFont="1" applyFill="1" applyAlignment="1">
      <alignment vertical="top"/>
    </xf>
    <xf numFmtId="0" fontId="19" fillId="6" borderId="0" xfId="9" applyFont="1" applyFill="1" applyAlignment="1">
      <alignment vertical="top"/>
    </xf>
    <xf numFmtId="165" fontId="13" fillId="6" borderId="0" xfId="0" applyNumberFormat="1" applyFont="1" applyFill="1" applyAlignment="1">
      <alignment horizontal="left" vertical="top"/>
    </xf>
    <xf numFmtId="0" fontId="11" fillId="0" borderId="0" xfId="3" quotePrefix="1"/>
    <xf numFmtId="0" fontId="11" fillId="0" borderId="0" xfId="3"/>
    <xf numFmtId="4" fontId="4" fillId="0" borderId="0" xfId="8" applyNumberFormat="1"/>
    <xf numFmtId="4" fontId="11" fillId="0" borderId="0" xfId="3" quotePrefix="1" applyNumberFormat="1"/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</cellXfs>
  <cellStyles count="13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2 2 2 2 2 2 3" xfId="12" xr:uid="{49DE3E28-E5F0-4037-B3AA-506E077195A0}"/>
    <cellStyle name="Normal 2 2 2 2 3" xfId="11" xr:uid="{978614EF-1EF3-48CE-9DAE-08877B80ACE4}"/>
    <cellStyle name="Normal 2 4" xfId="6" xr:uid="{00000000-0005-0000-0000-000004000000}"/>
    <cellStyle name="Normal 3" xfId="5" xr:uid="{00000000-0005-0000-0000-000005000000}"/>
    <cellStyle name="Normal 3 2" xfId="7" xr:uid="{00000000-0005-0000-0000-000006000000}"/>
    <cellStyle name="Normal 4" xfId="8" xr:uid="{00000000-0005-0000-0000-000007000000}"/>
    <cellStyle name="Normal 4 2" xfId="10" xr:uid="{2F4AECC7-33BE-4192-98A3-02260B40B092}"/>
    <cellStyle name="Normal 5" xfId="9" xr:uid="{92580912-5760-40EE-86DF-ADE25EC35E4A}"/>
    <cellStyle name="Normal_A" xfId="4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ses/by/4.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15874</xdr:colOff>
      <xdr:row>104</xdr:row>
      <xdr:rowOff>47625</xdr:rowOff>
    </xdr:from>
    <xdr:ext cx="11191875" cy="42107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874" y="21764625"/>
          <a:ext cx="11191875" cy="421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Apportionment Reports by </a:t>
          </a:r>
          <a:r>
            <a:rPr lang="en-US" sz="10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Office of Superintendent of Public Instruction</a:t>
          </a:r>
          <a:r>
            <a:rPr 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is licensed under a </a:t>
          </a:r>
          <a:r>
            <a:rPr lang="en-US" sz="10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Creative Commons Attribution 4.0 International License</a:t>
          </a:r>
          <a:r>
            <a:rPr 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</xdr:txBody>
    </xdr:sp>
    <xdr:clientData/>
  </xdr:oneCellAnchor>
  <xdr:twoCellAnchor editAs="oneCell">
    <xdr:from>
      <xdr:col>0</xdr:col>
      <xdr:colOff>47624</xdr:colOff>
      <xdr:row>104</xdr:row>
      <xdr:rowOff>111125</xdr:rowOff>
    </xdr:from>
    <xdr:to>
      <xdr:col>0</xdr:col>
      <xdr:colOff>817244</xdr:colOff>
      <xdr:row>105</xdr:row>
      <xdr:rowOff>96679</xdr:rowOff>
    </xdr:to>
    <xdr:pic>
      <xdr:nvPicPr>
        <xdr:cNvPr id="3" name="Picture 2" descr="Creative Commons Licens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21828125"/>
          <a:ext cx="762000" cy="140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4"/>
  <sheetViews>
    <sheetView tabSelected="1" zoomScaleNormal="100" workbookViewId="0">
      <pane ySplit="8" topLeftCell="A9" activePane="bottomLeft" state="frozen"/>
      <selection pane="bottomLeft" activeCell="B4" sqref="B4"/>
    </sheetView>
  </sheetViews>
  <sheetFormatPr defaultColWidth="9.140625" defaultRowHeight="12.75"/>
  <cols>
    <col min="1" max="1" width="44.7109375" style="3" customWidth="1"/>
    <col min="2" max="2" width="19.7109375" style="3" customWidth="1"/>
    <col min="3" max="4" width="2.7109375" style="3" customWidth="1"/>
    <col min="5" max="5" width="39.140625" style="3" customWidth="1"/>
    <col min="6" max="6" width="18.140625" style="3" bestFit="1" customWidth="1"/>
    <col min="7" max="7" width="16.7109375" style="3" bestFit="1" customWidth="1"/>
    <col min="8" max="8" width="13.7109375" style="3" bestFit="1" customWidth="1"/>
    <col min="9" max="9" width="14.42578125" style="3" bestFit="1" customWidth="1"/>
    <col min="10" max="16384" width="9.140625" style="3"/>
  </cols>
  <sheetData>
    <row r="1" spans="1:6" ht="18.75">
      <c r="A1" s="2" t="s">
        <v>816</v>
      </c>
    </row>
    <row r="2" spans="1:6" ht="15.75">
      <c r="A2" s="27" t="s">
        <v>375</v>
      </c>
      <c r="B2" s="4"/>
      <c r="C2" s="4"/>
      <c r="D2" s="4"/>
      <c r="E2" s="4"/>
      <c r="F2" s="4"/>
    </row>
    <row r="3" spans="1:6">
      <c r="A3" s="3" t="str">
        <f>VLOOKUP($B$4,ALLOC!$A$7:$B$334,2,FALSE)</f>
        <v>14005</v>
      </c>
    </row>
    <row r="4" spans="1:6" ht="15.75">
      <c r="A4" s="5" t="s">
        <v>352</v>
      </c>
      <c r="B4" s="6" t="s">
        <v>488</v>
      </c>
    </row>
    <row r="6" spans="1:6" ht="15.75">
      <c r="A6" s="20" t="s">
        <v>817</v>
      </c>
    </row>
    <row r="7" spans="1:6" ht="10.5" customHeight="1">
      <c r="A7" s="2"/>
    </row>
    <row r="8" spans="1:6" ht="18.75">
      <c r="A8" s="2"/>
      <c r="B8" s="7" t="str">
        <f>VLOOKUP($A$3,Data,2,FALSE)</f>
        <v>14005 ABERDEEN SCHOOL DISTRICT</v>
      </c>
    </row>
    <row r="10" spans="1:6" ht="15.75">
      <c r="A10" s="8" t="s">
        <v>342</v>
      </c>
      <c r="B10" s="9"/>
      <c r="E10" s="73" t="s">
        <v>335</v>
      </c>
      <c r="F10" s="73"/>
    </row>
    <row r="11" spans="1:6" ht="15.75">
      <c r="A11" s="10" t="s">
        <v>307</v>
      </c>
      <c r="B11" s="11"/>
      <c r="E11" s="40" t="s">
        <v>333</v>
      </c>
      <c r="F11" s="14" t="s">
        <v>334</v>
      </c>
    </row>
    <row r="12" spans="1:6" ht="15.75">
      <c r="A12" s="12" t="s">
        <v>308</v>
      </c>
      <c r="B12" s="13">
        <v>0</v>
      </c>
      <c r="E12" s="15">
        <f>B45</f>
        <v>-5459978.2999999998</v>
      </c>
      <c r="F12" s="16">
        <f>B44</f>
        <v>463828.03</v>
      </c>
    </row>
    <row r="13" spans="1:6" ht="15.75">
      <c r="A13" s="10" t="s">
        <v>410</v>
      </c>
      <c r="B13" s="13">
        <v>0</v>
      </c>
      <c r="E13" s="15">
        <f>B60</f>
        <v>-139948.21</v>
      </c>
      <c r="F13" s="16">
        <f>B54</f>
        <v>0</v>
      </c>
    </row>
    <row r="14" spans="1:6" ht="15.75">
      <c r="A14" s="10" t="s">
        <v>411</v>
      </c>
      <c r="B14" s="13">
        <v>0</v>
      </c>
      <c r="E14" s="15">
        <f>F60</f>
        <v>-51227.44</v>
      </c>
      <c r="F14" s="16">
        <f>F54</f>
        <v>0</v>
      </c>
    </row>
    <row r="15" spans="1:6" ht="15.75">
      <c r="A15" s="10" t="s">
        <v>735</v>
      </c>
      <c r="B15" s="13">
        <v>0</v>
      </c>
      <c r="E15" s="15">
        <f>B71</f>
        <v>-1482429.68</v>
      </c>
      <c r="F15" s="16">
        <f>B70</f>
        <v>149370.22</v>
      </c>
    </row>
    <row r="16" spans="1:6" ht="15.75">
      <c r="A16" s="10" t="s">
        <v>736</v>
      </c>
      <c r="B16" s="13">
        <v>0</v>
      </c>
      <c r="E16" s="16">
        <f>F71</f>
        <v>-806375.74</v>
      </c>
      <c r="F16" s="16">
        <f>F70</f>
        <v>89597.3</v>
      </c>
    </row>
    <row r="17" spans="1:6" ht="15.75">
      <c r="A17" s="10" t="s">
        <v>309</v>
      </c>
      <c r="B17" s="13">
        <v>0</v>
      </c>
      <c r="E17" s="15">
        <f>B79</f>
        <v>-702206.74</v>
      </c>
      <c r="F17" s="49"/>
    </row>
    <row r="18" spans="1:6" ht="15.75">
      <c r="A18" s="12" t="s">
        <v>310</v>
      </c>
      <c r="B18" s="13">
        <v>0</v>
      </c>
      <c r="E18" s="15">
        <f>F79</f>
        <v>-94138.72</v>
      </c>
      <c r="F18" s="49"/>
    </row>
    <row r="19" spans="1:6" ht="15.75">
      <c r="A19" s="12" t="s">
        <v>311</v>
      </c>
      <c r="B19" s="13">
        <v>0</v>
      </c>
      <c r="E19" s="15">
        <f>F100</f>
        <v>-1268856.96</v>
      </c>
      <c r="F19" s="49"/>
    </row>
    <row r="20" spans="1:6" ht="15.75">
      <c r="A20" s="10" t="s">
        <v>312</v>
      </c>
      <c r="B20" s="13">
        <v>0</v>
      </c>
      <c r="E20" s="15">
        <f>B90</f>
        <v>0</v>
      </c>
      <c r="F20" s="16">
        <f>B89</f>
        <v>0</v>
      </c>
    </row>
    <row r="21" spans="1:6" ht="15.75">
      <c r="A21" s="10" t="str">
        <f>IF(MID(B8,3,1)="8","  Program 34 State Institution","  Program 56 State Institution")</f>
        <v xml:space="preserve">  Program 56 State Institution</v>
      </c>
      <c r="B21" s="13">
        <v>0</v>
      </c>
      <c r="E21" s="15">
        <f>F90</f>
        <v>-155759.72999999998</v>
      </c>
      <c r="F21" s="16">
        <f>F89</f>
        <v>17967.36</v>
      </c>
    </row>
    <row r="22" spans="1:6" ht="15.75">
      <c r="A22" s="10" t="str">
        <f>IF(MID(B9,3,1)="8","  Program 34 State Institution","  Program 59 State Institution")</f>
        <v xml:space="preserve">  Program 59 State Institution</v>
      </c>
      <c r="B22" s="13">
        <v>0</v>
      </c>
      <c r="E22" s="15">
        <f>B101</f>
        <v>0</v>
      </c>
      <c r="F22" s="16">
        <f>B100</f>
        <v>0</v>
      </c>
    </row>
    <row r="23" spans="1:6" ht="15.75">
      <c r="A23" s="10" t="s">
        <v>353</v>
      </c>
      <c r="B23" s="11"/>
      <c r="E23" s="40" t="s">
        <v>367</v>
      </c>
      <c r="F23" s="14" t="s">
        <v>358</v>
      </c>
    </row>
    <row r="24" spans="1:6" ht="15.75">
      <c r="A24" s="10" t="s">
        <v>354</v>
      </c>
      <c r="B24" s="13">
        <v>0</v>
      </c>
      <c r="E24" s="15">
        <f>VLOOKUP($A$3,Data,39,FALSE)</f>
        <v>2871.42</v>
      </c>
      <c r="F24" s="15">
        <f>E24-B24</f>
        <v>2871.42</v>
      </c>
    </row>
    <row r="25" spans="1:6" ht="15.75" hidden="1">
      <c r="A25" s="10" t="s">
        <v>355</v>
      </c>
      <c r="B25" s="13" t="e">
        <f>VLOOKUP($A$3,Data,41)</f>
        <v>#REF!</v>
      </c>
      <c r="E25" s="15">
        <f>VLOOKUP($A$3,Data,29,FALSE)</f>
        <v>257.76</v>
      </c>
      <c r="F25" s="15" t="e">
        <f t="shared" ref="F25:F26" si="0">E25-B25</f>
        <v>#REF!</v>
      </c>
    </row>
    <row r="26" spans="1:6" ht="15.75" hidden="1">
      <c r="A26" s="10" t="s">
        <v>356</v>
      </c>
      <c r="B26" s="13" t="e">
        <f>VLOOKUP($A$3,Data,41)</f>
        <v>#REF!</v>
      </c>
      <c r="E26" s="15">
        <f>VLOOKUP($A$3,Data,30,FALSE)</f>
        <v>2214242.2799999998</v>
      </c>
      <c r="F26" s="15" t="e">
        <f t="shared" si="0"/>
        <v>#REF!</v>
      </c>
    </row>
    <row r="27" spans="1:6" ht="15.75">
      <c r="A27" s="10" t="s">
        <v>357</v>
      </c>
      <c r="B27" s="13">
        <v>0</v>
      </c>
      <c r="E27" s="15">
        <f>VLOOKUP($A$3,Data,40,FALSE)</f>
        <v>0</v>
      </c>
      <c r="F27" s="15">
        <f>E27-B27</f>
        <v>0</v>
      </c>
    </row>
    <row r="28" spans="1:6" ht="15.75">
      <c r="A28" s="10" t="s">
        <v>737</v>
      </c>
      <c r="B28" s="13">
        <v>0</v>
      </c>
      <c r="E28" s="15">
        <f>VLOOKUP($A$3,Data,24,FALSE)</f>
        <v>157.88999999999999</v>
      </c>
      <c r="F28" s="15">
        <f>E28-B28</f>
        <v>157.88999999999999</v>
      </c>
    </row>
    <row r="29" spans="1:6">
      <c r="A29" s="10" t="s">
        <v>338</v>
      </c>
      <c r="B29" s="11"/>
      <c r="E29" s="41"/>
    </row>
    <row r="30" spans="1:6" ht="15.75">
      <c r="A30" s="10" t="s">
        <v>336</v>
      </c>
      <c r="B30" s="13">
        <v>0</v>
      </c>
      <c r="E30" s="41"/>
    </row>
    <row r="31" spans="1:6" ht="15.75">
      <c r="A31" s="18" t="s">
        <v>337</v>
      </c>
      <c r="B31" s="19">
        <v>0</v>
      </c>
      <c r="E31" s="15"/>
    </row>
    <row r="32" spans="1:6" ht="10.5" customHeight="1">
      <c r="A32" s="20"/>
      <c r="B32" s="21"/>
      <c r="E32" s="20"/>
      <c r="F32" s="21"/>
    </row>
    <row r="33" spans="1:6" ht="15.75">
      <c r="A33" s="44" t="s">
        <v>313</v>
      </c>
      <c r="B33" s="45"/>
      <c r="E33" s="20"/>
      <c r="F33" s="21"/>
    </row>
    <row r="34" spans="1:6" ht="15.75">
      <c r="A34" s="3" t="s">
        <v>339</v>
      </c>
      <c r="B34" s="15">
        <f>VLOOKUP($A$3,Data,6,FALSE)</f>
        <v>4638280.2699999996</v>
      </c>
      <c r="E34" s="20"/>
      <c r="F34" s="21"/>
    </row>
    <row r="35" spans="1:6" ht="15.75">
      <c r="A35" s="3" t="s">
        <v>315</v>
      </c>
      <c r="B35" s="15">
        <f>VLOOKUP($A$3,Data,3,FALSE)</f>
        <v>0</v>
      </c>
      <c r="E35" s="20"/>
      <c r="F35" s="21"/>
    </row>
    <row r="36" spans="1:6" ht="15.75">
      <c r="A36" s="3" t="s">
        <v>316</v>
      </c>
      <c r="B36" s="15">
        <f>B12</f>
        <v>0</v>
      </c>
      <c r="E36" s="20"/>
      <c r="F36" s="21"/>
    </row>
    <row r="37" spans="1:6" ht="15.75">
      <c r="A37" s="3" t="s">
        <v>359</v>
      </c>
      <c r="B37" s="15">
        <f>VLOOKUP($A$3,Data,7,FALSE)</f>
        <v>1089521.2</v>
      </c>
      <c r="E37" s="20"/>
      <c r="F37" s="21"/>
    </row>
    <row r="38" spans="1:6" ht="15.75">
      <c r="A38" s="3" t="s">
        <v>748</v>
      </c>
      <c r="B38" s="24">
        <f>VLOOKUP($A$3,Data,14,FALSE)</f>
        <v>0.1799</v>
      </c>
      <c r="E38" s="20"/>
      <c r="F38" s="21"/>
    </row>
    <row r="39" spans="1:6" ht="15.75">
      <c r="A39" s="3" t="s">
        <v>360</v>
      </c>
      <c r="B39" s="15">
        <f>ROUND((B36-B37)*(1+B38),2)</f>
        <v>-1285526.06</v>
      </c>
      <c r="E39" s="20"/>
      <c r="F39" s="21"/>
    </row>
    <row r="40" spans="1:6" ht="15.75">
      <c r="A40" s="3" t="s">
        <v>361</v>
      </c>
      <c r="B40" s="15">
        <f>B30</f>
        <v>0</v>
      </c>
      <c r="E40" s="20"/>
      <c r="F40" s="21"/>
    </row>
    <row r="41" spans="1:6" ht="15.75">
      <c r="A41" s="3" t="s">
        <v>362</v>
      </c>
      <c r="B41" s="15">
        <f>B39-B40</f>
        <v>-1285526.06</v>
      </c>
      <c r="E41" s="20"/>
      <c r="F41" s="21"/>
    </row>
    <row r="42" spans="1:6" ht="15.75">
      <c r="A42" s="3" t="s">
        <v>363</v>
      </c>
      <c r="B42" s="15">
        <f>MIN(B34,B41-B35)</f>
        <v>-1285526.06</v>
      </c>
      <c r="E42" s="20"/>
      <c r="F42" s="21"/>
    </row>
    <row r="43" spans="1:6" ht="15.75">
      <c r="A43" s="20" t="s">
        <v>365</v>
      </c>
      <c r="B43" s="15"/>
      <c r="E43" s="20"/>
      <c r="F43" s="21"/>
    </row>
    <row r="44" spans="1:6" ht="15.75">
      <c r="A44" s="3" t="s">
        <v>364</v>
      </c>
      <c r="B44" s="21">
        <f>ROUND(IF((B34*0.1)&lt;(B34-B42),(B34*0.1),(B34-B42)),2)</f>
        <v>463828.03</v>
      </c>
      <c r="E44" s="20"/>
      <c r="F44" s="21"/>
    </row>
    <row r="45" spans="1:6" ht="15.75">
      <c r="A45" s="20" t="s">
        <v>366</v>
      </c>
      <c r="B45" s="21">
        <f>(B34-B42-B44)*-1</f>
        <v>-5459978.2999999998</v>
      </c>
      <c r="E45" s="20"/>
      <c r="F45" s="21"/>
    </row>
    <row r="46" spans="1:6" ht="10.5" customHeight="1">
      <c r="A46" s="20"/>
      <c r="B46" s="21"/>
      <c r="E46" s="20"/>
      <c r="F46" s="21"/>
    </row>
    <row r="47" spans="1:6" ht="15.75">
      <c r="A47" s="44" t="s">
        <v>408</v>
      </c>
      <c r="B47" s="45"/>
      <c r="E47" s="44" t="s">
        <v>409</v>
      </c>
      <c r="F47" s="45"/>
    </row>
    <row r="48" spans="1:6" ht="15.75">
      <c r="A48" s="3" t="s">
        <v>340</v>
      </c>
      <c r="B48" s="15">
        <f>VLOOKUP($A$3,Data,28,FALSE)</f>
        <v>2354191.44</v>
      </c>
      <c r="E48" s="3" t="s">
        <v>340</v>
      </c>
      <c r="F48" s="15">
        <f>VLOOKUP($A$3,Data,27,FALSE)</f>
        <v>714701.78</v>
      </c>
    </row>
    <row r="49" spans="1:8" ht="15.75">
      <c r="A49" s="3" t="s">
        <v>315</v>
      </c>
      <c r="B49" s="15">
        <f>VLOOKUP($A$3,Data,26,FALSE)</f>
        <v>121443.94</v>
      </c>
      <c r="E49" s="3" t="s">
        <v>315</v>
      </c>
      <c r="F49" s="15">
        <f>VLOOKUP($A$3,Data,25,FALSE)</f>
        <v>51582.89</v>
      </c>
    </row>
    <row r="50" spans="1:8" ht="15.75">
      <c r="A50" s="3" t="s">
        <v>316</v>
      </c>
      <c r="B50" s="15">
        <f>B13</f>
        <v>0</v>
      </c>
      <c r="E50" s="3" t="s">
        <v>316</v>
      </c>
      <c r="F50" s="15">
        <f>B14</f>
        <v>0</v>
      </c>
      <c r="G50" s="42"/>
    </row>
    <row r="51" spans="1:8" ht="15.75">
      <c r="A51" s="3" t="s">
        <v>715</v>
      </c>
      <c r="B51" s="22"/>
      <c r="E51" s="3" t="s">
        <v>716</v>
      </c>
      <c r="F51" s="15"/>
    </row>
    <row r="52" spans="1:8" ht="15.75">
      <c r="A52" s="3" t="s">
        <v>369</v>
      </c>
      <c r="B52" s="15">
        <f>ROUND(MAX(MIN((B48*0.1),(B48+B49-B50)),0),2)</f>
        <v>235419.14</v>
      </c>
      <c r="E52" s="3" t="s">
        <v>369</v>
      </c>
      <c r="F52" s="23">
        <f>ROUND(MAX(MIN((F48*0.1),(F48+F49-F50)),0),2)</f>
        <v>71470.179999999993</v>
      </c>
    </row>
    <row r="53" spans="1:8" ht="15.75">
      <c r="A53" s="3" t="s">
        <v>717</v>
      </c>
      <c r="B53" s="15">
        <f>ROUND(MIN(((B48+B49-B50-B52)*-1),0),2)</f>
        <v>-2240216.2400000002</v>
      </c>
      <c r="E53" s="3" t="s">
        <v>717</v>
      </c>
      <c r="F53" s="15">
        <f>ROUND(MIN(((F48+F49-F50-F52)*-1),0),2)</f>
        <v>-694814.49</v>
      </c>
    </row>
    <row r="54" spans="1:8" ht="26.25">
      <c r="A54" s="39" t="s">
        <v>766</v>
      </c>
      <c r="B54" s="26">
        <f>IF(B50=0,0,ROUND(MAX(MIN((B48*0.1),(B48+B49-B50)),0),2))</f>
        <v>0</v>
      </c>
      <c r="E54" s="39" t="s">
        <v>766</v>
      </c>
      <c r="F54" s="26">
        <f>IF(F50=0,0,ROUND(MAX(MIN((F48*0.1),(F48+F49-F50)),0),2))</f>
        <v>0</v>
      </c>
      <c r="G54" s="41"/>
      <c r="H54" s="38"/>
    </row>
    <row r="55" spans="1:8" ht="15.75">
      <c r="A55" s="3" t="s">
        <v>370</v>
      </c>
      <c r="B55" s="43">
        <f>VLOOKUP($A$3,Data,29,FALSE)</f>
        <v>257.76</v>
      </c>
      <c r="E55" s="3" t="s">
        <v>370</v>
      </c>
      <c r="F55" s="43">
        <f>VLOOKUP($A$3,Data,34,FALSE)</f>
        <v>79.61</v>
      </c>
      <c r="G55" s="51"/>
    </row>
    <row r="56" spans="1:8" ht="15.75">
      <c r="A56" s="3" t="s">
        <v>791</v>
      </c>
      <c r="B56" s="15">
        <f>VLOOKUP($A$3,Data,30,FALSE)</f>
        <v>2214242.2799999998</v>
      </c>
      <c r="E56" s="3" t="s">
        <v>791</v>
      </c>
      <c r="F56" s="15">
        <f>VLOOKUP($A$3,Data,35,FALSE)</f>
        <v>663474.32999999996</v>
      </c>
      <c r="G56" s="48"/>
    </row>
    <row r="57" spans="1:8" ht="15.75">
      <c r="A57" s="3" t="s">
        <v>792</v>
      </c>
      <c r="B57" s="15">
        <f>IFERROR(ROUND(B56/B55,2),0)</f>
        <v>8590.33</v>
      </c>
      <c r="E57" s="3" t="s">
        <v>792</v>
      </c>
      <c r="F57" s="15">
        <f>IFERROR(ROUND(F56/F55,2),0)</f>
        <v>8334.06</v>
      </c>
    </row>
    <row r="58" spans="1:8" ht="15.75">
      <c r="A58" s="3" t="s">
        <v>793</v>
      </c>
      <c r="B58" s="15">
        <f>IFERROR(ROUND(B48/B55,2),0)</f>
        <v>9133.27</v>
      </c>
      <c r="E58" s="3" t="s">
        <v>793</v>
      </c>
      <c r="F58" s="15">
        <f>IFERROR(ROUND(F48/F55,2),0)</f>
        <v>8977.5400000000009</v>
      </c>
      <c r="G58" s="48"/>
    </row>
    <row r="59" spans="1:8" ht="15.75">
      <c r="A59" s="3" t="s">
        <v>794</v>
      </c>
      <c r="B59" s="15">
        <f>ROUND((B58-B57)*B55,2)</f>
        <v>139948.21</v>
      </c>
      <c r="E59" s="3" t="s">
        <v>794</v>
      </c>
      <c r="F59" s="15">
        <f>ROUND((F58-F57)*F55,2)</f>
        <v>51227.44</v>
      </c>
      <c r="G59" s="15"/>
    </row>
    <row r="60" spans="1:8" ht="15.75">
      <c r="A60" s="20" t="s">
        <v>795</v>
      </c>
      <c r="B60" s="21">
        <f>MAX(B53,-B59)</f>
        <v>-139948.21</v>
      </c>
      <c r="E60" s="20" t="s">
        <v>795</v>
      </c>
      <c r="F60" s="21">
        <f>MAX(F53,-F59)</f>
        <v>-51227.44</v>
      </c>
    </row>
    <row r="61" spans="1:8" ht="10.5" customHeight="1">
      <c r="A61" s="20"/>
      <c r="B61" s="21"/>
      <c r="E61" s="20"/>
      <c r="F61" s="21"/>
    </row>
    <row r="62" spans="1:8" ht="15.75">
      <c r="A62" s="74" t="s">
        <v>314</v>
      </c>
      <c r="B62" s="75"/>
      <c r="C62" s="75"/>
      <c r="D62" s="75"/>
      <c r="E62" s="75"/>
      <c r="F62" s="76"/>
    </row>
    <row r="63" spans="1:8" ht="15.75">
      <c r="A63" s="3" t="s">
        <v>731</v>
      </c>
      <c r="B63" s="15">
        <f>VLOOKUP($A$3,Data,9,FALSE)</f>
        <v>1493702.17</v>
      </c>
      <c r="E63" s="3" t="s">
        <v>732</v>
      </c>
      <c r="F63" s="15">
        <f>VLOOKUP($A$3,Data,8,FALSE)</f>
        <v>895973.04</v>
      </c>
    </row>
    <row r="64" spans="1:8" ht="15.75">
      <c r="A64" s="3" t="s">
        <v>315</v>
      </c>
      <c r="B64" s="15">
        <f>VLOOKUP($A$3,Data,4,FALSE)</f>
        <v>138097.73000000001</v>
      </c>
      <c r="E64" s="3" t="s">
        <v>315</v>
      </c>
      <c r="F64" s="15">
        <f>VLOOKUP($A$3,Data,5,FALSE)</f>
        <v>0</v>
      </c>
    </row>
    <row r="65" spans="1:6" ht="15.75">
      <c r="A65" s="3" t="s">
        <v>733</v>
      </c>
      <c r="B65" s="15">
        <f>B15</f>
        <v>0</v>
      </c>
      <c r="E65" s="3" t="s">
        <v>734</v>
      </c>
      <c r="F65" s="15">
        <f>B16</f>
        <v>0</v>
      </c>
    </row>
    <row r="66" spans="1:6" ht="15.75">
      <c r="A66" s="3" t="s">
        <v>765</v>
      </c>
      <c r="B66" s="24">
        <f>VLOOKUP($A$3,Data,13,FALSE)</f>
        <v>3.1199999999999999E-2</v>
      </c>
      <c r="E66" s="3" t="s">
        <v>765</v>
      </c>
      <c r="F66" s="24">
        <f>VLOOKUP($A$3,Data,13,FALSE)</f>
        <v>3.1199999999999999E-2</v>
      </c>
    </row>
    <row r="67" spans="1:6" ht="15.75">
      <c r="A67" s="3" t="s">
        <v>317</v>
      </c>
      <c r="B67" s="15">
        <f>ROUND(B65*(1+B66),2)</f>
        <v>0</v>
      </c>
      <c r="E67" s="3" t="s">
        <v>317</v>
      </c>
      <c r="F67" s="15">
        <f>ROUND(F65*(1+F66),2)</f>
        <v>0</v>
      </c>
    </row>
    <row r="68" spans="1:6" ht="15.75">
      <c r="A68" s="3" t="s">
        <v>318</v>
      </c>
      <c r="B68" s="15">
        <f>MIN(B63,B67-B64)</f>
        <v>-138097.73000000001</v>
      </c>
      <c r="E68" s="3" t="s">
        <v>318</v>
      </c>
      <c r="F68" s="15">
        <f>MIN(F63,F67-F64)</f>
        <v>0</v>
      </c>
    </row>
    <row r="69" spans="1:6" ht="15.75">
      <c r="A69" s="20" t="s">
        <v>738</v>
      </c>
      <c r="B69" s="15"/>
      <c r="E69" s="20" t="s">
        <v>740</v>
      </c>
      <c r="F69" s="15"/>
    </row>
    <row r="70" spans="1:6" ht="15.75">
      <c r="A70" s="3" t="s">
        <v>320</v>
      </c>
      <c r="B70" s="25">
        <f>ROUND(IF((B63*0.1)&lt;(B63-B68),(B63*0.1),(B63-B68)),2)</f>
        <v>149370.22</v>
      </c>
      <c r="E70" s="3" t="s">
        <v>320</v>
      </c>
      <c r="F70" s="25">
        <f>ROUND(IF((F63*0.1)&lt;(F63-F68),(F63*0.1),(F63-F68)),2)</f>
        <v>89597.3</v>
      </c>
    </row>
    <row r="71" spans="1:6" ht="15.75">
      <c r="A71" s="20" t="s">
        <v>739</v>
      </c>
      <c r="B71" s="25">
        <f>(B63-B68-B70)*-1</f>
        <v>-1482429.68</v>
      </c>
      <c r="E71" s="20" t="s">
        <v>741</v>
      </c>
      <c r="F71" s="25">
        <f>(F63-F68-F70)*-1</f>
        <v>-806375.74</v>
      </c>
    </row>
    <row r="72" spans="1:6" ht="10.5" customHeight="1">
      <c r="A72" s="20"/>
      <c r="B72" s="21"/>
      <c r="E72" s="20"/>
      <c r="F72" s="21"/>
    </row>
    <row r="73" spans="1:6" ht="15.75">
      <c r="A73" s="44" t="s">
        <v>321</v>
      </c>
      <c r="B73" s="45"/>
      <c r="E73" s="44" t="s">
        <v>322</v>
      </c>
      <c r="F73" s="45"/>
    </row>
    <row r="74" spans="1:6" ht="15.75">
      <c r="A74" s="3" t="s">
        <v>339</v>
      </c>
      <c r="B74" s="15">
        <f>VLOOKUP($A$3,Data,10,FALSE)</f>
        <v>702206.74</v>
      </c>
      <c r="E74" s="3" t="s">
        <v>339</v>
      </c>
      <c r="F74" s="15">
        <f>VLOOKUP($A$3,Data,11,FALSE)</f>
        <v>94138.72</v>
      </c>
    </row>
    <row r="75" spans="1:6" ht="15.75">
      <c r="A75" s="3" t="s">
        <v>323</v>
      </c>
      <c r="B75" s="15">
        <f>B17</f>
        <v>0</v>
      </c>
      <c r="E75" s="3" t="s">
        <v>323</v>
      </c>
      <c r="F75" s="15">
        <f>B18</f>
        <v>0</v>
      </c>
    </row>
    <row r="76" spans="1:6" ht="15.75">
      <c r="A76" s="3" t="s">
        <v>749</v>
      </c>
      <c r="B76" s="24">
        <f>VLOOKUP($A$3,Data,14,FALSE)</f>
        <v>0.1799</v>
      </c>
      <c r="E76" s="3" t="s">
        <v>749</v>
      </c>
      <c r="F76" s="24">
        <f>VLOOKUP($A$3,Data,14,FALSE)</f>
        <v>0.1799</v>
      </c>
    </row>
    <row r="77" spans="1:6" ht="15.75">
      <c r="A77" s="3" t="s">
        <v>324</v>
      </c>
      <c r="B77" s="15">
        <f>ROUND(B75*(1+B76),2)</f>
        <v>0</v>
      </c>
      <c r="E77" s="3" t="s">
        <v>324</v>
      </c>
      <c r="F77" s="15">
        <f>ROUND(F75*(1+F76),2)</f>
        <v>0</v>
      </c>
    </row>
    <row r="78" spans="1:6" ht="15.75">
      <c r="A78" s="3" t="s">
        <v>325</v>
      </c>
      <c r="B78" s="15">
        <f>MIN(B74,B77)</f>
        <v>0</v>
      </c>
      <c r="E78" s="3" t="s">
        <v>325</v>
      </c>
      <c r="F78" s="15">
        <f>MIN(F74,F77)</f>
        <v>0</v>
      </c>
    </row>
    <row r="79" spans="1:6" ht="15.75">
      <c r="A79" s="20" t="s">
        <v>341</v>
      </c>
      <c r="B79" s="21">
        <f>(B74-B78)*-1</f>
        <v>-702206.74</v>
      </c>
      <c r="E79" s="20" t="s">
        <v>341</v>
      </c>
      <c r="F79" s="21">
        <f>(F74-F78)*-1</f>
        <v>-94138.72</v>
      </c>
    </row>
    <row r="80" spans="1:6" ht="10.5" customHeight="1">
      <c r="A80" s="20"/>
      <c r="B80" s="21"/>
      <c r="E80" s="20"/>
      <c r="F80" s="21"/>
    </row>
    <row r="81" spans="1:6" ht="15.75">
      <c r="A81" s="44" t="s">
        <v>330</v>
      </c>
      <c r="B81" s="45"/>
      <c r="E81" s="44" t="str">
        <f>IF(MID(B8,3,1)="8","STATE INSTITUTIONS PROGRAM 34","STATE INSTITUTIONS PROGRAM 56")</f>
        <v>STATE INSTITUTIONS PROGRAM 56</v>
      </c>
      <c r="F81" s="45"/>
    </row>
    <row r="82" spans="1:6" ht="15.75">
      <c r="A82" s="3" t="s">
        <v>339</v>
      </c>
      <c r="B82" s="15">
        <f>VLOOKUP($A$3,Data,21,FALSE)</f>
        <v>0</v>
      </c>
      <c r="E82" s="3" t="s">
        <v>339</v>
      </c>
      <c r="F82" s="15">
        <f>VLOOKUP($A$3,Data,18,FALSE)</f>
        <v>179673.55</v>
      </c>
    </row>
    <row r="83" spans="1:6" ht="15.75">
      <c r="A83" s="3" t="s">
        <v>315</v>
      </c>
      <c r="B83" s="15">
        <f>VLOOKUP($A$3,Data,22,FALSE)</f>
        <v>0</v>
      </c>
      <c r="E83" s="3" t="s">
        <v>315</v>
      </c>
      <c r="F83" s="15">
        <f>VLOOKUP($A$3,Data,19,FALSE)</f>
        <v>0</v>
      </c>
    </row>
    <row r="84" spans="1:6" ht="15.75">
      <c r="A84" s="3" t="s">
        <v>316</v>
      </c>
      <c r="B84" s="15">
        <f>B20</f>
        <v>0</v>
      </c>
      <c r="E84" s="3" t="s">
        <v>316</v>
      </c>
      <c r="F84" s="15">
        <f>B21</f>
        <v>0</v>
      </c>
    </row>
    <row r="85" spans="1:6" ht="15.75">
      <c r="A85" s="3" t="s">
        <v>327</v>
      </c>
      <c r="B85" s="15">
        <f>VLOOKUP($A$3,Data,23,FALSE)</f>
        <v>0</v>
      </c>
      <c r="E85" s="3" t="s">
        <v>327</v>
      </c>
      <c r="F85" s="15">
        <f>VLOOKUP($A$3,Data,20,FALSE)</f>
        <v>5946.46</v>
      </c>
    </row>
    <row r="86" spans="1:6" ht="15.75">
      <c r="A86" s="3" t="s">
        <v>328</v>
      </c>
      <c r="B86" s="15">
        <f>B84+B85</f>
        <v>0</v>
      </c>
      <c r="E86" s="3" t="s">
        <v>328</v>
      </c>
      <c r="F86" s="15">
        <f>F84+F85</f>
        <v>5946.46</v>
      </c>
    </row>
    <row r="87" spans="1:6" ht="15.75">
      <c r="A87" s="3" t="s">
        <v>318</v>
      </c>
      <c r="B87" s="15">
        <f>MIN(B82,B86-B83)</f>
        <v>0</v>
      </c>
      <c r="E87" s="3" t="s">
        <v>318</v>
      </c>
      <c r="F87" s="15">
        <f>MIN(F82,F86-F83)</f>
        <v>5946.46</v>
      </c>
    </row>
    <row r="88" spans="1:6" ht="15.75">
      <c r="A88" s="20" t="s">
        <v>319</v>
      </c>
      <c r="B88" s="15"/>
      <c r="E88" s="20" t="s">
        <v>319</v>
      </c>
      <c r="F88" s="15"/>
    </row>
    <row r="89" spans="1:6" ht="15.75">
      <c r="A89" s="3" t="s">
        <v>320</v>
      </c>
      <c r="B89" s="21">
        <f>ROUND(IF((B82*0.1)&lt;(B82-B87),(B82*0.1),(B82-B87)),2)</f>
        <v>0</v>
      </c>
      <c r="E89" s="3" t="s">
        <v>320</v>
      </c>
      <c r="F89" s="21">
        <f>ROUND(IF((F82*0.1)&lt;(F82-F87),(F82*0.1),(F82-F87)),2)</f>
        <v>17967.36</v>
      </c>
    </row>
    <row r="90" spans="1:6" ht="15.75">
      <c r="A90" s="20" t="s">
        <v>329</v>
      </c>
      <c r="B90" s="21">
        <f>(B82-B87-B89)*-1</f>
        <v>0</v>
      </c>
      <c r="E90" s="20" t="s">
        <v>329</v>
      </c>
      <c r="F90" s="21">
        <f>(F82-F87-F89)*-1</f>
        <v>-155759.72999999998</v>
      </c>
    </row>
    <row r="91" spans="1:6" ht="10.5" customHeight="1">
      <c r="A91" s="20"/>
      <c r="B91" s="21"/>
      <c r="E91" s="20"/>
      <c r="F91" s="21"/>
    </row>
    <row r="92" spans="1:6" ht="15.75">
      <c r="A92" s="44" t="str">
        <f>IF(MID(B20,3,1)="8","STATE INSTITUTIONS PROGRAM 34","STATE INSTITUTIONS PROGRAM 59")</f>
        <v>STATE INSTITUTIONS PROGRAM 59</v>
      </c>
      <c r="B92" s="45"/>
      <c r="E92" s="44" t="s">
        <v>326</v>
      </c>
      <c r="F92" s="45"/>
    </row>
    <row r="93" spans="1:6" ht="15.75">
      <c r="A93" s="3" t="s">
        <v>339</v>
      </c>
      <c r="B93" s="15">
        <f>VLOOKUP($A$3,Data,15,FALSE)</f>
        <v>0</v>
      </c>
      <c r="E93" s="3" t="s">
        <v>339</v>
      </c>
      <c r="F93" s="15">
        <f>VLOOKUP($A$3,Data,12,FALSE)</f>
        <v>1268856.96</v>
      </c>
    </row>
    <row r="94" spans="1:6" ht="15.75">
      <c r="A94" s="3" t="s">
        <v>315</v>
      </c>
      <c r="B94" s="15">
        <f>VLOOKUP($A$3,Data,16,FALSE)</f>
        <v>0</v>
      </c>
      <c r="E94" s="3" t="s">
        <v>323</v>
      </c>
      <c r="F94" s="15">
        <f>B19</f>
        <v>0</v>
      </c>
    </row>
    <row r="95" spans="1:6" ht="15.75">
      <c r="A95" s="3" t="s">
        <v>316</v>
      </c>
      <c r="B95" s="15">
        <f>B22</f>
        <v>0</v>
      </c>
      <c r="E95" s="3" t="s">
        <v>788</v>
      </c>
      <c r="F95" s="24">
        <f>VLOOKUP($A$3,Data,14,FALSE)</f>
        <v>0.1799</v>
      </c>
    </row>
    <row r="96" spans="1:6" ht="15.75">
      <c r="A96" s="3" t="s">
        <v>327</v>
      </c>
      <c r="B96" s="15">
        <f>VLOOKUP($A$3,Data,17,FALSE)</f>
        <v>0</v>
      </c>
      <c r="E96" s="3" t="s">
        <v>324</v>
      </c>
      <c r="F96" s="15">
        <f>ROUND(F94*(1+F95),2)</f>
        <v>0</v>
      </c>
    </row>
    <row r="97" spans="1:7" ht="15.75">
      <c r="A97" s="3" t="s">
        <v>328</v>
      </c>
      <c r="B97" s="15">
        <f>B95+B96</f>
        <v>0</v>
      </c>
      <c r="E97" s="3" t="s">
        <v>789</v>
      </c>
      <c r="F97" s="15">
        <f>B31</f>
        <v>0</v>
      </c>
    </row>
    <row r="98" spans="1:7" ht="15.75">
      <c r="A98" s="3" t="s">
        <v>318</v>
      </c>
      <c r="B98" s="15">
        <f>MIN(B93,B97-B94)</f>
        <v>0</v>
      </c>
      <c r="E98" s="3" t="s">
        <v>790</v>
      </c>
      <c r="F98" s="15">
        <f>F96-F97</f>
        <v>0</v>
      </c>
    </row>
    <row r="99" spans="1:7" ht="15.75">
      <c r="A99" s="20" t="s">
        <v>319</v>
      </c>
      <c r="B99" s="15"/>
      <c r="E99" s="3" t="s">
        <v>796</v>
      </c>
      <c r="F99" s="15">
        <f>IF(F93&gt;F98,F98,F93)</f>
        <v>0</v>
      </c>
    </row>
    <row r="100" spans="1:7" ht="15.75">
      <c r="A100" s="3" t="s">
        <v>320</v>
      </c>
      <c r="B100" s="21">
        <f>ROUND(IF((B93*0.1)&lt;(B93-B98),(B93*0.1),(B93-B98)),2)</f>
        <v>0</v>
      </c>
      <c r="E100" s="20" t="s">
        <v>797</v>
      </c>
      <c r="F100" s="21">
        <f>(F93-F99)*-1</f>
        <v>-1268856.96</v>
      </c>
      <c r="G100" s="48"/>
    </row>
    <row r="101" spans="1:7" ht="15.75">
      <c r="A101" s="20" t="s">
        <v>329</v>
      </c>
      <c r="B101" s="21">
        <f>(B93-B98-B100)*-1</f>
        <v>0</v>
      </c>
    </row>
    <row r="102" spans="1:7" ht="15.75">
      <c r="A102" s="20"/>
      <c r="B102" s="21"/>
    </row>
    <row r="103" spans="1:7" ht="15.75">
      <c r="A103" s="17" t="s">
        <v>368</v>
      </c>
    </row>
    <row r="104" spans="1:7" ht="15.75">
      <c r="A104" s="17"/>
    </row>
  </sheetData>
  <mergeCells count="2">
    <mergeCell ref="E10:F10"/>
    <mergeCell ref="A62:F62"/>
  </mergeCells>
  <phoneticPr fontId="10" type="noConversion"/>
  <dataValidations count="1">
    <dataValidation type="list" allowBlank="1" showInputMessage="1" showErrorMessage="1" sqref="B4" xr:uid="{00000000-0002-0000-0000-000000000000}">
      <formula1>DISNAME</formula1>
    </dataValidation>
  </dataValidations>
  <pageMargins left="0.5" right="0.5" top="0.5" bottom="0.5" header="0.5" footer="0.5"/>
  <pageSetup scale="63" fitToHeight="3" orientation="landscape" r:id="rId1"/>
  <headerFooter alignWithMargins="0">
    <oddFooter>Page &amp;P of &amp;N</oddFooter>
  </headerFooter>
  <rowBreaks count="1" manualBreakCount="1">
    <brk id="6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S339"/>
  <sheetViews>
    <sheetView zoomScaleNormal="100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defaultRowHeight="12.75"/>
  <cols>
    <col min="1" max="1" width="18.7109375" customWidth="1"/>
    <col min="2" max="2" width="7.7109375" customWidth="1"/>
    <col min="3" max="3" width="18.7109375" customWidth="1"/>
    <col min="4" max="6" width="19.42578125" bestFit="1" customWidth="1"/>
    <col min="7" max="7" width="14.7109375" customWidth="1"/>
    <col min="8" max="8" width="13" bestFit="1" customWidth="1"/>
    <col min="9" max="9" width="12.7109375" customWidth="1"/>
    <col min="10" max="10" width="13.140625" customWidth="1"/>
    <col min="11" max="11" width="13.42578125" bestFit="1" customWidth="1"/>
    <col min="12" max="12" width="12" bestFit="1" customWidth="1"/>
    <col min="13" max="13" width="12.85546875" bestFit="1" customWidth="1"/>
    <col min="14" max="14" width="10" bestFit="1" customWidth="1"/>
    <col min="15" max="15" width="8.42578125" customWidth="1"/>
    <col min="16" max="16" width="12" bestFit="1" customWidth="1"/>
    <col min="17" max="17" width="14" bestFit="1" customWidth="1"/>
    <col min="18" max="18" width="13.5703125" bestFit="1" customWidth="1"/>
    <col min="19" max="19" width="13.28515625" bestFit="1" customWidth="1"/>
    <col min="20" max="20" width="19.42578125" bestFit="1" customWidth="1"/>
    <col min="21" max="21" width="14" bestFit="1" customWidth="1"/>
    <col min="22" max="22" width="10.85546875" bestFit="1" customWidth="1"/>
    <col min="23" max="23" width="14" bestFit="1" customWidth="1"/>
    <col min="24" max="24" width="12" bestFit="1" customWidth="1"/>
    <col min="25" max="25" width="8.5703125" bestFit="1" customWidth="1"/>
    <col min="26" max="26" width="12.5703125" customWidth="1"/>
    <col min="27" max="27" width="12" bestFit="1" customWidth="1"/>
    <col min="28" max="28" width="13.140625" customWidth="1"/>
    <col min="29" max="29" width="13" bestFit="1" customWidth="1"/>
    <col min="30" max="30" width="10.85546875" bestFit="1" customWidth="1"/>
    <col min="31" max="31" width="15.28515625" customWidth="1"/>
    <col min="32" max="32" width="14.7109375" bestFit="1" customWidth="1"/>
    <col min="33" max="34" width="12.85546875" bestFit="1" customWidth="1"/>
    <col min="35" max="35" width="10.5703125" customWidth="1"/>
    <col min="36" max="36" width="15.140625" customWidth="1"/>
    <col min="37" max="38" width="15" bestFit="1" customWidth="1"/>
    <col min="39" max="39" width="12.85546875" bestFit="1" customWidth="1"/>
    <col min="40" max="41" width="11.28515625" bestFit="1" customWidth="1"/>
  </cols>
  <sheetData>
    <row r="1" spans="1:42">
      <c r="A1" s="28"/>
      <c r="B1" s="28">
        <v>1</v>
      </c>
      <c r="C1" s="28">
        <f>1+B1</f>
        <v>2</v>
      </c>
      <c r="D1" s="28">
        <f t="shared" ref="D1" si="0">1+C1</f>
        <v>3</v>
      </c>
      <c r="E1" s="28">
        <f t="shared" ref="E1" si="1">1+D1</f>
        <v>4</v>
      </c>
      <c r="F1" s="28">
        <f t="shared" ref="F1" si="2">1+E1</f>
        <v>5</v>
      </c>
      <c r="G1" s="28">
        <f t="shared" ref="G1" si="3">1+F1</f>
        <v>6</v>
      </c>
      <c r="H1" s="28">
        <f t="shared" ref="H1" si="4">1+G1</f>
        <v>7</v>
      </c>
      <c r="I1" s="28">
        <f t="shared" ref="I1" si="5">1+H1</f>
        <v>8</v>
      </c>
      <c r="J1" s="28">
        <f t="shared" ref="J1" si="6">1+I1</f>
        <v>9</v>
      </c>
      <c r="K1" s="28">
        <f t="shared" ref="K1" si="7">1+J1</f>
        <v>10</v>
      </c>
      <c r="L1" s="28">
        <f t="shared" ref="L1" si="8">1+K1</f>
        <v>11</v>
      </c>
      <c r="M1" s="28">
        <f t="shared" ref="M1" si="9">1+L1</f>
        <v>12</v>
      </c>
      <c r="N1" s="28">
        <f t="shared" ref="N1" si="10">1+M1</f>
        <v>13</v>
      </c>
      <c r="O1" s="28">
        <f t="shared" ref="O1" si="11">1+N1</f>
        <v>14</v>
      </c>
      <c r="P1" s="28">
        <f t="shared" ref="P1" si="12">1+O1</f>
        <v>15</v>
      </c>
      <c r="Q1" s="28">
        <f t="shared" ref="Q1" si="13">1+P1</f>
        <v>16</v>
      </c>
      <c r="R1" s="28">
        <f t="shared" ref="R1" si="14">1+Q1</f>
        <v>17</v>
      </c>
      <c r="S1" s="28">
        <f t="shared" ref="S1" si="15">1+R1</f>
        <v>18</v>
      </c>
      <c r="T1" s="28">
        <f t="shared" ref="T1" si="16">1+S1</f>
        <v>19</v>
      </c>
      <c r="U1" s="28">
        <f t="shared" ref="U1" si="17">1+T1</f>
        <v>20</v>
      </c>
      <c r="V1" s="28">
        <f t="shared" ref="V1" si="18">1+U1</f>
        <v>21</v>
      </c>
      <c r="W1" s="28">
        <f t="shared" ref="W1" si="19">1+V1</f>
        <v>22</v>
      </c>
      <c r="X1" s="28">
        <f t="shared" ref="X1" si="20">1+W1</f>
        <v>23</v>
      </c>
      <c r="Y1" s="28">
        <f t="shared" ref="Y1" si="21">1+X1</f>
        <v>24</v>
      </c>
      <c r="Z1" s="28">
        <f t="shared" ref="Z1" si="22">1+Y1</f>
        <v>25</v>
      </c>
      <c r="AA1" s="28">
        <f t="shared" ref="AA1" si="23">1+Z1</f>
        <v>26</v>
      </c>
      <c r="AB1" s="28">
        <f t="shared" ref="AB1" si="24">1+AA1</f>
        <v>27</v>
      </c>
      <c r="AC1" s="28">
        <f t="shared" ref="AC1" si="25">1+AB1</f>
        <v>28</v>
      </c>
      <c r="AD1" s="28">
        <f t="shared" ref="AD1" si="26">1+AC1</f>
        <v>29</v>
      </c>
      <c r="AE1" s="28">
        <f t="shared" ref="AE1" si="27">1+AD1</f>
        <v>30</v>
      </c>
      <c r="AF1" s="28">
        <f t="shared" ref="AF1" si="28">1+AE1</f>
        <v>31</v>
      </c>
      <c r="AG1" s="28">
        <f t="shared" ref="AG1" si="29">1+AF1</f>
        <v>32</v>
      </c>
      <c r="AH1" s="28">
        <f t="shared" ref="AH1" si="30">1+AG1</f>
        <v>33</v>
      </c>
      <c r="AI1" s="28">
        <f t="shared" ref="AI1" si="31">1+AH1</f>
        <v>34</v>
      </c>
      <c r="AJ1" s="28">
        <f t="shared" ref="AJ1" si="32">1+AI1</f>
        <v>35</v>
      </c>
      <c r="AK1" s="28">
        <f t="shared" ref="AK1" si="33">1+AJ1</f>
        <v>36</v>
      </c>
      <c r="AL1" s="28">
        <f t="shared" ref="AL1" si="34">1+AK1</f>
        <v>37</v>
      </c>
      <c r="AM1" s="28">
        <f t="shared" ref="AM1" si="35">1+AL1</f>
        <v>38</v>
      </c>
      <c r="AN1" s="28">
        <f t="shared" ref="AN1" si="36">1+AM1</f>
        <v>39</v>
      </c>
      <c r="AO1" s="28">
        <f t="shared" ref="AO1" si="37">1+AN1</f>
        <v>40</v>
      </c>
    </row>
    <row r="2" spans="1:42" s="3" customFormat="1">
      <c r="B2" s="52"/>
      <c r="C2" s="52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1:42" s="3" customFormat="1">
      <c r="D3" s="29" t="s">
        <v>405</v>
      </c>
      <c r="E3" s="30" t="s">
        <v>407</v>
      </c>
      <c r="F3" s="30" t="s">
        <v>746</v>
      </c>
      <c r="G3" s="31" t="s">
        <v>389</v>
      </c>
      <c r="I3" s="31" t="s">
        <v>727</v>
      </c>
      <c r="J3" s="31" t="s">
        <v>390</v>
      </c>
      <c r="K3" s="31" t="s">
        <v>391</v>
      </c>
      <c r="L3" s="31" t="s">
        <v>392</v>
      </c>
      <c r="M3" s="31" t="s">
        <v>786</v>
      </c>
      <c r="N3" s="30" t="s">
        <v>384</v>
      </c>
      <c r="O3" s="30" t="s">
        <v>383</v>
      </c>
      <c r="P3" s="30">
        <v>4159</v>
      </c>
      <c r="S3" s="32" t="s">
        <v>767</v>
      </c>
      <c r="V3" s="30">
        <v>4126</v>
      </c>
      <c r="Y3" s="30" t="s">
        <v>382</v>
      </c>
      <c r="Z3" s="30" t="s">
        <v>376</v>
      </c>
      <c r="AA3" s="30" t="s">
        <v>379</v>
      </c>
      <c r="AB3" s="30" t="s">
        <v>377</v>
      </c>
      <c r="AC3" s="30" t="s">
        <v>378</v>
      </c>
      <c r="AD3" s="30" t="s">
        <v>381</v>
      </c>
      <c r="AE3" s="30" t="s">
        <v>760</v>
      </c>
      <c r="AF3" s="47"/>
      <c r="AG3" s="47"/>
      <c r="AH3" s="31"/>
      <c r="AI3" s="30" t="s">
        <v>380</v>
      </c>
      <c r="AJ3" s="30" t="s">
        <v>761</v>
      </c>
      <c r="AK3" s="47"/>
      <c r="AL3" s="47"/>
      <c r="AM3" s="31"/>
      <c r="AN3" s="30" t="s">
        <v>386</v>
      </c>
      <c r="AO3" s="30" t="s">
        <v>387</v>
      </c>
    </row>
    <row r="4" spans="1:42" s="3" customFormat="1">
      <c r="D4" s="31" t="s">
        <v>404</v>
      </c>
      <c r="E4" s="31" t="s">
        <v>406</v>
      </c>
      <c r="F4" s="31" t="s">
        <v>406</v>
      </c>
      <c r="G4" s="32" t="s">
        <v>393</v>
      </c>
      <c r="H4" s="30" t="s">
        <v>388</v>
      </c>
      <c r="I4" s="32" t="s">
        <v>728</v>
      </c>
      <c r="J4" s="32" t="s">
        <v>729</v>
      </c>
      <c r="K4" s="32" t="s">
        <v>394</v>
      </c>
      <c r="L4" s="32" t="s">
        <v>395</v>
      </c>
      <c r="M4" s="32" t="s">
        <v>787</v>
      </c>
      <c r="N4" s="3" t="s">
        <v>730</v>
      </c>
      <c r="O4" s="31" t="s">
        <v>6</v>
      </c>
      <c r="P4" s="31" t="s">
        <v>373</v>
      </c>
      <c r="Q4" s="31" t="s">
        <v>750</v>
      </c>
      <c r="R4" s="31" t="s">
        <v>7</v>
      </c>
      <c r="S4" s="31" t="s">
        <v>752</v>
      </c>
      <c r="T4" s="31" t="s">
        <v>750</v>
      </c>
      <c r="U4" s="31" t="s">
        <v>7</v>
      </c>
      <c r="V4" s="31" t="s">
        <v>8</v>
      </c>
      <c r="W4" s="31" t="s">
        <v>750</v>
      </c>
      <c r="X4" s="31" t="s">
        <v>7</v>
      </c>
      <c r="Y4" s="31" t="s">
        <v>9</v>
      </c>
      <c r="Z4" s="31" t="s">
        <v>402</v>
      </c>
      <c r="AA4" s="31" t="s">
        <v>398</v>
      </c>
      <c r="AB4" s="31" t="s">
        <v>399</v>
      </c>
      <c r="AC4" s="31" t="s">
        <v>397</v>
      </c>
      <c r="AD4" s="31" t="s">
        <v>400</v>
      </c>
      <c r="AE4" s="31" t="s">
        <v>754</v>
      </c>
      <c r="AF4" s="31" t="s">
        <v>756</v>
      </c>
      <c r="AG4" s="31" t="s">
        <v>758</v>
      </c>
      <c r="AH4" s="46" t="s">
        <v>401</v>
      </c>
      <c r="AI4" s="31" t="s">
        <v>402</v>
      </c>
      <c r="AJ4" s="31" t="s">
        <v>762</v>
      </c>
      <c r="AK4" s="31" t="s">
        <v>756</v>
      </c>
      <c r="AL4" s="31" t="s">
        <v>758</v>
      </c>
      <c r="AM4" s="46" t="s">
        <v>402</v>
      </c>
      <c r="AN4" s="3">
        <v>1400</v>
      </c>
      <c r="AO4" s="3">
        <v>5400</v>
      </c>
    </row>
    <row r="5" spans="1:42" s="3" customFormat="1">
      <c r="D5" s="33" t="s">
        <v>403</v>
      </c>
      <c r="E5" s="33" t="s">
        <v>745</v>
      </c>
      <c r="F5" s="33" t="s">
        <v>747</v>
      </c>
      <c r="G5" s="34" t="s">
        <v>1</v>
      </c>
      <c r="H5" s="31">
        <v>3121</v>
      </c>
      <c r="I5" s="34" t="s">
        <v>2</v>
      </c>
      <c r="J5" s="34" t="s">
        <v>2</v>
      </c>
      <c r="K5" s="34" t="s">
        <v>3</v>
      </c>
      <c r="L5" s="34" t="s">
        <v>4</v>
      </c>
      <c r="M5" s="34" t="s">
        <v>5</v>
      </c>
      <c r="N5" s="31" t="s">
        <v>385</v>
      </c>
      <c r="O5" s="31" t="s">
        <v>385</v>
      </c>
      <c r="Q5" s="31" t="s">
        <v>374</v>
      </c>
      <c r="R5" s="31" t="s">
        <v>374</v>
      </c>
      <c r="S5" s="31" t="s">
        <v>396</v>
      </c>
      <c r="T5" s="31" t="s">
        <v>751</v>
      </c>
      <c r="U5" s="31" t="s">
        <v>751</v>
      </c>
      <c r="W5" s="31" t="s">
        <v>753</v>
      </c>
      <c r="X5" s="31" t="s">
        <v>753</v>
      </c>
      <c r="Y5" s="31" t="s">
        <v>11</v>
      </c>
      <c r="Z5" s="31" t="s">
        <v>0</v>
      </c>
      <c r="AA5" s="31" t="s">
        <v>0</v>
      </c>
      <c r="AB5" s="31" t="s">
        <v>10</v>
      </c>
      <c r="AC5" s="31" t="s">
        <v>10</v>
      </c>
      <c r="AD5" s="34"/>
      <c r="AE5" s="34" t="s">
        <v>755</v>
      </c>
      <c r="AF5" s="34" t="s">
        <v>757</v>
      </c>
      <c r="AG5" s="34" t="s">
        <v>759</v>
      </c>
      <c r="AH5" s="34"/>
      <c r="AI5" s="31" t="s">
        <v>371</v>
      </c>
      <c r="AJ5" s="34" t="s">
        <v>755</v>
      </c>
      <c r="AK5" s="34" t="s">
        <v>757</v>
      </c>
      <c r="AL5" s="34" t="s">
        <v>759</v>
      </c>
      <c r="AM5" s="3" t="s">
        <v>372</v>
      </c>
    </row>
    <row r="6" spans="1:42" s="55" customFormat="1" ht="25.15" customHeight="1">
      <c r="A6" s="55" t="s">
        <v>714</v>
      </c>
      <c r="B6" s="55" t="s">
        <v>332</v>
      </c>
      <c r="C6" s="55" t="s">
        <v>331</v>
      </c>
      <c r="D6" s="56">
        <f t="shared" ref="D6:M6" si="38">SUM(D7:D334)</f>
        <v>1923648.42</v>
      </c>
      <c r="E6" s="56">
        <f t="shared" si="38"/>
        <v>19647167.959999997</v>
      </c>
      <c r="F6" s="56">
        <f t="shared" si="38"/>
        <v>8646582.1499999966</v>
      </c>
      <c r="G6" s="56">
        <f t="shared" si="38"/>
        <v>1633166912.750001</v>
      </c>
      <c r="H6" s="56">
        <f t="shared" si="38"/>
        <v>318875196.09999996</v>
      </c>
      <c r="I6" s="56">
        <f t="shared" si="38"/>
        <v>136733006.47999996</v>
      </c>
      <c r="J6" s="56">
        <f t="shared" si="38"/>
        <v>340037915.87</v>
      </c>
      <c r="K6" s="56">
        <f t="shared" si="38"/>
        <v>243868339.20999992</v>
      </c>
      <c r="L6" s="56">
        <f t="shared" si="38"/>
        <v>34030179.559999995</v>
      </c>
      <c r="M6" s="56">
        <f t="shared" si="38"/>
        <v>665009185.06000006</v>
      </c>
      <c r="N6" s="66">
        <v>4.19E-2</v>
      </c>
      <c r="O6" s="67">
        <v>0.1452</v>
      </c>
      <c r="P6" s="56">
        <f t="shared" ref="P6:AE6" si="39">SUM(P7:P334)</f>
        <v>502826.48</v>
      </c>
      <c r="Q6" s="56">
        <f t="shared" si="39"/>
        <v>32367.800000000003</v>
      </c>
      <c r="R6" s="57">
        <f t="shared" si="39"/>
        <v>20939.699999999997</v>
      </c>
      <c r="S6" s="56">
        <f>SUM(S7:S334)</f>
        <v>11399502.120000001</v>
      </c>
      <c r="T6" s="56">
        <f>SUM(T7:T334)</f>
        <v>591348.38100000005</v>
      </c>
      <c r="U6" s="56">
        <f t="shared" si="39"/>
        <v>371603.01</v>
      </c>
      <c r="V6" s="56">
        <f t="shared" si="39"/>
        <v>3055325.07</v>
      </c>
      <c r="W6" s="56">
        <f t="shared" si="39"/>
        <v>225172.87599999979</v>
      </c>
      <c r="X6" s="56">
        <f t="shared" si="39"/>
        <v>115476.31</v>
      </c>
      <c r="Y6" s="56">
        <f t="shared" si="39"/>
        <v>650000.00000000035</v>
      </c>
      <c r="Z6" s="56">
        <f t="shared" si="39"/>
        <v>6140213.6499999985</v>
      </c>
      <c r="AA6" s="56">
        <f t="shared" si="39"/>
        <v>27753179.609999999</v>
      </c>
      <c r="AB6" s="56">
        <f t="shared" si="39"/>
        <v>113723671.49999999</v>
      </c>
      <c r="AC6" s="56">
        <f t="shared" si="39"/>
        <v>588158571.1900003</v>
      </c>
      <c r="AD6" s="58">
        <f t="shared" si="39"/>
        <v>59898.42</v>
      </c>
      <c r="AE6" s="58">
        <f t="shared" si="39"/>
        <v>545906555.06000018</v>
      </c>
      <c r="AF6" s="68">
        <v>2185636</v>
      </c>
      <c r="AG6" s="68">
        <f>SUM(AG7:AG334)</f>
        <v>2431222.9011763562</v>
      </c>
      <c r="AH6" s="58">
        <f>SUM(AH7:AH334)</f>
        <v>245587.24000000008</v>
      </c>
      <c r="AI6" s="58">
        <f>SUM(AI7:AI334)</f>
        <v>11966.379999999996</v>
      </c>
      <c r="AJ6" s="58">
        <f>SUM(AJ7:AJ334)</f>
        <v>105616159.36000004</v>
      </c>
      <c r="AK6" s="68">
        <f t="shared" ref="AK6:AM6" si="40">SUM(AK7:AK334)</f>
        <v>1707802.7894531232</v>
      </c>
      <c r="AL6" s="68">
        <f t="shared" si="40"/>
        <v>1839843.4751223365</v>
      </c>
      <c r="AM6" s="58">
        <f t="shared" si="40"/>
        <v>132040.70000000004</v>
      </c>
      <c r="AN6" s="58">
        <f t="shared" ref="AN6" si="41">SUM(AN7:AN334)</f>
        <v>581538.35000000009</v>
      </c>
      <c r="AO6" s="58">
        <f t="shared" ref="AO6" si="42">SUM(AO7:AO334)</f>
        <v>768149.27</v>
      </c>
    </row>
    <row r="7" spans="1:42" s="3" customFormat="1" ht="15">
      <c r="A7" s="59" t="s">
        <v>488</v>
      </c>
      <c r="B7" s="59" t="s">
        <v>80</v>
      </c>
      <c r="C7" s="59" t="str">
        <f t="shared" ref="C7:C33" si="43">CONCATENATE(B7," ",A7," SCHOOL DISTRICT")</f>
        <v>14005 ABERDEEN SCHOOL DISTRICT</v>
      </c>
      <c r="D7" s="36">
        <v>0</v>
      </c>
      <c r="E7" s="36">
        <v>138097.73000000001</v>
      </c>
      <c r="F7" s="36">
        <v>0</v>
      </c>
      <c r="G7" s="36">
        <v>4638280.2699999996</v>
      </c>
      <c r="H7" s="36">
        <v>1089521.2</v>
      </c>
      <c r="I7" s="36">
        <v>895973.04</v>
      </c>
      <c r="J7" s="36">
        <v>1493702.17</v>
      </c>
      <c r="K7" s="36">
        <v>702206.74</v>
      </c>
      <c r="L7" s="36">
        <v>94138.72</v>
      </c>
      <c r="M7" s="36">
        <v>1268856.96</v>
      </c>
      <c r="N7" s="50">
        <v>3.1199999999999999E-2</v>
      </c>
      <c r="O7" s="53">
        <v>0.1799</v>
      </c>
      <c r="P7" s="36">
        <v>0</v>
      </c>
      <c r="Q7" s="69">
        <v>0</v>
      </c>
      <c r="R7" s="69">
        <v>0</v>
      </c>
      <c r="S7" s="70">
        <v>179673.55</v>
      </c>
      <c r="T7" s="70">
        <v>0</v>
      </c>
      <c r="U7" s="70">
        <v>5946.46</v>
      </c>
      <c r="V7" s="36">
        <v>0</v>
      </c>
      <c r="W7" s="70">
        <v>0</v>
      </c>
      <c r="X7" s="70">
        <v>0</v>
      </c>
      <c r="Y7" s="36">
        <v>157.88999999999999</v>
      </c>
      <c r="Z7" s="36">
        <v>51582.89</v>
      </c>
      <c r="AA7" s="36">
        <v>121443.94</v>
      </c>
      <c r="AB7" s="36">
        <v>714701.78</v>
      </c>
      <c r="AC7" s="36">
        <v>2354191.44</v>
      </c>
      <c r="AD7" s="36">
        <v>257.76</v>
      </c>
      <c r="AE7" s="36">
        <v>2214242.2799999998</v>
      </c>
      <c r="AF7" s="71">
        <f t="shared" ref="AF7:AF70" si="44">IFERROR(AE7/AD7,0)</f>
        <v>8590.3254189944128</v>
      </c>
      <c r="AG7" s="71">
        <f t="shared" ref="AG7:AG70" si="45">IFERROR(AC7/AD7,0)</f>
        <v>9133.2690875232784</v>
      </c>
      <c r="AH7" s="72">
        <f t="shared" ref="AH7:AH70" si="46">ROUND(AG7-AF7,2)</f>
        <v>542.94000000000005</v>
      </c>
      <c r="AI7" s="36">
        <v>79.61</v>
      </c>
      <c r="AJ7" s="36">
        <v>663474.32999999996</v>
      </c>
      <c r="AK7" s="71">
        <f t="shared" ref="AK7:AK70" si="47">IFERROR(AJ7/AI7,0)</f>
        <v>8334.0576560733571</v>
      </c>
      <c r="AL7" s="71">
        <f t="shared" ref="AL7:AL70" si="48">IFERROR(AB7/AI7,0)</f>
        <v>8977.5377465142574</v>
      </c>
      <c r="AM7" s="72">
        <f t="shared" ref="AM7:AM70" si="49">ROUND(AL7-AK7,2)</f>
        <v>643.48</v>
      </c>
      <c r="AN7" s="70">
        <v>2871.42</v>
      </c>
      <c r="AO7" s="70">
        <v>0</v>
      </c>
      <c r="AP7" s="3">
        <v>0</v>
      </c>
    </row>
    <row r="8" spans="1:42" s="3" customFormat="1" ht="15">
      <c r="A8" s="59" t="s">
        <v>553</v>
      </c>
      <c r="B8" s="59" t="s">
        <v>145</v>
      </c>
      <c r="C8" s="59" t="str">
        <f t="shared" si="43"/>
        <v>21226 ADNA SCHOOL DISTRICT</v>
      </c>
      <c r="D8" s="36">
        <v>0</v>
      </c>
      <c r="E8" s="36">
        <v>0</v>
      </c>
      <c r="F8" s="36">
        <v>0</v>
      </c>
      <c r="G8" s="36">
        <v>795895.76</v>
      </c>
      <c r="H8" s="36">
        <v>126620.7</v>
      </c>
      <c r="I8" s="36">
        <v>0</v>
      </c>
      <c r="J8" s="36">
        <v>108352.3</v>
      </c>
      <c r="K8" s="36">
        <v>0</v>
      </c>
      <c r="L8" s="36">
        <v>19700.419999999998</v>
      </c>
      <c r="M8" s="36">
        <v>380122.81</v>
      </c>
      <c r="N8" s="50">
        <v>4.48E-2</v>
      </c>
      <c r="O8" s="53">
        <v>0.19789999999999999</v>
      </c>
      <c r="P8" s="36">
        <v>0</v>
      </c>
      <c r="Q8" s="69">
        <v>0</v>
      </c>
      <c r="R8" s="69">
        <v>0</v>
      </c>
      <c r="S8" s="70">
        <v>0</v>
      </c>
      <c r="T8" s="70">
        <v>0</v>
      </c>
      <c r="U8" s="70">
        <v>0</v>
      </c>
      <c r="V8" s="36">
        <v>0</v>
      </c>
      <c r="W8" s="70">
        <v>0</v>
      </c>
      <c r="X8" s="70">
        <v>0</v>
      </c>
      <c r="Y8" s="36">
        <v>730.79</v>
      </c>
      <c r="Z8" s="36">
        <v>16900.37</v>
      </c>
      <c r="AA8" s="36">
        <v>0</v>
      </c>
      <c r="AB8" s="36">
        <v>77475.64</v>
      </c>
      <c r="AC8" s="36">
        <v>419515.59</v>
      </c>
      <c r="AD8" s="36">
        <v>43.3</v>
      </c>
      <c r="AE8" s="36">
        <v>379529.69</v>
      </c>
      <c r="AF8" s="71">
        <f t="shared" si="44"/>
        <v>8765.119861431871</v>
      </c>
      <c r="AG8" s="71">
        <f t="shared" si="45"/>
        <v>9688.5817551963064</v>
      </c>
      <c r="AH8" s="72">
        <f t="shared" si="46"/>
        <v>923.46</v>
      </c>
      <c r="AI8" s="36">
        <v>8.4600000000000009</v>
      </c>
      <c r="AJ8" s="36">
        <v>71951.59</v>
      </c>
      <c r="AK8" s="71">
        <f t="shared" si="47"/>
        <v>8504.9160756501169</v>
      </c>
      <c r="AL8" s="71">
        <f t="shared" si="48"/>
        <v>9157.8770685579184</v>
      </c>
      <c r="AM8" s="72">
        <f t="shared" si="49"/>
        <v>652.96</v>
      </c>
      <c r="AN8" s="70">
        <v>0</v>
      </c>
      <c r="AO8" s="70">
        <v>0</v>
      </c>
      <c r="AP8" s="3">
        <v>0</v>
      </c>
    </row>
    <row r="9" spans="1:42" s="3" customFormat="1" ht="15">
      <c r="A9" s="59" t="s">
        <v>564</v>
      </c>
      <c r="B9" s="59" t="s">
        <v>156</v>
      </c>
      <c r="C9" s="59" t="str">
        <f t="shared" si="43"/>
        <v>22017 ALMIRA SCHOOL DISTRICT</v>
      </c>
      <c r="D9" s="36">
        <v>0</v>
      </c>
      <c r="E9" s="36">
        <v>0</v>
      </c>
      <c r="F9" s="36">
        <v>0</v>
      </c>
      <c r="G9" s="36">
        <v>114379.31</v>
      </c>
      <c r="H9" s="36">
        <v>12099.6</v>
      </c>
      <c r="I9" s="36">
        <v>0</v>
      </c>
      <c r="J9" s="36">
        <v>20556.96</v>
      </c>
      <c r="K9" s="36">
        <v>0</v>
      </c>
      <c r="L9" s="36">
        <v>3319.09</v>
      </c>
      <c r="M9" s="36">
        <v>211692.59</v>
      </c>
      <c r="N9" s="50">
        <v>0.04</v>
      </c>
      <c r="O9" s="53">
        <v>0.39279999999999998</v>
      </c>
      <c r="P9" s="36">
        <v>0</v>
      </c>
      <c r="Q9" s="69">
        <v>0</v>
      </c>
      <c r="R9" s="69">
        <v>0</v>
      </c>
      <c r="S9" s="70">
        <v>0</v>
      </c>
      <c r="T9" s="70">
        <v>0</v>
      </c>
      <c r="U9" s="70">
        <v>0</v>
      </c>
      <c r="V9" s="36">
        <v>0</v>
      </c>
      <c r="W9" s="70">
        <v>0</v>
      </c>
      <c r="X9" s="70">
        <v>0</v>
      </c>
      <c r="Y9" s="36">
        <v>0</v>
      </c>
      <c r="Z9" s="36">
        <v>0</v>
      </c>
      <c r="AA9" s="36">
        <v>0</v>
      </c>
      <c r="AB9" s="36">
        <v>0</v>
      </c>
      <c r="AC9" s="36">
        <v>60250.04</v>
      </c>
      <c r="AD9" s="36">
        <v>6.48</v>
      </c>
      <c r="AE9" s="36">
        <v>56774.42</v>
      </c>
      <c r="AF9" s="71">
        <f t="shared" si="44"/>
        <v>8761.4845679012342</v>
      </c>
      <c r="AG9" s="71">
        <f t="shared" si="45"/>
        <v>9297.8456790123455</v>
      </c>
      <c r="AH9" s="72">
        <f t="shared" si="46"/>
        <v>536.36</v>
      </c>
      <c r="AI9" s="36">
        <v>0</v>
      </c>
      <c r="AJ9" s="36">
        <v>0</v>
      </c>
      <c r="AK9" s="71">
        <f t="shared" si="47"/>
        <v>0</v>
      </c>
      <c r="AL9" s="71">
        <f t="shared" si="48"/>
        <v>0</v>
      </c>
      <c r="AM9" s="72">
        <f t="shared" si="49"/>
        <v>0</v>
      </c>
      <c r="AN9" s="70">
        <v>0</v>
      </c>
      <c r="AO9" s="70">
        <v>0</v>
      </c>
      <c r="AP9" s="3">
        <v>0</v>
      </c>
    </row>
    <row r="10" spans="1:42" s="3" customFormat="1" ht="15">
      <c r="A10" s="59" t="s">
        <v>615</v>
      </c>
      <c r="B10" s="59" t="s">
        <v>208</v>
      </c>
      <c r="C10" s="59" t="str">
        <f t="shared" si="43"/>
        <v>29103 ANACORTES SCHOOL DISTRICT</v>
      </c>
      <c r="D10" s="36">
        <v>0</v>
      </c>
      <c r="E10" s="36">
        <v>0</v>
      </c>
      <c r="F10" s="36">
        <v>1827.79</v>
      </c>
      <c r="G10" s="36">
        <v>3528382.41</v>
      </c>
      <c r="H10" s="36">
        <v>601156.65</v>
      </c>
      <c r="I10" s="36">
        <v>24243.5</v>
      </c>
      <c r="J10" s="36">
        <v>529582.88</v>
      </c>
      <c r="K10" s="36">
        <v>109625.41</v>
      </c>
      <c r="L10" s="36">
        <v>83022.490000000005</v>
      </c>
      <c r="M10" s="36">
        <v>1328178.77</v>
      </c>
      <c r="N10" s="50">
        <v>4.9399999999999999E-2</v>
      </c>
      <c r="O10" s="53">
        <v>0.16009999999999999</v>
      </c>
      <c r="P10" s="36">
        <v>0</v>
      </c>
      <c r="Q10" s="69">
        <v>0</v>
      </c>
      <c r="R10" s="69">
        <v>0</v>
      </c>
      <c r="S10" s="70">
        <v>0</v>
      </c>
      <c r="T10" s="70">
        <v>0</v>
      </c>
      <c r="U10" s="70">
        <v>0</v>
      </c>
      <c r="V10" s="36">
        <v>0</v>
      </c>
      <c r="W10" s="70">
        <v>0</v>
      </c>
      <c r="X10" s="70">
        <v>0</v>
      </c>
      <c r="Y10" s="36">
        <v>0</v>
      </c>
      <c r="Z10" s="36">
        <v>7367.27</v>
      </c>
      <c r="AA10" s="36">
        <v>26244.2</v>
      </c>
      <c r="AB10" s="36">
        <v>234856.32000000001</v>
      </c>
      <c r="AC10" s="36">
        <v>918791.07</v>
      </c>
      <c r="AD10" s="36">
        <v>93.53</v>
      </c>
      <c r="AE10" s="36">
        <v>870617.31</v>
      </c>
      <c r="AF10" s="71">
        <f t="shared" si="44"/>
        <v>9308.4284186891909</v>
      </c>
      <c r="AG10" s="71">
        <f t="shared" si="45"/>
        <v>9823.4905377953583</v>
      </c>
      <c r="AH10" s="72">
        <f t="shared" si="46"/>
        <v>515.05999999999995</v>
      </c>
      <c r="AI10" s="36">
        <v>24.12</v>
      </c>
      <c r="AJ10" s="36">
        <v>218254.5</v>
      </c>
      <c r="AK10" s="71">
        <f t="shared" si="47"/>
        <v>9048.6940298507452</v>
      </c>
      <c r="AL10" s="71">
        <f t="shared" si="48"/>
        <v>9736.9950248756213</v>
      </c>
      <c r="AM10" s="72">
        <f t="shared" si="49"/>
        <v>688.3</v>
      </c>
      <c r="AN10" s="70">
        <v>25000</v>
      </c>
      <c r="AO10" s="70">
        <v>0</v>
      </c>
      <c r="AP10" s="3">
        <v>0</v>
      </c>
    </row>
    <row r="11" spans="1:42" s="3" customFormat="1" ht="15">
      <c r="A11" s="59" t="s">
        <v>627</v>
      </c>
      <c r="B11" s="59" t="s">
        <v>220</v>
      </c>
      <c r="C11" s="59" t="str">
        <f t="shared" si="43"/>
        <v>31016 ARLINGTON SCHOOL DISTRICT</v>
      </c>
      <c r="D11" s="36">
        <v>0</v>
      </c>
      <c r="E11" s="36">
        <v>90476.11</v>
      </c>
      <c r="F11" s="36">
        <v>0</v>
      </c>
      <c r="G11" s="36">
        <v>8851051.2100000009</v>
      </c>
      <c r="H11" s="36">
        <v>1889451.2</v>
      </c>
      <c r="I11" s="36">
        <v>0</v>
      </c>
      <c r="J11" s="36">
        <v>1292476.79</v>
      </c>
      <c r="K11" s="36">
        <v>603588.04</v>
      </c>
      <c r="L11" s="36">
        <v>182649.13</v>
      </c>
      <c r="M11" s="36">
        <v>4020929.89</v>
      </c>
      <c r="N11" s="50">
        <v>3.2199999999999999E-2</v>
      </c>
      <c r="O11" s="53">
        <v>0.11890000000000001</v>
      </c>
      <c r="P11" s="36">
        <v>0</v>
      </c>
      <c r="Q11" s="69">
        <v>0</v>
      </c>
      <c r="R11" s="69">
        <v>0</v>
      </c>
      <c r="S11" s="70">
        <v>0</v>
      </c>
      <c r="T11" s="70">
        <v>0</v>
      </c>
      <c r="U11" s="70">
        <v>0</v>
      </c>
      <c r="V11" s="36">
        <v>0</v>
      </c>
      <c r="W11" s="70">
        <v>0</v>
      </c>
      <c r="X11" s="70">
        <v>0</v>
      </c>
      <c r="Y11" s="36">
        <v>0</v>
      </c>
      <c r="Z11" s="36">
        <v>0</v>
      </c>
      <c r="AA11" s="36">
        <v>0</v>
      </c>
      <c r="AB11" s="36">
        <v>361327.04</v>
      </c>
      <c r="AC11" s="36">
        <v>3586332.98</v>
      </c>
      <c r="AD11" s="36">
        <v>355.48</v>
      </c>
      <c r="AE11" s="36">
        <v>3372413.46</v>
      </c>
      <c r="AF11" s="71">
        <f t="shared" si="44"/>
        <v>9486.9288286260817</v>
      </c>
      <c r="AG11" s="71">
        <f t="shared" si="45"/>
        <v>10088.705356138178</v>
      </c>
      <c r="AH11" s="72">
        <f t="shared" si="46"/>
        <v>601.78</v>
      </c>
      <c r="AI11" s="36">
        <v>36.380000000000003</v>
      </c>
      <c r="AJ11" s="36">
        <v>335563.76</v>
      </c>
      <c r="AK11" s="71">
        <f t="shared" si="47"/>
        <v>9223.8526663001649</v>
      </c>
      <c r="AL11" s="71">
        <f t="shared" si="48"/>
        <v>9932.0241891148962</v>
      </c>
      <c r="AM11" s="72">
        <f t="shared" si="49"/>
        <v>708.17</v>
      </c>
      <c r="AN11" s="70">
        <v>0</v>
      </c>
      <c r="AO11" s="70">
        <v>0</v>
      </c>
      <c r="AP11" s="3">
        <v>0</v>
      </c>
    </row>
    <row r="12" spans="1:42" s="3" customFormat="1" ht="15">
      <c r="A12" s="59" t="s">
        <v>426</v>
      </c>
      <c r="B12" s="59" t="s">
        <v>18</v>
      </c>
      <c r="C12" s="59" t="str">
        <f t="shared" si="43"/>
        <v>02420 ASOTIN-ANATONE SCHOOL DISTRICT</v>
      </c>
      <c r="D12" s="36">
        <v>0</v>
      </c>
      <c r="E12" s="36">
        <v>0</v>
      </c>
      <c r="F12" s="36">
        <v>0</v>
      </c>
      <c r="G12" s="36">
        <v>826695.72</v>
      </c>
      <c r="H12" s="36">
        <v>177780.07</v>
      </c>
      <c r="I12" s="36">
        <v>0</v>
      </c>
      <c r="J12" s="36">
        <v>104897.43</v>
      </c>
      <c r="K12" s="36">
        <v>0</v>
      </c>
      <c r="L12" s="36">
        <v>18103.59</v>
      </c>
      <c r="M12" s="36">
        <v>374390.28</v>
      </c>
      <c r="N12" s="50">
        <v>3.9100000000000003E-2</v>
      </c>
      <c r="O12" s="53">
        <v>0.1797</v>
      </c>
      <c r="P12" s="36">
        <v>0</v>
      </c>
      <c r="Q12" s="69">
        <v>0</v>
      </c>
      <c r="R12" s="69">
        <v>0</v>
      </c>
      <c r="S12" s="70">
        <v>0</v>
      </c>
      <c r="T12" s="70">
        <v>0</v>
      </c>
      <c r="U12" s="70">
        <v>0</v>
      </c>
      <c r="V12" s="36">
        <v>0</v>
      </c>
      <c r="W12" s="70">
        <v>0</v>
      </c>
      <c r="X12" s="70">
        <v>0</v>
      </c>
      <c r="Y12" s="36">
        <v>0</v>
      </c>
      <c r="Z12" s="36">
        <v>0.43</v>
      </c>
      <c r="AA12" s="36">
        <v>0</v>
      </c>
      <c r="AB12" s="36">
        <v>37612.129999999997</v>
      </c>
      <c r="AC12" s="36">
        <v>377455.3</v>
      </c>
      <c r="AD12" s="36">
        <v>41.54</v>
      </c>
      <c r="AE12" s="36">
        <v>356858.35</v>
      </c>
      <c r="AF12" s="71">
        <f t="shared" si="44"/>
        <v>8590.7161771786232</v>
      </c>
      <c r="AG12" s="71">
        <f t="shared" si="45"/>
        <v>9086.5503129513727</v>
      </c>
      <c r="AH12" s="72">
        <f t="shared" si="46"/>
        <v>495.83</v>
      </c>
      <c r="AI12" s="36">
        <v>4.1900000000000004</v>
      </c>
      <c r="AJ12" s="36">
        <v>34964.74</v>
      </c>
      <c r="AK12" s="71">
        <f t="shared" si="47"/>
        <v>8344.8066825775641</v>
      </c>
      <c r="AL12" s="71">
        <f t="shared" si="48"/>
        <v>8976.6420047732681</v>
      </c>
      <c r="AM12" s="72">
        <f t="shared" si="49"/>
        <v>631.84</v>
      </c>
      <c r="AN12" s="70">
        <v>11080.07</v>
      </c>
      <c r="AO12" s="70">
        <v>0</v>
      </c>
      <c r="AP12" s="3">
        <v>0</v>
      </c>
    </row>
    <row r="13" spans="1:42" s="3" customFormat="1" ht="15">
      <c r="A13" s="59" t="s">
        <v>520</v>
      </c>
      <c r="B13" s="59" t="s">
        <v>112</v>
      </c>
      <c r="C13" s="59" t="str">
        <f t="shared" si="43"/>
        <v>17408 AUBURN SCHOOL DISTRICT</v>
      </c>
      <c r="D13" s="36">
        <v>0</v>
      </c>
      <c r="E13" s="36">
        <v>107348.77</v>
      </c>
      <c r="F13" s="36">
        <v>349029.27</v>
      </c>
      <c r="G13" s="36">
        <v>24365018.649999999</v>
      </c>
      <c r="H13" s="36">
        <v>4758507.0599999996</v>
      </c>
      <c r="I13" s="36">
        <v>3778963.76</v>
      </c>
      <c r="J13" s="36">
        <v>7152469.8700000001</v>
      </c>
      <c r="K13" s="36">
        <v>8607390.6600000001</v>
      </c>
      <c r="L13" s="36">
        <v>583657.66</v>
      </c>
      <c r="M13" s="36">
        <v>11885193.84</v>
      </c>
      <c r="N13" s="50">
        <v>3.6600000000000001E-2</v>
      </c>
      <c r="O13" s="53">
        <v>0.1336</v>
      </c>
      <c r="P13" s="36">
        <v>0</v>
      </c>
      <c r="Q13" s="69">
        <v>0</v>
      </c>
      <c r="R13" s="69">
        <v>0</v>
      </c>
      <c r="S13" s="70">
        <v>0</v>
      </c>
      <c r="T13" s="70">
        <v>0</v>
      </c>
      <c r="U13" s="70">
        <v>0</v>
      </c>
      <c r="V13" s="36">
        <v>0</v>
      </c>
      <c r="W13" s="70">
        <v>0</v>
      </c>
      <c r="X13" s="70">
        <v>0</v>
      </c>
      <c r="Y13" s="36">
        <v>1064.6099999999999</v>
      </c>
      <c r="Z13" s="36">
        <v>165454.22</v>
      </c>
      <c r="AA13" s="36">
        <v>580478.27</v>
      </c>
      <c r="AB13" s="36">
        <v>1875833.05</v>
      </c>
      <c r="AC13" s="36">
        <v>8331098.5999999996</v>
      </c>
      <c r="AD13" s="36">
        <v>798.88</v>
      </c>
      <c r="AE13" s="36">
        <v>7578957.7999999998</v>
      </c>
      <c r="AF13" s="71">
        <f t="shared" si="44"/>
        <v>9486.9790206288799</v>
      </c>
      <c r="AG13" s="71">
        <f t="shared" si="45"/>
        <v>10428.4731123573</v>
      </c>
      <c r="AH13" s="72">
        <f t="shared" si="46"/>
        <v>941.49</v>
      </c>
      <c r="AI13" s="36">
        <v>188.89</v>
      </c>
      <c r="AJ13" s="36">
        <v>1742589.65</v>
      </c>
      <c r="AK13" s="71">
        <f t="shared" si="47"/>
        <v>9225.4203504685265</v>
      </c>
      <c r="AL13" s="71">
        <f t="shared" si="48"/>
        <v>9930.8224363386107</v>
      </c>
      <c r="AM13" s="72">
        <f t="shared" si="49"/>
        <v>705.4</v>
      </c>
      <c r="AN13" s="70">
        <v>0</v>
      </c>
      <c r="AO13" s="70">
        <v>0</v>
      </c>
      <c r="AP13" s="3">
        <v>0</v>
      </c>
    </row>
    <row r="14" spans="1:42" s="3" customFormat="1" ht="15">
      <c r="A14" s="59" t="s">
        <v>529</v>
      </c>
      <c r="B14" s="59" t="s">
        <v>121</v>
      </c>
      <c r="C14" s="59" t="str">
        <f t="shared" si="43"/>
        <v>18303 BAINBRIDGE SCHOOL DISTRICT</v>
      </c>
      <c r="D14" s="36">
        <v>0</v>
      </c>
      <c r="E14" s="36">
        <v>0</v>
      </c>
      <c r="F14" s="36">
        <v>0</v>
      </c>
      <c r="G14" s="36">
        <v>6295719.3799999999</v>
      </c>
      <c r="H14" s="36">
        <v>807520.03</v>
      </c>
      <c r="I14" s="36">
        <v>0</v>
      </c>
      <c r="J14" s="36">
        <v>191096.17</v>
      </c>
      <c r="K14" s="36">
        <v>71592.27</v>
      </c>
      <c r="L14" s="36">
        <v>120887.79</v>
      </c>
      <c r="M14" s="36">
        <v>1541745.53</v>
      </c>
      <c r="N14" s="50">
        <v>2.5399999999999999E-2</v>
      </c>
      <c r="O14" s="53">
        <v>0.17849999999999999</v>
      </c>
      <c r="P14" s="36">
        <v>0</v>
      </c>
      <c r="Q14" s="69">
        <v>0</v>
      </c>
      <c r="R14" s="69">
        <v>0</v>
      </c>
      <c r="S14" s="70">
        <v>0</v>
      </c>
      <c r="T14" s="70">
        <v>0</v>
      </c>
      <c r="U14" s="70">
        <v>0</v>
      </c>
      <c r="V14" s="36">
        <v>0</v>
      </c>
      <c r="W14" s="70">
        <v>0</v>
      </c>
      <c r="X14" s="70">
        <v>0</v>
      </c>
      <c r="Y14" s="36">
        <v>4082.5</v>
      </c>
      <c r="Z14" s="36">
        <v>0</v>
      </c>
      <c r="AA14" s="36">
        <v>170691.88</v>
      </c>
      <c r="AB14" s="36">
        <v>576566.67000000004</v>
      </c>
      <c r="AC14" s="36">
        <v>3158451.63</v>
      </c>
      <c r="AD14" s="36">
        <v>308.92</v>
      </c>
      <c r="AE14" s="36">
        <v>2986227.26</v>
      </c>
      <c r="AF14" s="71">
        <f t="shared" si="44"/>
        <v>9666.6685873365259</v>
      </c>
      <c r="AG14" s="71">
        <f t="shared" si="45"/>
        <v>10224.173345850057</v>
      </c>
      <c r="AH14" s="72">
        <f t="shared" si="46"/>
        <v>557.5</v>
      </c>
      <c r="AI14" s="36">
        <v>56.96</v>
      </c>
      <c r="AJ14" s="36">
        <v>535546.34</v>
      </c>
      <c r="AK14" s="71">
        <f t="shared" si="47"/>
        <v>9402.147823033707</v>
      </c>
      <c r="AL14" s="71">
        <f t="shared" si="48"/>
        <v>10122.308110955057</v>
      </c>
      <c r="AM14" s="72">
        <f t="shared" si="49"/>
        <v>720.16</v>
      </c>
      <c r="AN14" s="70">
        <v>0</v>
      </c>
      <c r="AO14" s="70">
        <v>0</v>
      </c>
      <c r="AP14" s="3">
        <v>0</v>
      </c>
    </row>
    <row r="15" spans="1:42" s="3" customFormat="1" ht="15">
      <c r="A15" s="59" t="s">
        <v>452</v>
      </c>
      <c r="B15" s="59" t="s">
        <v>44</v>
      </c>
      <c r="C15" s="59" t="str">
        <f t="shared" si="43"/>
        <v>06119 BATTLE GROUND SCHOOL DISTRICT</v>
      </c>
      <c r="D15" s="36">
        <v>0</v>
      </c>
      <c r="E15" s="36">
        <v>224516.78</v>
      </c>
      <c r="F15" s="36">
        <v>0</v>
      </c>
      <c r="G15" s="36">
        <v>18177857.309999999</v>
      </c>
      <c r="H15" s="36">
        <v>3082218.93</v>
      </c>
      <c r="I15" s="36">
        <v>0</v>
      </c>
      <c r="J15" s="36">
        <v>2792916.01</v>
      </c>
      <c r="K15" s="36">
        <v>1898603.7</v>
      </c>
      <c r="L15" s="36">
        <v>381159.08</v>
      </c>
      <c r="M15" s="36">
        <v>12222030.619999999</v>
      </c>
      <c r="N15" s="50">
        <v>3.5299999999999998E-2</v>
      </c>
      <c r="O15" s="53">
        <v>0.1555</v>
      </c>
      <c r="P15" s="36">
        <v>0</v>
      </c>
      <c r="Q15" s="69">
        <v>0</v>
      </c>
      <c r="R15" s="69">
        <v>0</v>
      </c>
      <c r="S15" s="70">
        <v>0</v>
      </c>
      <c r="T15" s="70">
        <v>0</v>
      </c>
      <c r="U15" s="70">
        <v>0</v>
      </c>
      <c r="V15" s="36">
        <v>0</v>
      </c>
      <c r="W15" s="70">
        <v>0</v>
      </c>
      <c r="X15" s="70">
        <v>0</v>
      </c>
      <c r="Y15" s="36">
        <v>12052.41</v>
      </c>
      <c r="Z15" s="36">
        <v>66698.929999999993</v>
      </c>
      <c r="AA15" s="36">
        <v>359348.39</v>
      </c>
      <c r="AB15" s="36">
        <v>659129.54</v>
      </c>
      <c r="AC15" s="36">
        <v>9050364.5899999999</v>
      </c>
      <c r="AD15" s="36">
        <v>955.54</v>
      </c>
      <c r="AE15" s="36">
        <v>8550962.3599999994</v>
      </c>
      <c r="AF15" s="71">
        <f t="shared" si="44"/>
        <v>8948.8272181175034</v>
      </c>
      <c r="AG15" s="71">
        <f t="shared" si="45"/>
        <v>9471.4659668878339</v>
      </c>
      <c r="AH15" s="72">
        <f t="shared" si="46"/>
        <v>522.64</v>
      </c>
      <c r="AI15" s="36">
        <v>70.44</v>
      </c>
      <c r="AJ15" s="36">
        <v>612344.01</v>
      </c>
      <c r="AK15" s="71">
        <f t="shared" si="47"/>
        <v>8693.129045996593</v>
      </c>
      <c r="AL15" s="71">
        <f t="shared" si="48"/>
        <v>9357.3188529244762</v>
      </c>
      <c r="AM15" s="72">
        <f t="shared" si="49"/>
        <v>664.19</v>
      </c>
      <c r="AN15" s="70">
        <v>0</v>
      </c>
      <c r="AO15" s="70">
        <v>0</v>
      </c>
      <c r="AP15" s="3">
        <v>0</v>
      </c>
    </row>
    <row r="16" spans="1:42" s="3" customFormat="1" ht="15">
      <c r="A16" s="59" t="s">
        <v>517</v>
      </c>
      <c r="B16" s="59" t="s">
        <v>109</v>
      </c>
      <c r="C16" s="59" t="str">
        <f t="shared" si="43"/>
        <v>17405 BELLEVUE SCHOOL DISTRICT</v>
      </c>
      <c r="D16" s="36">
        <v>0</v>
      </c>
      <c r="E16" s="36">
        <v>210266.52</v>
      </c>
      <c r="F16" s="36">
        <v>0</v>
      </c>
      <c r="G16" s="36">
        <v>26342614.23</v>
      </c>
      <c r="H16" s="36">
        <v>3751987.39</v>
      </c>
      <c r="I16" s="36">
        <v>150600.54</v>
      </c>
      <c r="J16" s="36">
        <v>2469273.91</v>
      </c>
      <c r="K16" s="36">
        <v>6418969.6200000001</v>
      </c>
      <c r="L16" s="36">
        <v>643257.24</v>
      </c>
      <c r="M16" s="36">
        <v>9648508.0500000007</v>
      </c>
      <c r="N16" s="50">
        <v>4.0399999999999998E-2</v>
      </c>
      <c r="O16" s="53">
        <v>0.13250000000000001</v>
      </c>
      <c r="P16" s="36">
        <v>0</v>
      </c>
      <c r="Q16" s="69">
        <v>0</v>
      </c>
      <c r="R16" s="69">
        <v>0</v>
      </c>
      <c r="S16" s="70">
        <v>0</v>
      </c>
      <c r="T16" s="70">
        <v>0</v>
      </c>
      <c r="U16" s="70">
        <v>0</v>
      </c>
      <c r="V16" s="36">
        <v>0</v>
      </c>
      <c r="W16" s="70">
        <v>0</v>
      </c>
      <c r="X16" s="70">
        <v>0</v>
      </c>
      <c r="Y16" s="36">
        <v>0</v>
      </c>
      <c r="Z16" s="36">
        <v>234896.39</v>
      </c>
      <c r="AA16" s="36">
        <v>757960.91</v>
      </c>
      <c r="AB16" s="36">
        <v>2274298.56</v>
      </c>
      <c r="AC16" s="36">
        <v>8114567.9699999997</v>
      </c>
      <c r="AD16" s="36">
        <v>748.7</v>
      </c>
      <c r="AE16" s="36">
        <v>7237216.6600000001</v>
      </c>
      <c r="AF16" s="71">
        <f t="shared" si="44"/>
        <v>9666.3772672632567</v>
      </c>
      <c r="AG16" s="71">
        <f t="shared" si="45"/>
        <v>10838.210190997728</v>
      </c>
      <c r="AH16" s="72">
        <f t="shared" si="46"/>
        <v>1171.83</v>
      </c>
      <c r="AI16" s="36">
        <v>224.7</v>
      </c>
      <c r="AJ16" s="36">
        <v>2112791.2799999998</v>
      </c>
      <c r="AK16" s="71">
        <f t="shared" si="47"/>
        <v>9402.7204272363142</v>
      </c>
      <c r="AL16" s="71">
        <f t="shared" si="48"/>
        <v>10121.488918558078</v>
      </c>
      <c r="AM16" s="72">
        <f t="shared" si="49"/>
        <v>718.77</v>
      </c>
      <c r="AN16" s="70">
        <v>0</v>
      </c>
      <c r="AO16" s="70">
        <v>0</v>
      </c>
      <c r="AP16" s="3">
        <v>0</v>
      </c>
    </row>
    <row r="17" spans="1:42" s="3" customFormat="1" ht="15">
      <c r="A17" s="59" t="s">
        <v>676</v>
      </c>
      <c r="B17" s="59" t="s">
        <v>272</v>
      </c>
      <c r="C17" s="59" t="str">
        <f t="shared" si="43"/>
        <v>37501 BELLINGHAM SCHOOL DISTRICT</v>
      </c>
      <c r="D17" s="36">
        <v>0</v>
      </c>
      <c r="E17" s="36">
        <v>88678.080000000002</v>
      </c>
      <c r="F17" s="36">
        <v>0</v>
      </c>
      <c r="G17" s="36">
        <v>17368747.260000002</v>
      </c>
      <c r="H17" s="36">
        <v>3429590.42</v>
      </c>
      <c r="I17" s="36">
        <v>552230.25</v>
      </c>
      <c r="J17" s="36">
        <v>3059313.27</v>
      </c>
      <c r="K17" s="36">
        <v>1612291.8</v>
      </c>
      <c r="L17" s="36">
        <v>363576.71</v>
      </c>
      <c r="M17" s="36">
        <v>4969521.3499999996</v>
      </c>
      <c r="N17" s="50">
        <v>3.27E-2</v>
      </c>
      <c r="O17" s="53">
        <v>0.13039999999999999</v>
      </c>
      <c r="P17" s="36">
        <v>0</v>
      </c>
      <c r="Q17" s="69">
        <v>0</v>
      </c>
      <c r="R17" s="69">
        <v>0</v>
      </c>
      <c r="S17" s="70">
        <v>0</v>
      </c>
      <c r="T17" s="70">
        <v>0</v>
      </c>
      <c r="U17" s="70">
        <v>0</v>
      </c>
      <c r="V17" s="36">
        <v>0</v>
      </c>
      <c r="W17" s="70">
        <v>0</v>
      </c>
      <c r="X17" s="70">
        <v>0</v>
      </c>
      <c r="Y17" s="36">
        <v>1313.84</v>
      </c>
      <c r="Z17" s="36">
        <v>0</v>
      </c>
      <c r="AA17" s="36">
        <v>0</v>
      </c>
      <c r="AB17" s="36">
        <v>442460.78</v>
      </c>
      <c r="AC17" s="36">
        <v>7385745.5300000003</v>
      </c>
      <c r="AD17" s="36">
        <v>741.15</v>
      </c>
      <c r="AE17" s="36">
        <v>6765374.8899999997</v>
      </c>
      <c r="AF17" s="71">
        <f t="shared" si="44"/>
        <v>9128.2127639479186</v>
      </c>
      <c r="AG17" s="71">
        <f t="shared" si="45"/>
        <v>9965.2506645078593</v>
      </c>
      <c r="AH17" s="72">
        <f t="shared" si="46"/>
        <v>837.04</v>
      </c>
      <c r="AI17" s="36">
        <v>46.32</v>
      </c>
      <c r="AJ17" s="36">
        <v>410794.06</v>
      </c>
      <c r="AK17" s="71">
        <f t="shared" si="47"/>
        <v>8868.6109671848008</v>
      </c>
      <c r="AL17" s="71">
        <f t="shared" si="48"/>
        <v>9552.2620898100176</v>
      </c>
      <c r="AM17" s="72">
        <f t="shared" si="49"/>
        <v>683.65</v>
      </c>
      <c r="AN17" s="70">
        <v>0</v>
      </c>
      <c r="AO17" s="70">
        <v>0</v>
      </c>
      <c r="AP17" s="3">
        <v>0</v>
      </c>
    </row>
    <row r="18" spans="1:42" s="3" customFormat="1" ht="15">
      <c r="A18" s="59" t="s">
        <v>421</v>
      </c>
      <c r="B18" s="59" t="s">
        <v>13</v>
      </c>
      <c r="C18" s="59" t="str">
        <f t="shared" si="43"/>
        <v>01122 BENGE SCHOOL DISTRICT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74414.179999999993</v>
      </c>
      <c r="N18" s="50">
        <v>1.0699999999999999E-2</v>
      </c>
      <c r="O18" s="53">
        <v>0.37959999999999999</v>
      </c>
      <c r="P18" s="36">
        <v>0</v>
      </c>
      <c r="Q18" s="69">
        <v>0</v>
      </c>
      <c r="R18" s="69">
        <v>0</v>
      </c>
      <c r="S18" s="70">
        <v>0</v>
      </c>
      <c r="T18" s="70">
        <v>0</v>
      </c>
      <c r="U18" s="70">
        <v>0</v>
      </c>
      <c r="V18" s="36">
        <v>0</v>
      </c>
      <c r="W18" s="70">
        <v>0</v>
      </c>
      <c r="X18" s="70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71">
        <f t="shared" si="44"/>
        <v>0</v>
      </c>
      <c r="AG18" s="71">
        <f t="shared" si="45"/>
        <v>0</v>
      </c>
      <c r="AH18" s="72">
        <f t="shared" si="46"/>
        <v>0</v>
      </c>
      <c r="AI18" s="36">
        <v>0</v>
      </c>
      <c r="AJ18" s="36">
        <v>0</v>
      </c>
      <c r="AK18" s="71">
        <f t="shared" si="47"/>
        <v>0</v>
      </c>
      <c r="AL18" s="71">
        <f t="shared" si="48"/>
        <v>0</v>
      </c>
      <c r="AM18" s="72">
        <f t="shared" si="49"/>
        <v>0</v>
      </c>
      <c r="AN18" s="70">
        <v>0.81</v>
      </c>
      <c r="AO18" s="70">
        <v>0</v>
      </c>
      <c r="AP18" s="3">
        <v>0</v>
      </c>
    </row>
    <row r="19" spans="1:42" s="3" customFormat="1" ht="15">
      <c r="A19" s="59" t="s">
        <v>604</v>
      </c>
      <c r="B19" s="59" t="s">
        <v>197</v>
      </c>
      <c r="C19" s="59" t="str">
        <f t="shared" si="43"/>
        <v>27403 BETHEL SCHOOL DISTRICT</v>
      </c>
      <c r="D19" s="36">
        <v>0</v>
      </c>
      <c r="E19" s="36">
        <v>442003.53</v>
      </c>
      <c r="F19" s="36">
        <v>287722.40999999997</v>
      </c>
      <c r="G19" s="36">
        <v>29599832.02</v>
      </c>
      <c r="H19" s="36">
        <v>6840806.6399999997</v>
      </c>
      <c r="I19" s="36">
        <v>2774402.57</v>
      </c>
      <c r="J19" s="36">
        <v>6105361.54</v>
      </c>
      <c r="K19" s="36">
        <v>2356320.79</v>
      </c>
      <c r="L19" s="36">
        <v>612729.28</v>
      </c>
      <c r="M19" s="36">
        <v>17216270.579999998</v>
      </c>
      <c r="N19" s="50">
        <v>5.11E-2</v>
      </c>
      <c r="O19" s="53">
        <v>0.14030000000000001</v>
      </c>
      <c r="P19" s="36">
        <v>0</v>
      </c>
      <c r="Q19" s="69">
        <v>0</v>
      </c>
      <c r="R19" s="69">
        <v>0</v>
      </c>
      <c r="S19" s="70">
        <v>0</v>
      </c>
      <c r="T19" s="70">
        <v>0</v>
      </c>
      <c r="U19" s="70">
        <v>0</v>
      </c>
      <c r="V19" s="36">
        <v>0</v>
      </c>
      <c r="W19" s="70">
        <v>0</v>
      </c>
      <c r="X19" s="70">
        <v>0</v>
      </c>
      <c r="Y19" s="36">
        <v>23308.62</v>
      </c>
      <c r="Z19" s="36">
        <v>223043.54</v>
      </c>
      <c r="AA19" s="36">
        <v>0</v>
      </c>
      <c r="AB19" s="36">
        <v>2266645.33</v>
      </c>
      <c r="AC19" s="36">
        <v>9401032.6799999997</v>
      </c>
      <c r="AD19" s="36">
        <v>1022.9</v>
      </c>
      <c r="AE19" s="36">
        <v>8786988.4499999993</v>
      </c>
      <c r="AF19" s="71">
        <f t="shared" si="44"/>
        <v>8590.2712386352523</v>
      </c>
      <c r="AG19" s="71">
        <f t="shared" si="45"/>
        <v>9190.5686577378037</v>
      </c>
      <c r="AH19" s="72">
        <f t="shared" si="46"/>
        <v>600.29999999999995</v>
      </c>
      <c r="AI19" s="36">
        <v>252.5</v>
      </c>
      <c r="AJ19" s="36">
        <v>2104669.0499999998</v>
      </c>
      <c r="AK19" s="71">
        <f t="shared" si="47"/>
        <v>8335.3229702970293</v>
      </c>
      <c r="AL19" s="71">
        <f t="shared" si="48"/>
        <v>8976.8131881188128</v>
      </c>
      <c r="AM19" s="72">
        <f t="shared" si="49"/>
        <v>641.49</v>
      </c>
      <c r="AN19" s="70">
        <v>0</v>
      </c>
      <c r="AO19" s="70">
        <v>0</v>
      </c>
      <c r="AP19" s="3">
        <v>0</v>
      </c>
    </row>
    <row r="20" spans="1:42" s="3" customFormat="1" ht="15">
      <c r="A20" s="59" t="s">
        <v>540</v>
      </c>
      <c r="B20" s="59" t="s">
        <v>132</v>
      </c>
      <c r="C20" s="59" t="str">
        <f t="shared" si="43"/>
        <v>20203 BICKLETON SCHOOL DISTRICT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209492.33</v>
      </c>
      <c r="N20" s="50">
        <v>2.01E-2</v>
      </c>
      <c r="O20" s="53">
        <v>0.27389999999999998</v>
      </c>
      <c r="P20" s="36">
        <v>0</v>
      </c>
      <c r="Q20" s="69">
        <v>0</v>
      </c>
      <c r="R20" s="69">
        <v>0</v>
      </c>
      <c r="S20" s="70">
        <v>0</v>
      </c>
      <c r="T20" s="70">
        <v>0</v>
      </c>
      <c r="U20" s="70">
        <v>0</v>
      </c>
      <c r="V20" s="36">
        <v>0</v>
      </c>
      <c r="W20" s="70">
        <v>0</v>
      </c>
      <c r="X20" s="70">
        <v>0</v>
      </c>
      <c r="Y20" s="36">
        <v>119.54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71">
        <f t="shared" si="44"/>
        <v>0</v>
      </c>
      <c r="AG20" s="71">
        <f t="shared" si="45"/>
        <v>0</v>
      </c>
      <c r="AH20" s="72">
        <f t="shared" si="46"/>
        <v>0</v>
      </c>
      <c r="AI20" s="36">
        <v>0</v>
      </c>
      <c r="AJ20" s="36">
        <v>0</v>
      </c>
      <c r="AK20" s="71">
        <f t="shared" si="47"/>
        <v>0</v>
      </c>
      <c r="AL20" s="71">
        <f t="shared" si="48"/>
        <v>0</v>
      </c>
      <c r="AM20" s="72">
        <f t="shared" si="49"/>
        <v>0</v>
      </c>
      <c r="AN20" s="70">
        <v>0</v>
      </c>
      <c r="AO20" s="70">
        <v>0</v>
      </c>
      <c r="AP20" s="3">
        <v>0</v>
      </c>
    </row>
    <row r="21" spans="1:42" s="3" customFormat="1" ht="15">
      <c r="A21" s="59" t="s">
        <v>678</v>
      </c>
      <c r="B21" s="59" t="s">
        <v>274</v>
      </c>
      <c r="C21" s="59" t="str">
        <f t="shared" si="43"/>
        <v>37503 BLAINE SCHOOL DISTRICT</v>
      </c>
      <c r="D21" s="36">
        <v>0</v>
      </c>
      <c r="E21" s="36">
        <v>66072.600000000006</v>
      </c>
      <c r="F21" s="36">
        <v>4126.74</v>
      </c>
      <c r="G21" s="36">
        <v>3743999.92</v>
      </c>
      <c r="H21" s="36">
        <v>476044.49</v>
      </c>
      <c r="I21" s="36">
        <v>0</v>
      </c>
      <c r="J21" s="36">
        <v>721531.34</v>
      </c>
      <c r="K21" s="36">
        <v>190882.42</v>
      </c>
      <c r="L21" s="36">
        <v>69015.009999999995</v>
      </c>
      <c r="M21" s="36">
        <v>1425453.85</v>
      </c>
      <c r="N21" s="50">
        <v>3.61E-2</v>
      </c>
      <c r="O21" s="53">
        <v>0.16550000000000001</v>
      </c>
      <c r="P21" s="36">
        <v>0</v>
      </c>
      <c r="Q21" s="69">
        <v>0</v>
      </c>
      <c r="R21" s="69">
        <v>0</v>
      </c>
      <c r="S21" s="70">
        <v>0</v>
      </c>
      <c r="T21" s="70">
        <v>0</v>
      </c>
      <c r="U21" s="70">
        <v>0</v>
      </c>
      <c r="V21" s="36">
        <v>0</v>
      </c>
      <c r="W21" s="70">
        <v>0</v>
      </c>
      <c r="X21" s="70">
        <v>0</v>
      </c>
      <c r="Y21" s="36">
        <v>2346.88</v>
      </c>
      <c r="Z21" s="36">
        <v>0</v>
      </c>
      <c r="AA21" s="36">
        <v>0</v>
      </c>
      <c r="AB21" s="36">
        <v>113745.9</v>
      </c>
      <c r="AC21" s="36">
        <v>1069495.8600000001</v>
      </c>
      <c r="AD21" s="36">
        <v>101.16</v>
      </c>
      <c r="AE21" s="36">
        <v>959050.96</v>
      </c>
      <c r="AF21" s="71">
        <f t="shared" si="44"/>
        <v>9480.5353894820091</v>
      </c>
      <c r="AG21" s="71">
        <f t="shared" si="45"/>
        <v>10572.319691577701</v>
      </c>
      <c r="AH21" s="72">
        <f t="shared" si="46"/>
        <v>1091.78</v>
      </c>
      <c r="AI21" s="36">
        <v>11.47</v>
      </c>
      <c r="AJ21" s="36">
        <v>105684.98</v>
      </c>
      <c r="AK21" s="71">
        <f t="shared" si="47"/>
        <v>9214.0348735832595</v>
      </c>
      <c r="AL21" s="71">
        <f t="shared" si="48"/>
        <v>9916.8177855274625</v>
      </c>
      <c r="AM21" s="72">
        <f t="shared" si="49"/>
        <v>702.78</v>
      </c>
      <c r="AN21" s="70">
        <v>0</v>
      </c>
      <c r="AO21" s="70">
        <v>0</v>
      </c>
      <c r="AP21" s="3">
        <v>0</v>
      </c>
    </row>
    <row r="22" spans="1:42" s="3" customFormat="1" ht="15">
      <c r="A22" s="59" t="s">
        <v>555</v>
      </c>
      <c r="B22" s="59" t="s">
        <v>147</v>
      </c>
      <c r="C22" s="59" t="str">
        <f t="shared" si="43"/>
        <v>21234 BOISTFORT SCHOOL DISTRICT</v>
      </c>
      <c r="D22" s="36">
        <v>0</v>
      </c>
      <c r="E22" s="36">
        <v>0</v>
      </c>
      <c r="F22" s="36">
        <v>0</v>
      </c>
      <c r="G22" s="36">
        <v>178302.57</v>
      </c>
      <c r="H22" s="36">
        <v>34654.9</v>
      </c>
      <c r="I22" s="36">
        <v>25965.74</v>
      </c>
      <c r="J22" s="36">
        <v>27724.37</v>
      </c>
      <c r="K22" s="36">
        <v>0</v>
      </c>
      <c r="L22" s="36">
        <v>0</v>
      </c>
      <c r="M22" s="36">
        <v>175004.84</v>
      </c>
      <c r="N22" s="50">
        <v>7.6499999999999999E-2</v>
      </c>
      <c r="O22" s="53">
        <v>0.26860000000000001</v>
      </c>
      <c r="P22" s="36">
        <v>0</v>
      </c>
      <c r="Q22" s="69">
        <v>0</v>
      </c>
      <c r="R22" s="69">
        <v>0</v>
      </c>
      <c r="S22" s="70">
        <v>0</v>
      </c>
      <c r="T22" s="70">
        <v>0</v>
      </c>
      <c r="U22" s="70">
        <v>0</v>
      </c>
      <c r="V22" s="36">
        <v>0</v>
      </c>
      <c r="W22" s="70">
        <v>0</v>
      </c>
      <c r="X22" s="70">
        <v>0</v>
      </c>
      <c r="Y22" s="36">
        <v>96.99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71">
        <f t="shared" si="44"/>
        <v>0</v>
      </c>
      <c r="AG22" s="71">
        <f t="shared" si="45"/>
        <v>0</v>
      </c>
      <c r="AH22" s="72">
        <f t="shared" si="46"/>
        <v>0</v>
      </c>
      <c r="AI22" s="36">
        <v>0</v>
      </c>
      <c r="AJ22" s="36">
        <v>0</v>
      </c>
      <c r="AK22" s="71">
        <f t="shared" si="47"/>
        <v>0</v>
      </c>
      <c r="AL22" s="71">
        <f t="shared" si="48"/>
        <v>0</v>
      </c>
      <c r="AM22" s="72">
        <f t="shared" si="49"/>
        <v>0</v>
      </c>
      <c r="AN22" s="70">
        <v>0</v>
      </c>
      <c r="AO22" s="70">
        <v>0</v>
      </c>
      <c r="AP22" s="3">
        <v>0</v>
      </c>
    </row>
    <row r="23" spans="1:42" s="3" customFormat="1" ht="15">
      <c r="A23" s="59" t="s">
        <v>528</v>
      </c>
      <c r="B23" s="59" t="s">
        <v>120</v>
      </c>
      <c r="C23" s="59" t="str">
        <f t="shared" si="43"/>
        <v>18100 BREMERTON SCHOOL DISTRICT</v>
      </c>
      <c r="D23" s="36">
        <v>0</v>
      </c>
      <c r="E23" s="36">
        <v>201227.08</v>
      </c>
      <c r="F23" s="36">
        <v>50569.09</v>
      </c>
      <c r="G23" s="36">
        <v>7475469.4199999999</v>
      </c>
      <c r="H23" s="36">
        <v>1455829.49</v>
      </c>
      <c r="I23" s="36">
        <v>1341626.8400000001</v>
      </c>
      <c r="J23" s="36">
        <v>2255294.14</v>
      </c>
      <c r="K23" s="36">
        <v>913183.46</v>
      </c>
      <c r="L23" s="36">
        <v>155632.54</v>
      </c>
      <c r="M23" s="36">
        <v>2363849.5</v>
      </c>
      <c r="N23" s="50">
        <v>4.9000000000000002E-2</v>
      </c>
      <c r="O23" s="53">
        <v>0.1588</v>
      </c>
      <c r="P23" s="36">
        <v>0</v>
      </c>
      <c r="Q23" s="69">
        <v>0</v>
      </c>
      <c r="R23" s="69">
        <v>0</v>
      </c>
      <c r="S23" s="70">
        <v>0</v>
      </c>
      <c r="T23" s="70">
        <v>0</v>
      </c>
      <c r="U23" s="70">
        <v>0</v>
      </c>
      <c r="V23" s="36">
        <v>0</v>
      </c>
      <c r="W23" s="70">
        <v>0</v>
      </c>
      <c r="X23" s="70">
        <v>0</v>
      </c>
      <c r="Y23" s="36">
        <v>369.91</v>
      </c>
      <c r="Z23" s="36">
        <v>0</v>
      </c>
      <c r="AA23" s="36">
        <v>0</v>
      </c>
      <c r="AB23" s="36">
        <v>575633.49</v>
      </c>
      <c r="AC23" s="36">
        <v>3370144.26</v>
      </c>
      <c r="AD23" s="36">
        <v>327.37</v>
      </c>
      <c r="AE23" s="36">
        <v>3164496.48</v>
      </c>
      <c r="AF23" s="71">
        <f t="shared" si="44"/>
        <v>9666.4217246540611</v>
      </c>
      <c r="AG23" s="71">
        <f t="shared" si="45"/>
        <v>10294.603231817209</v>
      </c>
      <c r="AH23" s="72">
        <f t="shared" si="46"/>
        <v>628.17999999999995</v>
      </c>
      <c r="AI23" s="36">
        <v>56.86</v>
      </c>
      <c r="AJ23" s="36">
        <v>534707.82999999996</v>
      </c>
      <c r="AK23" s="71">
        <f t="shared" si="47"/>
        <v>9403.9365107281028</v>
      </c>
      <c r="AL23" s="71">
        <f t="shared" si="48"/>
        <v>10123.698381990855</v>
      </c>
      <c r="AM23" s="72">
        <f t="shared" si="49"/>
        <v>719.76</v>
      </c>
      <c r="AN23" s="70">
        <v>0</v>
      </c>
      <c r="AO23" s="70">
        <v>0</v>
      </c>
      <c r="AP23" s="3">
        <v>0</v>
      </c>
    </row>
    <row r="24" spans="1:42" s="3" customFormat="1" ht="15">
      <c r="A24" s="59" t="s">
        <v>580</v>
      </c>
      <c r="B24" s="59" t="s">
        <v>172</v>
      </c>
      <c r="C24" s="59" t="str">
        <f t="shared" si="43"/>
        <v>24111 BREWSTER SCHOOL DISTRICT</v>
      </c>
      <c r="D24" s="36">
        <v>0</v>
      </c>
      <c r="E24" s="36">
        <v>50758.43</v>
      </c>
      <c r="F24" s="36">
        <v>21128.87</v>
      </c>
      <c r="G24" s="36">
        <v>1083134.82</v>
      </c>
      <c r="H24" s="36">
        <v>180709.24</v>
      </c>
      <c r="I24" s="36">
        <v>287278.26</v>
      </c>
      <c r="J24" s="36">
        <v>604970.59</v>
      </c>
      <c r="K24" s="36">
        <v>595830.23</v>
      </c>
      <c r="L24" s="36">
        <v>29172.65</v>
      </c>
      <c r="M24" s="36">
        <v>258467.98</v>
      </c>
      <c r="N24" s="50">
        <v>6.2899999999999998E-2</v>
      </c>
      <c r="O24" s="53">
        <v>0.19320000000000001</v>
      </c>
      <c r="P24" s="36">
        <v>0</v>
      </c>
      <c r="Q24" s="69">
        <v>0</v>
      </c>
      <c r="R24" s="69">
        <v>0</v>
      </c>
      <c r="S24" s="70">
        <v>0</v>
      </c>
      <c r="T24" s="70">
        <v>0</v>
      </c>
      <c r="U24" s="70">
        <v>0</v>
      </c>
      <c r="V24" s="36">
        <v>0</v>
      </c>
      <c r="W24" s="70">
        <v>0</v>
      </c>
      <c r="X24" s="70">
        <v>0</v>
      </c>
      <c r="Y24" s="36">
        <v>0</v>
      </c>
      <c r="Z24" s="36">
        <v>0</v>
      </c>
      <c r="AA24" s="36">
        <v>37902.93</v>
      </c>
      <c r="AB24" s="36">
        <v>0</v>
      </c>
      <c r="AC24" s="36">
        <v>693310.39</v>
      </c>
      <c r="AD24" s="36">
        <v>75.02</v>
      </c>
      <c r="AE24" s="36">
        <v>644383.32999999996</v>
      </c>
      <c r="AF24" s="71">
        <f t="shared" si="44"/>
        <v>8589.4872034124237</v>
      </c>
      <c r="AG24" s="71">
        <f t="shared" si="45"/>
        <v>9241.6740869101577</v>
      </c>
      <c r="AH24" s="72">
        <f t="shared" si="46"/>
        <v>652.19000000000005</v>
      </c>
      <c r="AI24" s="36">
        <v>0</v>
      </c>
      <c r="AJ24" s="36">
        <v>0</v>
      </c>
      <c r="AK24" s="71">
        <f t="shared" si="47"/>
        <v>0</v>
      </c>
      <c r="AL24" s="71">
        <f t="shared" si="48"/>
        <v>0</v>
      </c>
      <c r="AM24" s="72">
        <f t="shared" si="49"/>
        <v>0</v>
      </c>
      <c r="AN24" s="70">
        <v>0</v>
      </c>
      <c r="AO24" s="70">
        <v>0</v>
      </c>
      <c r="AP24" s="3">
        <v>0</v>
      </c>
    </row>
    <row r="25" spans="1:42" s="3" customFormat="1" ht="15">
      <c r="A25" s="59" t="s">
        <v>463</v>
      </c>
      <c r="B25" s="59" t="s">
        <v>55</v>
      </c>
      <c r="C25" s="59" t="str">
        <f t="shared" si="43"/>
        <v>09075 BRIDGEPORT SCHOOL DISTRICT</v>
      </c>
      <c r="D25" s="36">
        <v>0</v>
      </c>
      <c r="E25" s="36">
        <v>5800.46</v>
      </c>
      <c r="F25" s="36">
        <v>9022.7999999999993</v>
      </c>
      <c r="G25" s="36">
        <v>814934.7</v>
      </c>
      <c r="H25" s="36">
        <v>99848.09</v>
      </c>
      <c r="I25" s="36">
        <v>223657.04</v>
      </c>
      <c r="J25" s="36">
        <v>465314.25</v>
      </c>
      <c r="K25" s="36">
        <v>609431.81000000006</v>
      </c>
      <c r="L25" s="36">
        <v>22345.01</v>
      </c>
      <c r="M25" s="36">
        <v>234082.88</v>
      </c>
      <c r="N25" s="50">
        <v>4.6199999999999998E-2</v>
      </c>
      <c r="O25" s="53">
        <v>0.20419999999999999</v>
      </c>
      <c r="P25" s="36">
        <v>0</v>
      </c>
      <c r="Q25" s="69">
        <v>0</v>
      </c>
      <c r="R25" s="69">
        <v>0</v>
      </c>
      <c r="S25" s="70">
        <v>0</v>
      </c>
      <c r="T25" s="70">
        <v>0</v>
      </c>
      <c r="U25" s="70">
        <v>0</v>
      </c>
      <c r="V25" s="36">
        <v>0</v>
      </c>
      <c r="W25" s="70">
        <v>0</v>
      </c>
      <c r="X25" s="70">
        <v>0</v>
      </c>
      <c r="Y25" s="36">
        <v>0</v>
      </c>
      <c r="Z25" s="36">
        <v>0</v>
      </c>
      <c r="AA25" s="36">
        <v>0</v>
      </c>
      <c r="AB25" s="36">
        <v>91681.33</v>
      </c>
      <c r="AC25" s="36">
        <v>185839.96</v>
      </c>
      <c r="AD25" s="36">
        <v>20.68</v>
      </c>
      <c r="AE25" s="36">
        <v>177680.9</v>
      </c>
      <c r="AF25" s="71">
        <f t="shared" si="44"/>
        <v>8591.9197292069639</v>
      </c>
      <c r="AG25" s="71">
        <f t="shared" si="45"/>
        <v>8986.4584139264989</v>
      </c>
      <c r="AH25" s="72">
        <f t="shared" si="46"/>
        <v>394.54</v>
      </c>
      <c r="AI25" s="36">
        <v>10.210000000000001</v>
      </c>
      <c r="AJ25" s="36">
        <v>85074.87</v>
      </c>
      <c r="AK25" s="71">
        <f t="shared" si="47"/>
        <v>8332.504407443681</v>
      </c>
      <c r="AL25" s="71">
        <f t="shared" si="48"/>
        <v>8979.5621939275206</v>
      </c>
      <c r="AM25" s="72">
        <f t="shared" si="49"/>
        <v>647.05999999999995</v>
      </c>
      <c r="AN25" s="70">
        <v>0</v>
      </c>
      <c r="AO25" s="70">
        <v>0</v>
      </c>
      <c r="AP25" s="3">
        <v>0</v>
      </c>
    </row>
    <row r="26" spans="1:42" s="3" customFormat="1" ht="15">
      <c r="A26" s="59" t="s">
        <v>505</v>
      </c>
      <c r="B26" s="59" t="s">
        <v>97</v>
      </c>
      <c r="C26" s="59" t="str">
        <f t="shared" si="43"/>
        <v>16046 BRINNON SCHOOL DISTRICT</v>
      </c>
      <c r="D26" s="36">
        <v>0</v>
      </c>
      <c r="E26" s="36">
        <v>0</v>
      </c>
      <c r="F26" s="36">
        <v>0</v>
      </c>
      <c r="G26" s="36">
        <v>79704.320000000007</v>
      </c>
      <c r="H26" s="36">
        <v>4989.12</v>
      </c>
      <c r="I26" s="36">
        <v>21620.880000000001</v>
      </c>
      <c r="J26" s="36">
        <v>35896.85</v>
      </c>
      <c r="K26" s="36">
        <v>0</v>
      </c>
      <c r="L26" s="36">
        <v>2275.89</v>
      </c>
      <c r="M26" s="36">
        <v>97585.55</v>
      </c>
      <c r="N26" s="50">
        <v>0.1048</v>
      </c>
      <c r="O26" s="53">
        <v>0.4052</v>
      </c>
      <c r="P26" s="36">
        <v>0</v>
      </c>
      <c r="Q26" s="69">
        <v>0</v>
      </c>
      <c r="R26" s="69">
        <v>0</v>
      </c>
      <c r="S26" s="70">
        <v>0</v>
      </c>
      <c r="T26" s="70">
        <v>0</v>
      </c>
      <c r="U26" s="70">
        <v>0</v>
      </c>
      <c r="V26" s="36">
        <v>0</v>
      </c>
      <c r="W26" s="70">
        <v>0</v>
      </c>
      <c r="X26" s="70">
        <v>0</v>
      </c>
      <c r="Y26" s="36">
        <v>87.97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71">
        <f t="shared" si="44"/>
        <v>0</v>
      </c>
      <c r="AG26" s="71">
        <f t="shared" si="45"/>
        <v>0</v>
      </c>
      <c r="AH26" s="72">
        <f t="shared" si="46"/>
        <v>0</v>
      </c>
      <c r="AI26" s="36">
        <v>0</v>
      </c>
      <c r="AJ26" s="36">
        <v>0</v>
      </c>
      <c r="AK26" s="71">
        <f t="shared" si="47"/>
        <v>0</v>
      </c>
      <c r="AL26" s="71">
        <f t="shared" si="48"/>
        <v>0</v>
      </c>
      <c r="AM26" s="72">
        <f t="shared" si="49"/>
        <v>0</v>
      </c>
      <c r="AN26" s="70">
        <v>0</v>
      </c>
      <c r="AO26" s="70">
        <v>0</v>
      </c>
      <c r="AP26" s="3">
        <v>0</v>
      </c>
    </row>
    <row r="27" spans="1:42" s="3" customFormat="1" ht="15">
      <c r="A27" s="59" t="s">
        <v>613</v>
      </c>
      <c r="B27" s="59" t="s">
        <v>206</v>
      </c>
      <c r="C27" s="59" t="str">
        <f t="shared" si="43"/>
        <v>29100 BURLINGTON EDISON SCHOOL DISTRICT</v>
      </c>
      <c r="D27" s="36">
        <v>0</v>
      </c>
      <c r="E27" s="36">
        <v>120129.45</v>
      </c>
      <c r="F27" s="36">
        <v>0</v>
      </c>
      <c r="G27" s="36">
        <v>5128719.78</v>
      </c>
      <c r="H27" s="36">
        <v>916794.13</v>
      </c>
      <c r="I27" s="36">
        <v>473599.83</v>
      </c>
      <c r="J27" s="36">
        <v>1331231.18</v>
      </c>
      <c r="K27" s="36">
        <v>1350318.59</v>
      </c>
      <c r="L27" s="36">
        <v>109121.14</v>
      </c>
      <c r="M27" s="36">
        <v>2608084.64</v>
      </c>
      <c r="N27" s="50">
        <v>3.6799999999999999E-2</v>
      </c>
      <c r="O27" s="53">
        <v>0.1361</v>
      </c>
      <c r="P27" s="36">
        <v>0</v>
      </c>
      <c r="Q27" s="69">
        <v>0</v>
      </c>
      <c r="R27" s="69">
        <v>0</v>
      </c>
      <c r="S27" s="70">
        <v>0</v>
      </c>
      <c r="T27" s="70">
        <v>0</v>
      </c>
      <c r="U27" s="70">
        <v>0</v>
      </c>
      <c r="V27" s="36">
        <v>0</v>
      </c>
      <c r="W27" s="70">
        <v>0</v>
      </c>
      <c r="X27" s="70">
        <v>0</v>
      </c>
      <c r="Y27" s="36">
        <v>0</v>
      </c>
      <c r="Z27" s="36">
        <v>78974.41</v>
      </c>
      <c r="AA27" s="36">
        <v>165808.28</v>
      </c>
      <c r="AB27" s="36">
        <v>765424.79</v>
      </c>
      <c r="AC27" s="36">
        <v>3075265.1</v>
      </c>
      <c r="AD27" s="36">
        <v>305.61</v>
      </c>
      <c r="AE27" s="36">
        <v>2899079.98</v>
      </c>
      <c r="AF27" s="71">
        <f t="shared" si="44"/>
        <v>9486.2078466018775</v>
      </c>
      <c r="AG27" s="71">
        <f t="shared" si="45"/>
        <v>10062.710971499624</v>
      </c>
      <c r="AH27" s="72">
        <f t="shared" si="46"/>
        <v>576.5</v>
      </c>
      <c r="AI27" s="36">
        <v>77.08</v>
      </c>
      <c r="AJ27" s="36">
        <v>711014.19</v>
      </c>
      <c r="AK27" s="71">
        <f t="shared" si="47"/>
        <v>9224.3667618059153</v>
      </c>
      <c r="AL27" s="71">
        <f t="shared" si="48"/>
        <v>9930.2645303580703</v>
      </c>
      <c r="AM27" s="72">
        <f t="shared" si="49"/>
        <v>705.9</v>
      </c>
      <c r="AN27" s="70">
        <v>1878.04</v>
      </c>
      <c r="AO27" s="70">
        <v>0</v>
      </c>
      <c r="AP27" s="3">
        <v>0</v>
      </c>
    </row>
    <row r="28" spans="1:42" s="3" customFormat="1" ht="15">
      <c r="A28" s="59" t="s">
        <v>451</v>
      </c>
      <c r="B28" s="59" t="s">
        <v>43</v>
      </c>
      <c r="C28" s="59" t="str">
        <f t="shared" si="43"/>
        <v>06117 CAMAS SCHOOL DISTRICT</v>
      </c>
      <c r="D28" s="36">
        <v>0</v>
      </c>
      <c r="E28" s="36">
        <v>0</v>
      </c>
      <c r="F28" s="36">
        <v>0</v>
      </c>
      <c r="G28" s="36">
        <v>9992568.5899999999</v>
      </c>
      <c r="H28" s="36">
        <v>1443600.39</v>
      </c>
      <c r="I28" s="36">
        <v>0</v>
      </c>
      <c r="J28" s="36">
        <v>764102.72</v>
      </c>
      <c r="K28" s="36">
        <v>495078.73</v>
      </c>
      <c r="L28" s="36">
        <v>228728.48</v>
      </c>
      <c r="M28" s="36">
        <v>4172022.32</v>
      </c>
      <c r="N28" s="50">
        <v>3.4500000000000003E-2</v>
      </c>
      <c r="O28" s="53">
        <v>0.12970000000000001</v>
      </c>
      <c r="P28" s="36">
        <v>0</v>
      </c>
      <c r="Q28" s="69">
        <v>0</v>
      </c>
      <c r="R28" s="69">
        <v>0</v>
      </c>
      <c r="S28" s="70">
        <v>0</v>
      </c>
      <c r="T28" s="70">
        <v>0</v>
      </c>
      <c r="U28" s="70">
        <v>0</v>
      </c>
      <c r="V28" s="36">
        <v>0</v>
      </c>
      <c r="W28" s="70">
        <v>0</v>
      </c>
      <c r="X28" s="70">
        <v>0</v>
      </c>
      <c r="Y28" s="36">
        <v>0</v>
      </c>
      <c r="Z28" s="36">
        <v>2908.98</v>
      </c>
      <c r="AA28" s="36">
        <v>351122.39</v>
      </c>
      <c r="AB28" s="36">
        <v>336730</v>
      </c>
      <c r="AC28" s="36">
        <v>3627285.87</v>
      </c>
      <c r="AD28" s="36">
        <v>376.87</v>
      </c>
      <c r="AE28" s="36">
        <v>3440308.13</v>
      </c>
      <c r="AF28" s="71">
        <f t="shared" si="44"/>
        <v>9128.6335606442535</v>
      </c>
      <c r="AG28" s="71">
        <f t="shared" si="45"/>
        <v>9624.7668161434976</v>
      </c>
      <c r="AH28" s="72">
        <f t="shared" si="46"/>
        <v>496.13</v>
      </c>
      <c r="AI28" s="36">
        <v>35.26</v>
      </c>
      <c r="AJ28" s="36">
        <v>312626.36</v>
      </c>
      <c r="AK28" s="71">
        <f t="shared" si="47"/>
        <v>8866.3176403857069</v>
      </c>
      <c r="AL28" s="71">
        <f t="shared" si="48"/>
        <v>9549.9149177538293</v>
      </c>
      <c r="AM28" s="72">
        <f t="shared" si="49"/>
        <v>683.6</v>
      </c>
      <c r="AN28" s="70">
        <v>0</v>
      </c>
      <c r="AO28" s="70">
        <v>0</v>
      </c>
      <c r="AP28" s="3">
        <v>0</v>
      </c>
    </row>
    <row r="29" spans="1:42" s="3" customFormat="1" ht="15">
      <c r="A29" s="59" t="s">
        <v>443</v>
      </c>
      <c r="B29" s="59" t="s">
        <v>35</v>
      </c>
      <c r="C29" s="59" t="str">
        <f t="shared" si="43"/>
        <v>05401 CAPE FLATTERY SCHOOL DISTRICT</v>
      </c>
      <c r="D29" s="36">
        <v>0</v>
      </c>
      <c r="E29" s="36">
        <v>17409.349999999999</v>
      </c>
      <c r="F29" s="36">
        <v>0</v>
      </c>
      <c r="G29" s="36">
        <v>635283.93000000005</v>
      </c>
      <c r="H29" s="36">
        <v>107906.58</v>
      </c>
      <c r="I29" s="36">
        <v>145035.70000000001</v>
      </c>
      <c r="J29" s="36">
        <v>210105.22</v>
      </c>
      <c r="K29" s="36">
        <v>0</v>
      </c>
      <c r="L29" s="36">
        <v>0</v>
      </c>
      <c r="M29" s="36">
        <v>292109.15000000002</v>
      </c>
      <c r="N29" s="50">
        <v>2.3599999999999999E-2</v>
      </c>
      <c r="O29" s="53">
        <v>0.24579999999999999</v>
      </c>
      <c r="P29" s="36">
        <v>0</v>
      </c>
      <c r="Q29" s="69">
        <v>0</v>
      </c>
      <c r="R29" s="69">
        <v>0</v>
      </c>
      <c r="S29" s="70">
        <v>0</v>
      </c>
      <c r="T29" s="70">
        <v>0</v>
      </c>
      <c r="U29" s="70">
        <v>0</v>
      </c>
      <c r="V29" s="36">
        <v>0</v>
      </c>
      <c r="W29" s="70">
        <v>0</v>
      </c>
      <c r="X29" s="70">
        <v>0</v>
      </c>
      <c r="Y29" s="36">
        <v>0</v>
      </c>
      <c r="Z29" s="36">
        <v>0</v>
      </c>
      <c r="AA29" s="36">
        <v>0</v>
      </c>
      <c r="AB29" s="36">
        <v>453.53</v>
      </c>
      <c r="AC29" s="36">
        <v>126626.94</v>
      </c>
      <c r="AD29" s="36">
        <v>14.11</v>
      </c>
      <c r="AE29" s="36">
        <v>121178.87</v>
      </c>
      <c r="AF29" s="71">
        <f t="shared" si="44"/>
        <v>8588.1552090715813</v>
      </c>
      <c r="AG29" s="71">
        <f t="shared" si="45"/>
        <v>8974.2693125442947</v>
      </c>
      <c r="AH29" s="72">
        <f t="shared" si="46"/>
        <v>386.11</v>
      </c>
      <c r="AI29" s="36">
        <v>0.05</v>
      </c>
      <c r="AJ29" s="36">
        <v>361.67</v>
      </c>
      <c r="AK29" s="71">
        <f t="shared" si="47"/>
        <v>7233.4</v>
      </c>
      <c r="AL29" s="71">
        <f t="shared" si="48"/>
        <v>9070.5999999999985</v>
      </c>
      <c r="AM29" s="72">
        <f t="shared" si="49"/>
        <v>1837.2</v>
      </c>
      <c r="AN29" s="70">
        <v>1828.93</v>
      </c>
      <c r="AO29" s="70">
        <v>0</v>
      </c>
      <c r="AP29" s="3">
        <v>0</v>
      </c>
    </row>
    <row r="30" spans="1:42" s="3" customFormat="1" ht="15">
      <c r="A30" s="59" t="s">
        <v>596</v>
      </c>
      <c r="B30" s="59" t="s">
        <v>189</v>
      </c>
      <c r="C30" s="59" t="str">
        <f t="shared" si="43"/>
        <v>27019 CARBONADO SCHOOL DISTRICT</v>
      </c>
      <c r="D30" s="36">
        <v>13981.36</v>
      </c>
      <c r="E30" s="36">
        <v>0</v>
      </c>
      <c r="F30" s="36">
        <v>0</v>
      </c>
      <c r="G30" s="36">
        <v>262716.3</v>
      </c>
      <c r="H30" s="36">
        <v>24441.759999999998</v>
      </c>
      <c r="I30" s="36">
        <v>0</v>
      </c>
      <c r="J30" s="36">
        <v>30605.7</v>
      </c>
      <c r="K30" s="36">
        <v>0</v>
      </c>
      <c r="L30" s="36">
        <v>5851.08</v>
      </c>
      <c r="M30" s="36">
        <v>104992.21</v>
      </c>
      <c r="N30" s="50">
        <v>7.1800000000000003E-2</v>
      </c>
      <c r="O30" s="53">
        <v>0.30930000000000002</v>
      </c>
      <c r="P30" s="36">
        <v>0</v>
      </c>
      <c r="Q30" s="69">
        <v>0</v>
      </c>
      <c r="R30" s="69">
        <v>0</v>
      </c>
      <c r="S30" s="70">
        <v>0</v>
      </c>
      <c r="T30" s="70">
        <v>0</v>
      </c>
      <c r="U30" s="70">
        <v>0</v>
      </c>
      <c r="V30" s="36">
        <v>0</v>
      </c>
      <c r="W30" s="70">
        <v>0</v>
      </c>
      <c r="X30" s="70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71">
        <f t="shared" si="44"/>
        <v>0</v>
      </c>
      <c r="AG30" s="71">
        <f t="shared" si="45"/>
        <v>0</v>
      </c>
      <c r="AH30" s="72">
        <f t="shared" si="46"/>
        <v>0</v>
      </c>
      <c r="AI30" s="36">
        <v>0</v>
      </c>
      <c r="AJ30" s="36">
        <v>0</v>
      </c>
      <c r="AK30" s="71">
        <f t="shared" si="47"/>
        <v>0</v>
      </c>
      <c r="AL30" s="71">
        <f t="shared" si="48"/>
        <v>0</v>
      </c>
      <c r="AM30" s="72">
        <f t="shared" si="49"/>
        <v>0</v>
      </c>
      <c r="AN30" s="70">
        <v>0</v>
      </c>
      <c r="AO30" s="70">
        <v>0</v>
      </c>
      <c r="AP30" s="3">
        <v>0</v>
      </c>
    </row>
    <row r="31" spans="1:42" s="3" customFormat="1" ht="15">
      <c r="A31" s="59" t="s">
        <v>438</v>
      </c>
      <c r="B31" s="59" t="s">
        <v>30</v>
      </c>
      <c r="C31" s="59" t="str">
        <f t="shared" si="43"/>
        <v>04228 CASCADE SCHOOL DISTRICT</v>
      </c>
      <c r="D31" s="36">
        <v>0</v>
      </c>
      <c r="E31" s="36">
        <v>0</v>
      </c>
      <c r="F31" s="36">
        <v>0</v>
      </c>
      <c r="G31" s="36">
        <v>1206399.6499999999</v>
      </c>
      <c r="H31" s="36">
        <v>227854.22</v>
      </c>
      <c r="I31" s="36">
        <v>0</v>
      </c>
      <c r="J31" s="36">
        <v>311692.26</v>
      </c>
      <c r="K31" s="36">
        <v>222903.45</v>
      </c>
      <c r="L31" s="36">
        <v>36517.550000000003</v>
      </c>
      <c r="M31" s="36">
        <v>1047801.75</v>
      </c>
      <c r="N31" s="50">
        <v>2.35E-2</v>
      </c>
      <c r="O31" s="53">
        <v>0.15620000000000001</v>
      </c>
      <c r="P31" s="36">
        <v>0</v>
      </c>
      <c r="Q31" s="69">
        <v>0</v>
      </c>
      <c r="R31" s="69">
        <v>0</v>
      </c>
      <c r="S31" s="70">
        <v>0</v>
      </c>
      <c r="T31" s="70">
        <v>0</v>
      </c>
      <c r="U31" s="70">
        <v>0</v>
      </c>
      <c r="V31" s="36">
        <v>0</v>
      </c>
      <c r="W31" s="70">
        <v>0</v>
      </c>
      <c r="X31" s="70">
        <v>0</v>
      </c>
      <c r="Y31" s="36">
        <v>1395.04</v>
      </c>
      <c r="Z31" s="36">
        <v>0</v>
      </c>
      <c r="AA31" s="36">
        <v>0</v>
      </c>
      <c r="AB31" s="36">
        <v>373006.99</v>
      </c>
      <c r="AC31" s="36">
        <v>1143562.94</v>
      </c>
      <c r="AD31" s="36">
        <v>125.85</v>
      </c>
      <c r="AE31" s="36">
        <v>1081139.71</v>
      </c>
      <c r="AF31" s="71">
        <f t="shared" si="44"/>
        <v>8590.7009137862533</v>
      </c>
      <c r="AG31" s="71">
        <f t="shared" si="45"/>
        <v>9086.7138657131509</v>
      </c>
      <c r="AH31" s="72">
        <f t="shared" si="46"/>
        <v>496.01</v>
      </c>
      <c r="AI31" s="36">
        <v>41.56</v>
      </c>
      <c r="AJ31" s="36">
        <v>346327.23</v>
      </c>
      <c r="AK31" s="71">
        <f t="shared" si="47"/>
        <v>8333.186477382098</v>
      </c>
      <c r="AL31" s="71">
        <f t="shared" si="48"/>
        <v>8975.1441289701634</v>
      </c>
      <c r="AM31" s="72">
        <f t="shared" si="49"/>
        <v>641.96</v>
      </c>
      <c r="AN31" s="70">
        <v>1931.56</v>
      </c>
      <c r="AO31" s="70">
        <v>0</v>
      </c>
      <c r="AP31" s="3">
        <v>0</v>
      </c>
    </row>
    <row r="32" spans="1:42" s="3" customFormat="1" ht="15">
      <c r="A32" s="59" t="s">
        <v>437</v>
      </c>
      <c r="B32" s="59" t="s">
        <v>29</v>
      </c>
      <c r="C32" s="59" t="str">
        <f t="shared" si="43"/>
        <v>04222 CASHMERE SCHOOL DISTRICT</v>
      </c>
      <c r="D32" s="36">
        <v>0</v>
      </c>
      <c r="E32" s="36">
        <v>0</v>
      </c>
      <c r="F32" s="36">
        <v>0</v>
      </c>
      <c r="G32" s="36">
        <v>1907996.57</v>
      </c>
      <c r="H32" s="36">
        <v>218176.92</v>
      </c>
      <c r="I32" s="36">
        <v>0</v>
      </c>
      <c r="J32" s="36">
        <v>449362.2</v>
      </c>
      <c r="K32" s="36">
        <v>308020.12</v>
      </c>
      <c r="L32" s="36">
        <v>49143.97</v>
      </c>
      <c r="M32" s="36">
        <v>547410.56000000006</v>
      </c>
      <c r="N32" s="50">
        <v>3.0700000000000002E-2</v>
      </c>
      <c r="O32" s="53">
        <v>0.1754</v>
      </c>
      <c r="P32" s="36">
        <v>0</v>
      </c>
      <c r="Q32" s="69">
        <v>0</v>
      </c>
      <c r="R32" s="69">
        <v>0</v>
      </c>
      <c r="S32" s="70">
        <v>0</v>
      </c>
      <c r="T32" s="70">
        <v>0</v>
      </c>
      <c r="U32" s="70">
        <v>0</v>
      </c>
      <c r="V32" s="36">
        <v>0</v>
      </c>
      <c r="W32" s="70">
        <v>0</v>
      </c>
      <c r="X32" s="70">
        <v>0</v>
      </c>
      <c r="Y32" s="36">
        <v>0</v>
      </c>
      <c r="Z32" s="36">
        <v>12374.14</v>
      </c>
      <c r="AA32" s="36">
        <v>65169.55</v>
      </c>
      <c r="AB32" s="36">
        <v>411554.68</v>
      </c>
      <c r="AC32" s="36">
        <v>1221563.95</v>
      </c>
      <c r="AD32" s="36">
        <v>131.22999999999999</v>
      </c>
      <c r="AE32" s="36">
        <v>1149954.5</v>
      </c>
      <c r="AF32" s="71">
        <f t="shared" si="44"/>
        <v>8762.8933932789769</v>
      </c>
      <c r="AG32" s="71">
        <f t="shared" si="45"/>
        <v>9308.5723538824968</v>
      </c>
      <c r="AH32" s="72">
        <f t="shared" si="46"/>
        <v>545.67999999999995</v>
      </c>
      <c r="AI32" s="36">
        <v>44.91</v>
      </c>
      <c r="AJ32" s="36">
        <v>381978.4</v>
      </c>
      <c r="AK32" s="71">
        <f t="shared" si="47"/>
        <v>8505.4197283455815</v>
      </c>
      <c r="AL32" s="71">
        <f t="shared" si="48"/>
        <v>9163.9875306167905</v>
      </c>
      <c r="AM32" s="72">
        <f t="shared" si="49"/>
        <v>658.57</v>
      </c>
      <c r="AN32" s="70">
        <v>332.45</v>
      </c>
      <c r="AO32" s="70">
        <v>0</v>
      </c>
      <c r="AP32" s="3">
        <v>0</v>
      </c>
    </row>
    <row r="33" spans="1:42" s="3" customFormat="1" ht="15">
      <c r="A33" s="59" t="s">
        <v>458</v>
      </c>
      <c r="B33" s="59" t="s">
        <v>50</v>
      </c>
      <c r="C33" s="59" t="str">
        <f t="shared" si="43"/>
        <v>08401 CASTLE ROCK SCHOOL DISTRICT</v>
      </c>
      <c r="D33" s="36">
        <v>0</v>
      </c>
      <c r="E33" s="36">
        <v>38825.199999999997</v>
      </c>
      <c r="F33" s="36">
        <v>17209.14</v>
      </c>
      <c r="G33" s="36">
        <v>2084189.68</v>
      </c>
      <c r="H33" s="36">
        <v>393872.49</v>
      </c>
      <c r="I33" s="36">
        <v>189311.93</v>
      </c>
      <c r="J33" s="36">
        <v>479590.24</v>
      </c>
      <c r="K33" s="36">
        <v>44052.87</v>
      </c>
      <c r="L33" s="36">
        <v>42724.49</v>
      </c>
      <c r="M33" s="36">
        <v>962267.04</v>
      </c>
      <c r="N33" s="50">
        <v>3.44E-2</v>
      </c>
      <c r="O33" s="53">
        <v>0.20519999999999999</v>
      </c>
      <c r="P33" s="36">
        <v>0</v>
      </c>
      <c r="Q33" s="69">
        <v>0</v>
      </c>
      <c r="R33" s="69">
        <v>0</v>
      </c>
      <c r="S33" s="70">
        <v>0</v>
      </c>
      <c r="T33" s="70">
        <v>0</v>
      </c>
      <c r="U33" s="70">
        <v>0</v>
      </c>
      <c r="V33" s="36">
        <v>0</v>
      </c>
      <c r="W33" s="70">
        <v>0</v>
      </c>
      <c r="X33" s="70">
        <v>0</v>
      </c>
      <c r="Y33" s="36">
        <v>1691.65</v>
      </c>
      <c r="Z33" s="36">
        <v>4042.29</v>
      </c>
      <c r="AA33" s="36">
        <v>56832.35</v>
      </c>
      <c r="AB33" s="36">
        <v>134489.16</v>
      </c>
      <c r="AC33" s="36">
        <v>950153.88</v>
      </c>
      <c r="AD33" s="36">
        <v>103.04</v>
      </c>
      <c r="AE33" s="36">
        <v>885148.23</v>
      </c>
      <c r="AF33" s="71">
        <f t="shared" si="44"/>
        <v>8590.3360830745332</v>
      </c>
      <c r="AG33" s="71">
        <f t="shared" si="45"/>
        <v>9221.2138975155267</v>
      </c>
      <c r="AH33" s="72">
        <f t="shared" si="46"/>
        <v>630.88</v>
      </c>
      <c r="AI33" s="36">
        <v>14.98</v>
      </c>
      <c r="AJ33" s="36">
        <v>124811.02</v>
      </c>
      <c r="AK33" s="71">
        <f t="shared" si="47"/>
        <v>8331.8437917222964</v>
      </c>
      <c r="AL33" s="71">
        <f t="shared" si="48"/>
        <v>8977.9145527369819</v>
      </c>
      <c r="AM33" s="72">
        <f t="shared" si="49"/>
        <v>646.07000000000005</v>
      </c>
      <c r="AN33" s="70">
        <v>0</v>
      </c>
      <c r="AO33" s="70">
        <v>0</v>
      </c>
      <c r="AP33" s="3">
        <v>0</v>
      </c>
    </row>
    <row r="34" spans="1:42" s="3" customFormat="1" ht="15">
      <c r="A34" s="59" t="s">
        <v>770</v>
      </c>
      <c r="B34" s="60" t="s">
        <v>769</v>
      </c>
      <c r="C34" s="60" t="str">
        <f>CONCATENATE(B34," ",A34," PUBLIC SCHOOLS CHARTER")</f>
        <v>18901 CATALYST PUBLIC SCHOOLS CHARTER</v>
      </c>
      <c r="D34" s="36">
        <v>0</v>
      </c>
      <c r="E34" s="36">
        <v>0</v>
      </c>
      <c r="F34" s="36">
        <v>0</v>
      </c>
      <c r="G34" s="36">
        <v>622584.02</v>
      </c>
      <c r="H34" s="36">
        <v>62826.38</v>
      </c>
      <c r="I34" s="36">
        <v>0</v>
      </c>
      <c r="J34" s="36">
        <v>117173.69</v>
      </c>
      <c r="K34" s="36">
        <v>4232.0600000000004</v>
      </c>
      <c r="L34" s="36">
        <v>15096</v>
      </c>
      <c r="M34" s="36">
        <v>136934.47</v>
      </c>
      <c r="N34" s="50">
        <v>0.08</v>
      </c>
      <c r="O34" s="53">
        <v>0.1</v>
      </c>
      <c r="P34" s="36">
        <v>0</v>
      </c>
      <c r="Q34" s="69">
        <v>0</v>
      </c>
      <c r="R34" s="69">
        <v>0</v>
      </c>
      <c r="S34" s="70">
        <v>0</v>
      </c>
      <c r="T34" s="70">
        <v>0</v>
      </c>
      <c r="U34" s="70">
        <v>0</v>
      </c>
      <c r="V34" s="36">
        <v>0</v>
      </c>
      <c r="W34" s="70">
        <v>0</v>
      </c>
      <c r="X34" s="70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71">
        <f t="shared" si="44"/>
        <v>0</v>
      </c>
      <c r="AG34" s="71">
        <f t="shared" si="45"/>
        <v>0</v>
      </c>
      <c r="AH34" s="72">
        <f t="shared" si="46"/>
        <v>0</v>
      </c>
      <c r="AI34" s="36">
        <v>0</v>
      </c>
      <c r="AJ34" s="36">
        <v>0</v>
      </c>
      <c r="AK34" s="71">
        <f t="shared" si="47"/>
        <v>0</v>
      </c>
      <c r="AL34" s="71">
        <f t="shared" si="48"/>
        <v>0</v>
      </c>
      <c r="AM34" s="72">
        <f t="shared" si="49"/>
        <v>0</v>
      </c>
      <c r="AN34" s="70">
        <v>0</v>
      </c>
      <c r="AO34" s="70">
        <v>0</v>
      </c>
      <c r="AP34" s="3">
        <v>0</v>
      </c>
    </row>
    <row r="35" spans="1:42" s="3" customFormat="1" ht="15">
      <c r="A35" s="59" t="s">
        <v>541</v>
      </c>
      <c r="B35" s="59" t="s">
        <v>133</v>
      </c>
      <c r="C35" s="59" t="str">
        <f t="shared" ref="C35:C41" si="50">CONCATENATE(B35," ",A35," SCHOOL DISTRICT")</f>
        <v>20215 CENTERVILLE SCHOOL DISTRICT</v>
      </c>
      <c r="D35" s="36">
        <v>0</v>
      </c>
      <c r="E35" s="36">
        <v>1138.1500000000001</v>
      </c>
      <c r="F35" s="36">
        <v>0</v>
      </c>
      <c r="G35" s="36">
        <v>0</v>
      </c>
      <c r="H35" s="36">
        <v>0</v>
      </c>
      <c r="I35" s="36">
        <v>0</v>
      </c>
      <c r="J35" s="36">
        <v>18308.55</v>
      </c>
      <c r="K35" s="36">
        <v>0</v>
      </c>
      <c r="L35" s="36">
        <v>2997.9</v>
      </c>
      <c r="M35" s="36">
        <v>160579.59</v>
      </c>
      <c r="N35" s="50">
        <v>0.1479</v>
      </c>
      <c r="O35" s="53">
        <v>0.31769999999999998</v>
      </c>
      <c r="P35" s="36">
        <v>0</v>
      </c>
      <c r="Q35" s="69">
        <v>0</v>
      </c>
      <c r="R35" s="69">
        <v>0</v>
      </c>
      <c r="S35" s="70">
        <v>0</v>
      </c>
      <c r="T35" s="70">
        <v>0</v>
      </c>
      <c r="U35" s="70">
        <v>0</v>
      </c>
      <c r="V35" s="36">
        <v>0</v>
      </c>
      <c r="W35" s="70">
        <v>0</v>
      </c>
      <c r="X35" s="70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71">
        <f t="shared" si="44"/>
        <v>0</v>
      </c>
      <c r="AG35" s="71">
        <f t="shared" si="45"/>
        <v>0</v>
      </c>
      <c r="AH35" s="72">
        <f t="shared" si="46"/>
        <v>0</v>
      </c>
      <c r="AI35" s="36">
        <v>0</v>
      </c>
      <c r="AJ35" s="36">
        <v>0</v>
      </c>
      <c r="AK35" s="71">
        <f t="shared" si="47"/>
        <v>0</v>
      </c>
      <c r="AL35" s="71">
        <f t="shared" si="48"/>
        <v>0</v>
      </c>
      <c r="AM35" s="72">
        <f t="shared" si="49"/>
        <v>0</v>
      </c>
      <c r="AN35" s="70">
        <v>0</v>
      </c>
      <c r="AO35" s="70">
        <v>0</v>
      </c>
      <c r="AP35" s="3">
        <v>0</v>
      </c>
    </row>
    <row r="36" spans="1:42" s="3" customFormat="1" ht="15">
      <c r="A36" s="59" t="s">
        <v>531</v>
      </c>
      <c r="B36" s="59" t="s">
        <v>123</v>
      </c>
      <c r="C36" s="59" t="str">
        <f t="shared" si="50"/>
        <v>18401 CENTRAL KITSAP SCHOOL DISTRICT</v>
      </c>
      <c r="D36" s="36">
        <v>0</v>
      </c>
      <c r="E36" s="36">
        <v>0</v>
      </c>
      <c r="F36" s="36">
        <v>10483.379999999999</v>
      </c>
      <c r="G36" s="36">
        <v>19916061.870000001</v>
      </c>
      <c r="H36" s="36">
        <v>4281392.2300000004</v>
      </c>
      <c r="I36" s="36">
        <v>359787.95</v>
      </c>
      <c r="J36" s="36">
        <v>3105702.01</v>
      </c>
      <c r="K36" s="36">
        <v>915417.02</v>
      </c>
      <c r="L36" s="36">
        <v>377280.14</v>
      </c>
      <c r="M36" s="36">
        <v>6999445.5</v>
      </c>
      <c r="N36" s="50">
        <v>4.07E-2</v>
      </c>
      <c r="O36" s="53">
        <v>0.13519999999999999</v>
      </c>
      <c r="P36" s="36">
        <v>0</v>
      </c>
      <c r="Q36" s="69">
        <v>0</v>
      </c>
      <c r="R36" s="69">
        <v>0</v>
      </c>
      <c r="S36" s="70">
        <v>0</v>
      </c>
      <c r="T36" s="70">
        <v>0</v>
      </c>
      <c r="U36" s="70">
        <v>0</v>
      </c>
      <c r="V36" s="36">
        <v>0</v>
      </c>
      <c r="W36" s="70">
        <v>0</v>
      </c>
      <c r="X36" s="70">
        <v>0</v>
      </c>
      <c r="Y36" s="36">
        <v>12081.73</v>
      </c>
      <c r="Z36" s="36">
        <v>54666.13</v>
      </c>
      <c r="AA36" s="36">
        <v>515457.52</v>
      </c>
      <c r="AB36" s="36">
        <v>1197152.26</v>
      </c>
      <c r="AC36" s="36">
        <v>6253608.2999999998</v>
      </c>
      <c r="AD36" s="36">
        <v>599.54999999999995</v>
      </c>
      <c r="AE36" s="36">
        <v>5795284.3099999996</v>
      </c>
      <c r="AF36" s="71">
        <f t="shared" si="44"/>
        <v>9666.056725877741</v>
      </c>
      <c r="AG36" s="71">
        <f t="shared" si="45"/>
        <v>10430.50337753315</v>
      </c>
      <c r="AH36" s="72">
        <f t="shared" si="46"/>
        <v>764.45</v>
      </c>
      <c r="AI36" s="36">
        <v>118.28</v>
      </c>
      <c r="AJ36" s="36">
        <v>1112068.56</v>
      </c>
      <c r="AK36" s="71">
        <f t="shared" si="47"/>
        <v>9402</v>
      </c>
      <c r="AL36" s="71">
        <f t="shared" si="48"/>
        <v>10121.341393304025</v>
      </c>
      <c r="AM36" s="72">
        <f t="shared" si="49"/>
        <v>719.34</v>
      </c>
      <c r="AN36" s="70">
        <v>13778.24</v>
      </c>
      <c r="AO36" s="70">
        <v>0</v>
      </c>
      <c r="AP36" s="3">
        <v>0</v>
      </c>
    </row>
    <row r="37" spans="1:42" s="3" customFormat="1" ht="15">
      <c r="A37" s="59" t="s">
        <v>643</v>
      </c>
      <c r="B37" s="59" t="s">
        <v>236</v>
      </c>
      <c r="C37" s="59" t="str">
        <f t="shared" si="50"/>
        <v>32356 CENTRAL VALLEY SCHOOL DISTRICT</v>
      </c>
      <c r="D37" s="36">
        <v>0</v>
      </c>
      <c r="E37" s="36">
        <v>228928.26</v>
      </c>
      <c r="F37" s="36">
        <v>69270.59</v>
      </c>
      <c r="G37" s="36">
        <v>21387583.52</v>
      </c>
      <c r="H37" s="36">
        <v>5856218.6399999997</v>
      </c>
      <c r="I37" s="36">
        <v>939835.47</v>
      </c>
      <c r="J37" s="36">
        <v>3340269.38</v>
      </c>
      <c r="K37" s="36">
        <v>989159.4</v>
      </c>
      <c r="L37" s="36">
        <v>420520.77</v>
      </c>
      <c r="M37" s="36">
        <v>6155256.0999999996</v>
      </c>
      <c r="N37" s="50">
        <v>3.2300000000000002E-2</v>
      </c>
      <c r="O37" s="53">
        <v>0.1288</v>
      </c>
      <c r="P37" s="36">
        <v>0</v>
      </c>
      <c r="Q37" s="69">
        <v>0</v>
      </c>
      <c r="R37" s="69">
        <v>0</v>
      </c>
      <c r="S37" s="70">
        <v>0</v>
      </c>
      <c r="T37" s="70">
        <v>0</v>
      </c>
      <c r="U37" s="70">
        <v>0</v>
      </c>
      <c r="V37" s="36">
        <v>0</v>
      </c>
      <c r="W37" s="70">
        <v>0</v>
      </c>
      <c r="X37" s="70">
        <v>0</v>
      </c>
      <c r="Y37" s="36">
        <v>16580.38</v>
      </c>
      <c r="Z37" s="36">
        <v>40528.379999999997</v>
      </c>
      <c r="AA37" s="36">
        <v>0</v>
      </c>
      <c r="AB37" s="36">
        <v>563663.51</v>
      </c>
      <c r="AC37" s="36">
        <v>5686174.9800000004</v>
      </c>
      <c r="AD37" s="36">
        <v>622.37</v>
      </c>
      <c r="AE37" s="36">
        <v>5346307.54</v>
      </c>
      <c r="AF37" s="71">
        <f t="shared" si="44"/>
        <v>8590.2397930491516</v>
      </c>
      <c r="AG37" s="71">
        <f t="shared" si="45"/>
        <v>9136.3256262351988</v>
      </c>
      <c r="AH37" s="72">
        <f t="shared" si="46"/>
        <v>546.09</v>
      </c>
      <c r="AI37" s="36">
        <v>62.79</v>
      </c>
      <c r="AJ37" s="36">
        <v>523340.32</v>
      </c>
      <c r="AK37" s="71">
        <f t="shared" si="47"/>
        <v>8334.7717789456929</v>
      </c>
      <c r="AL37" s="71">
        <f t="shared" si="48"/>
        <v>8976.9630514413129</v>
      </c>
      <c r="AM37" s="72">
        <f t="shared" si="49"/>
        <v>642.19000000000005</v>
      </c>
      <c r="AN37" s="70">
        <v>0</v>
      </c>
      <c r="AO37" s="70">
        <v>0</v>
      </c>
      <c r="AP37" s="3">
        <v>0</v>
      </c>
    </row>
    <row r="38" spans="1:42" s="3" customFormat="1" ht="15">
      <c r="A38" s="59" t="s">
        <v>561</v>
      </c>
      <c r="B38" s="59" t="s">
        <v>153</v>
      </c>
      <c r="C38" s="59" t="str">
        <f t="shared" si="50"/>
        <v>21401 CENTRALIA SCHOOL DISTRICT</v>
      </c>
      <c r="D38" s="36">
        <v>0</v>
      </c>
      <c r="E38" s="36">
        <v>91236.35</v>
      </c>
      <c r="F38" s="36">
        <v>87978.08</v>
      </c>
      <c r="G38" s="36">
        <v>5238309.29</v>
      </c>
      <c r="H38" s="36">
        <v>1052893.3</v>
      </c>
      <c r="I38" s="36">
        <v>1019284.4</v>
      </c>
      <c r="J38" s="36">
        <v>1793394.34</v>
      </c>
      <c r="K38" s="36">
        <v>788485.38</v>
      </c>
      <c r="L38" s="36">
        <v>101276.71</v>
      </c>
      <c r="M38" s="36">
        <v>2331740.9700000002</v>
      </c>
      <c r="N38" s="50">
        <v>2.53E-2</v>
      </c>
      <c r="O38" s="53">
        <v>0.14180000000000001</v>
      </c>
      <c r="P38" s="36">
        <v>0</v>
      </c>
      <c r="Q38" s="69">
        <v>0</v>
      </c>
      <c r="R38" s="69">
        <v>0</v>
      </c>
      <c r="S38" s="70">
        <v>0</v>
      </c>
      <c r="T38" s="70">
        <v>0</v>
      </c>
      <c r="U38" s="70">
        <v>0</v>
      </c>
      <c r="V38" s="36">
        <v>0</v>
      </c>
      <c r="W38" s="70">
        <v>0</v>
      </c>
      <c r="X38" s="70">
        <v>0</v>
      </c>
      <c r="Y38" s="36">
        <v>1126.6400000000001</v>
      </c>
      <c r="Z38" s="36">
        <v>37372.839999999997</v>
      </c>
      <c r="AA38" s="36">
        <v>198624.15</v>
      </c>
      <c r="AB38" s="36">
        <v>420726.03</v>
      </c>
      <c r="AC38" s="36">
        <v>2430737.66</v>
      </c>
      <c r="AD38" s="36">
        <v>262.44</v>
      </c>
      <c r="AE38" s="36">
        <v>2254239.38</v>
      </c>
      <c r="AF38" s="71">
        <f t="shared" si="44"/>
        <v>8589.541914342326</v>
      </c>
      <c r="AG38" s="71">
        <f t="shared" si="45"/>
        <v>9262.0700350556326</v>
      </c>
      <c r="AH38" s="72">
        <f t="shared" si="46"/>
        <v>672.53</v>
      </c>
      <c r="AI38" s="36">
        <v>46.88</v>
      </c>
      <c r="AJ38" s="36">
        <v>390728.72</v>
      </c>
      <c r="AK38" s="71">
        <f t="shared" si="47"/>
        <v>8334.6569965870294</v>
      </c>
      <c r="AL38" s="71">
        <f t="shared" si="48"/>
        <v>8974.5313566552904</v>
      </c>
      <c r="AM38" s="72">
        <f t="shared" si="49"/>
        <v>639.87</v>
      </c>
      <c r="AN38" s="70">
        <v>0</v>
      </c>
      <c r="AO38" s="70">
        <v>0</v>
      </c>
      <c r="AP38" s="3">
        <v>0</v>
      </c>
    </row>
    <row r="39" spans="1:42" s="3" customFormat="1" ht="15">
      <c r="A39" s="59" t="s">
        <v>559</v>
      </c>
      <c r="B39" s="59" t="s">
        <v>151</v>
      </c>
      <c r="C39" s="59" t="str">
        <f t="shared" si="50"/>
        <v>21302 CHEHALIS SCHOOL DISTRICT</v>
      </c>
      <c r="D39" s="36">
        <v>0</v>
      </c>
      <c r="E39" s="36">
        <v>83799.259999999995</v>
      </c>
      <c r="F39" s="36">
        <v>38840.160000000003</v>
      </c>
      <c r="G39" s="36">
        <v>4049990.32</v>
      </c>
      <c r="H39" s="36">
        <v>854342.71</v>
      </c>
      <c r="I39" s="36">
        <v>207710.91</v>
      </c>
      <c r="J39" s="36">
        <v>889837.8</v>
      </c>
      <c r="K39" s="36">
        <v>227758.39</v>
      </c>
      <c r="L39" s="36">
        <v>88437.73</v>
      </c>
      <c r="M39" s="36">
        <v>1418780.5</v>
      </c>
      <c r="N39" s="50">
        <v>3.7100000000000001E-2</v>
      </c>
      <c r="O39" s="53">
        <v>0.1605</v>
      </c>
      <c r="P39" s="36">
        <v>164431.93</v>
      </c>
      <c r="Q39" s="69">
        <v>0</v>
      </c>
      <c r="R39" s="69">
        <v>6867.53</v>
      </c>
      <c r="S39" s="70">
        <v>2666356.59</v>
      </c>
      <c r="T39" s="70">
        <v>219545.87999999983</v>
      </c>
      <c r="U39" s="70">
        <v>82004.929999999993</v>
      </c>
      <c r="V39" s="36">
        <v>0</v>
      </c>
      <c r="W39" s="70">
        <v>0</v>
      </c>
      <c r="X39" s="70">
        <v>0</v>
      </c>
      <c r="Y39" s="36">
        <v>0</v>
      </c>
      <c r="Z39" s="36">
        <v>0</v>
      </c>
      <c r="AA39" s="36">
        <v>109228.51</v>
      </c>
      <c r="AB39" s="36">
        <v>0</v>
      </c>
      <c r="AC39" s="36">
        <v>1668779.86</v>
      </c>
      <c r="AD39" s="36">
        <v>171.68</v>
      </c>
      <c r="AE39" s="36">
        <v>1504453.96</v>
      </c>
      <c r="AF39" s="71">
        <f t="shared" si="44"/>
        <v>8763.1288443616031</v>
      </c>
      <c r="AG39" s="71">
        <f t="shared" si="45"/>
        <v>9720.2927539608572</v>
      </c>
      <c r="AH39" s="72">
        <f t="shared" si="46"/>
        <v>957.16</v>
      </c>
      <c r="AI39" s="36">
        <v>0</v>
      </c>
      <c r="AJ39" s="36">
        <v>0</v>
      </c>
      <c r="AK39" s="71">
        <f t="shared" si="47"/>
        <v>0</v>
      </c>
      <c r="AL39" s="71">
        <f t="shared" si="48"/>
        <v>0</v>
      </c>
      <c r="AM39" s="72">
        <f t="shared" si="49"/>
        <v>0</v>
      </c>
      <c r="AN39" s="70">
        <v>0</v>
      </c>
      <c r="AO39" s="70">
        <v>0</v>
      </c>
      <c r="AP39" s="3">
        <v>0</v>
      </c>
    </row>
    <row r="40" spans="1:42" s="3" customFormat="1" ht="15">
      <c r="A40" s="59" t="s">
        <v>645</v>
      </c>
      <c r="B40" s="59" t="s">
        <v>238</v>
      </c>
      <c r="C40" s="59" t="str">
        <f t="shared" si="50"/>
        <v>32360 CHENEY SCHOOL DISTRICT</v>
      </c>
      <c r="D40" s="36">
        <v>0</v>
      </c>
      <c r="E40" s="36">
        <v>121038.7</v>
      </c>
      <c r="F40" s="36">
        <v>0</v>
      </c>
      <c r="G40" s="36">
        <v>7774148.1100000003</v>
      </c>
      <c r="H40" s="36">
        <v>1310103.45</v>
      </c>
      <c r="I40" s="36">
        <v>458900.4</v>
      </c>
      <c r="J40" s="36">
        <v>1553288.88</v>
      </c>
      <c r="K40" s="36">
        <v>600194.91</v>
      </c>
      <c r="L40" s="36">
        <v>157449.60000000001</v>
      </c>
      <c r="M40" s="36">
        <v>3749865.25</v>
      </c>
      <c r="N40" s="50">
        <v>1.9699999999999999E-2</v>
      </c>
      <c r="O40" s="53">
        <v>0.16750000000000001</v>
      </c>
      <c r="P40" s="36">
        <v>0</v>
      </c>
      <c r="Q40" s="69">
        <v>0</v>
      </c>
      <c r="R40" s="69">
        <v>0</v>
      </c>
      <c r="S40" s="70">
        <v>0</v>
      </c>
      <c r="T40" s="70">
        <v>0</v>
      </c>
      <c r="U40" s="70">
        <v>0</v>
      </c>
      <c r="V40" s="36">
        <v>0</v>
      </c>
      <c r="W40" s="70">
        <v>0</v>
      </c>
      <c r="X40" s="70">
        <v>0</v>
      </c>
      <c r="Y40" s="36">
        <v>5599.35</v>
      </c>
      <c r="Z40" s="36">
        <v>21394.19</v>
      </c>
      <c r="AA40" s="36">
        <v>327473.31</v>
      </c>
      <c r="AB40" s="36">
        <v>786597.85</v>
      </c>
      <c r="AC40" s="36">
        <v>3116412.18</v>
      </c>
      <c r="AD40" s="36">
        <v>340.05</v>
      </c>
      <c r="AE40" s="36">
        <v>2920871.13</v>
      </c>
      <c r="AF40" s="71">
        <f t="shared" si="44"/>
        <v>8589.5342743714154</v>
      </c>
      <c r="AG40" s="71">
        <f t="shared" si="45"/>
        <v>9164.5704455227169</v>
      </c>
      <c r="AH40" s="72">
        <f t="shared" si="46"/>
        <v>575.04</v>
      </c>
      <c r="AI40" s="36">
        <v>87.63</v>
      </c>
      <c r="AJ40" s="36">
        <v>730463.73</v>
      </c>
      <c r="AK40" s="71">
        <f t="shared" si="47"/>
        <v>8335.7723382403292</v>
      </c>
      <c r="AL40" s="71">
        <f t="shared" si="48"/>
        <v>8976.353417779299</v>
      </c>
      <c r="AM40" s="72">
        <f t="shared" si="49"/>
        <v>640.58000000000004</v>
      </c>
      <c r="AN40" s="70">
        <v>0</v>
      </c>
      <c r="AO40" s="70">
        <v>9999.2199999999993</v>
      </c>
      <c r="AP40" s="3">
        <v>0</v>
      </c>
    </row>
    <row r="41" spans="1:42" s="3" customFormat="1" ht="15">
      <c r="A41" s="59" t="s">
        <v>651</v>
      </c>
      <c r="B41" s="59" t="s">
        <v>245</v>
      </c>
      <c r="C41" s="59" t="str">
        <f t="shared" si="50"/>
        <v>33036 CHEWELAH SCHOOL DISTRICT</v>
      </c>
      <c r="D41" s="36">
        <v>0</v>
      </c>
      <c r="E41" s="36">
        <v>21166.93</v>
      </c>
      <c r="F41" s="36">
        <v>0</v>
      </c>
      <c r="G41" s="36">
        <v>1055423.01</v>
      </c>
      <c r="H41" s="36">
        <v>209162.45</v>
      </c>
      <c r="I41" s="36">
        <v>233174.36</v>
      </c>
      <c r="J41" s="36">
        <v>296692.14</v>
      </c>
      <c r="K41" s="36">
        <v>0</v>
      </c>
      <c r="L41" s="36">
        <v>23172.61</v>
      </c>
      <c r="M41" s="36">
        <v>606173.01</v>
      </c>
      <c r="N41" s="50">
        <v>2.52E-2</v>
      </c>
      <c r="O41" s="53">
        <v>0.1681</v>
      </c>
      <c r="P41" s="36">
        <v>0</v>
      </c>
      <c r="Q41" s="69">
        <v>0</v>
      </c>
      <c r="R41" s="69">
        <v>0</v>
      </c>
      <c r="S41" s="70">
        <v>0</v>
      </c>
      <c r="T41" s="70">
        <v>0</v>
      </c>
      <c r="U41" s="70">
        <v>0</v>
      </c>
      <c r="V41" s="36">
        <v>0</v>
      </c>
      <c r="W41" s="70">
        <v>0</v>
      </c>
      <c r="X41" s="70">
        <v>0</v>
      </c>
      <c r="Y41" s="36">
        <v>0</v>
      </c>
      <c r="Z41" s="36">
        <v>7727.76</v>
      </c>
      <c r="AA41" s="36">
        <v>5942.98</v>
      </c>
      <c r="AB41" s="36">
        <v>40672.47</v>
      </c>
      <c r="AC41" s="36">
        <v>520909.05</v>
      </c>
      <c r="AD41" s="36">
        <v>54.75</v>
      </c>
      <c r="AE41" s="36">
        <v>470291.32</v>
      </c>
      <c r="AF41" s="71">
        <f t="shared" si="44"/>
        <v>8589.7957990867581</v>
      </c>
      <c r="AG41" s="71">
        <f t="shared" si="45"/>
        <v>9514.3205479452045</v>
      </c>
      <c r="AH41" s="72">
        <f t="shared" si="46"/>
        <v>924.52</v>
      </c>
      <c r="AI41" s="36">
        <v>4.53</v>
      </c>
      <c r="AJ41" s="36">
        <v>37856.68</v>
      </c>
      <c r="AK41" s="71">
        <f t="shared" si="47"/>
        <v>8356.8830022075053</v>
      </c>
      <c r="AL41" s="71">
        <f t="shared" si="48"/>
        <v>8978.4701986754972</v>
      </c>
      <c r="AM41" s="72">
        <f t="shared" si="49"/>
        <v>621.59</v>
      </c>
      <c r="AN41" s="70">
        <v>0</v>
      </c>
      <c r="AO41" s="70">
        <v>0</v>
      </c>
      <c r="AP41" s="3">
        <v>0</v>
      </c>
    </row>
    <row r="42" spans="1:42" s="3" customFormat="1" ht="15">
      <c r="A42" s="59" t="s">
        <v>743</v>
      </c>
      <c r="B42" s="60" t="s">
        <v>742</v>
      </c>
      <c r="C42" s="60" t="str">
        <f>CONCATENATE(B42," ",A42," TRIBAL COMPACT")</f>
        <v>27901 CHIEF LESCHI TRIBAL COMPACT</v>
      </c>
      <c r="D42" s="36">
        <v>63148.6</v>
      </c>
      <c r="E42" s="36">
        <v>20084.18</v>
      </c>
      <c r="F42" s="36">
        <v>0</v>
      </c>
      <c r="G42" s="36">
        <v>792388.57</v>
      </c>
      <c r="H42" s="36">
        <v>120886.42</v>
      </c>
      <c r="I42" s="36">
        <v>184698.81</v>
      </c>
      <c r="J42" s="36">
        <v>212795.67</v>
      </c>
      <c r="K42" s="36">
        <v>0</v>
      </c>
      <c r="L42" s="36">
        <v>18731.259999999998</v>
      </c>
      <c r="M42" s="36">
        <v>744069.11</v>
      </c>
      <c r="N42" s="50">
        <v>0.08</v>
      </c>
      <c r="O42" s="54">
        <v>0.1</v>
      </c>
      <c r="P42" s="36">
        <v>0</v>
      </c>
      <c r="Q42" s="69">
        <v>0</v>
      </c>
      <c r="R42" s="69">
        <v>0</v>
      </c>
      <c r="S42" s="70">
        <v>0</v>
      </c>
      <c r="T42" s="70">
        <v>0</v>
      </c>
      <c r="U42" s="70">
        <v>0</v>
      </c>
      <c r="V42" s="36">
        <v>0</v>
      </c>
      <c r="W42" s="70">
        <v>0</v>
      </c>
      <c r="X42" s="70">
        <v>0</v>
      </c>
      <c r="Y42" s="36">
        <v>0</v>
      </c>
      <c r="Z42" s="36">
        <v>11125.9</v>
      </c>
      <c r="AA42" s="36">
        <v>0</v>
      </c>
      <c r="AB42" s="36">
        <v>48546.69</v>
      </c>
      <c r="AC42" s="36">
        <v>254484.65</v>
      </c>
      <c r="AD42" s="36">
        <v>27.16</v>
      </c>
      <c r="AE42" s="36">
        <v>243101.35</v>
      </c>
      <c r="AF42" s="71">
        <f t="shared" si="44"/>
        <v>8950.7124447717233</v>
      </c>
      <c r="AG42" s="71">
        <f t="shared" si="45"/>
        <v>9369.8324742268032</v>
      </c>
      <c r="AH42" s="72">
        <f t="shared" si="46"/>
        <v>419.12</v>
      </c>
      <c r="AI42" s="36">
        <v>5.19</v>
      </c>
      <c r="AJ42" s="36">
        <v>45019.48</v>
      </c>
      <c r="AK42" s="71">
        <f t="shared" si="47"/>
        <v>8674.273603082851</v>
      </c>
      <c r="AL42" s="71">
        <f t="shared" si="48"/>
        <v>9353.8901734104038</v>
      </c>
      <c r="AM42" s="72">
        <f t="shared" si="49"/>
        <v>679.62</v>
      </c>
      <c r="AN42" s="70">
        <v>0</v>
      </c>
      <c r="AO42" s="70">
        <v>0</v>
      </c>
      <c r="AP42" s="3">
        <v>0</v>
      </c>
    </row>
    <row r="43" spans="1:42" s="3" customFormat="1" ht="15">
      <c r="A43" s="59" t="s">
        <v>507</v>
      </c>
      <c r="B43" s="59" t="s">
        <v>99</v>
      </c>
      <c r="C43" s="59" t="str">
        <f t="shared" ref="C43:C80" si="51">CONCATENATE(B43," ",A43," SCHOOL DISTRICT")</f>
        <v>16049 CHIMACUM SCHOOL DISTRICT</v>
      </c>
      <c r="D43" s="36">
        <v>0</v>
      </c>
      <c r="E43" s="36">
        <v>1510.58</v>
      </c>
      <c r="F43" s="36">
        <v>10945.1</v>
      </c>
      <c r="G43" s="36">
        <v>1288061.3999999999</v>
      </c>
      <c r="H43" s="36">
        <v>207432.97</v>
      </c>
      <c r="I43" s="36">
        <v>110010.53</v>
      </c>
      <c r="J43" s="36">
        <v>254099.14</v>
      </c>
      <c r="K43" s="36">
        <v>37028.03</v>
      </c>
      <c r="L43" s="36">
        <v>22642.49</v>
      </c>
      <c r="M43" s="36">
        <v>863491.66</v>
      </c>
      <c r="N43" s="50">
        <v>5.8200000000000002E-2</v>
      </c>
      <c r="O43" s="53">
        <v>0.28470000000000001</v>
      </c>
      <c r="P43" s="36">
        <v>0</v>
      </c>
      <c r="Q43" s="69">
        <v>0</v>
      </c>
      <c r="R43" s="69">
        <v>0</v>
      </c>
      <c r="S43" s="70">
        <v>0</v>
      </c>
      <c r="T43" s="70">
        <v>0</v>
      </c>
      <c r="U43" s="70">
        <v>0</v>
      </c>
      <c r="V43" s="36">
        <v>0</v>
      </c>
      <c r="W43" s="70">
        <v>0</v>
      </c>
      <c r="X43" s="70">
        <v>0</v>
      </c>
      <c r="Y43" s="36">
        <v>809.73</v>
      </c>
      <c r="Z43" s="36">
        <v>0</v>
      </c>
      <c r="AA43" s="36">
        <v>809.42</v>
      </c>
      <c r="AB43" s="36">
        <v>0</v>
      </c>
      <c r="AC43" s="36">
        <v>224095.44</v>
      </c>
      <c r="AD43" s="36">
        <v>22.73</v>
      </c>
      <c r="AE43" s="36">
        <v>211568.63</v>
      </c>
      <c r="AF43" s="71">
        <f t="shared" si="44"/>
        <v>9307.9027716673991</v>
      </c>
      <c r="AG43" s="71">
        <f t="shared" si="45"/>
        <v>9859.0162780466344</v>
      </c>
      <c r="AH43" s="72">
        <f t="shared" si="46"/>
        <v>551.11</v>
      </c>
      <c r="AI43" s="36">
        <v>0</v>
      </c>
      <c r="AJ43" s="36">
        <v>0</v>
      </c>
      <c r="AK43" s="71">
        <f t="shared" si="47"/>
        <v>0</v>
      </c>
      <c r="AL43" s="71">
        <f t="shared" si="48"/>
        <v>0</v>
      </c>
      <c r="AM43" s="72">
        <f t="shared" si="49"/>
        <v>0</v>
      </c>
      <c r="AN43" s="70">
        <v>0</v>
      </c>
      <c r="AO43" s="70">
        <v>0</v>
      </c>
      <c r="AP43" s="3">
        <v>0</v>
      </c>
    </row>
    <row r="44" spans="1:42" s="3" customFormat="1" ht="15">
      <c r="A44" s="59" t="s">
        <v>425</v>
      </c>
      <c r="B44" s="59" t="s">
        <v>17</v>
      </c>
      <c r="C44" s="59" t="str">
        <f t="shared" si="51"/>
        <v>02250 CLARKSTON SCHOOL DISTRICT</v>
      </c>
      <c r="D44" s="36">
        <v>0</v>
      </c>
      <c r="E44" s="36">
        <v>60276.19</v>
      </c>
      <c r="F44" s="36">
        <v>2.38</v>
      </c>
      <c r="G44" s="36">
        <v>3470248.77</v>
      </c>
      <c r="H44" s="36">
        <v>746285.63</v>
      </c>
      <c r="I44" s="36">
        <v>410900</v>
      </c>
      <c r="J44" s="36">
        <v>888938.48</v>
      </c>
      <c r="K44" s="36">
        <v>45067.91</v>
      </c>
      <c r="L44" s="36">
        <v>73241.98</v>
      </c>
      <c r="M44" s="36">
        <v>1123427.22</v>
      </c>
      <c r="N44" s="50">
        <v>3.9199999999999999E-2</v>
      </c>
      <c r="O44" s="53">
        <v>0.17730000000000001</v>
      </c>
      <c r="P44" s="36">
        <v>0</v>
      </c>
      <c r="Q44" s="69">
        <v>0</v>
      </c>
      <c r="R44" s="69">
        <v>0</v>
      </c>
      <c r="S44" s="70">
        <v>0</v>
      </c>
      <c r="T44" s="70">
        <v>0</v>
      </c>
      <c r="U44" s="70">
        <v>0</v>
      </c>
      <c r="V44" s="36">
        <v>0</v>
      </c>
      <c r="W44" s="70">
        <v>0</v>
      </c>
      <c r="X44" s="70">
        <v>0</v>
      </c>
      <c r="Y44" s="36">
        <v>1095.06</v>
      </c>
      <c r="Z44" s="36">
        <v>0</v>
      </c>
      <c r="AA44" s="36">
        <v>0</v>
      </c>
      <c r="AB44" s="36">
        <v>0</v>
      </c>
      <c r="AC44" s="36">
        <v>1605283.73</v>
      </c>
      <c r="AD44" s="36">
        <v>172.12</v>
      </c>
      <c r="AE44" s="36">
        <v>1478511.82</v>
      </c>
      <c r="AF44" s="71">
        <f t="shared" si="44"/>
        <v>8590.0059260980706</v>
      </c>
      <c r="AG44" s="71">
        <f t="shared" si="45"/>
        <v>9326.5380548454559</v>
      </c>
      <c r="AH44" s="72">
        <f t="shared" si="46"/>
        <v>736.53</v>
      </c>
      <c r="AI44" s="36">
        <v>0</v>
      </c>
      <c r="AJ44" s="36">
        <v>0</v>
      </c>
      <c r="AK44" s="71">
        <f t="shared" si="47"/>
        <v>0</v>
      </c>
      <c r="AL44" s="71">
        <f t="shared" si="48"/>
        <v>0</v>
      </c>
      <c r="AM44" s="72">
        <f t="shared" si="49"/>
        <v>0</v>
      </c>
      <c r="AN44" s="70">
        <v>199.14</v>
      </c>
      <c r="AO44" s="70">
        <v>0</v>
      </c>
      <c r="AP44" s="3">
        <v>0</v>
      </c>
    </row>
    <row r="45" spans="1:42" s="3" customFormat="1" ht="15">
      <c r="A45" s="59" t="s">
        <v>538</v>
      </c>
      <c r="B45" s="59" t="s">
        <v>130</v>
      </c>
      <c r="C45" s="59" t="str">
        <f t="shared" si="51"/>
        <v>19404 CLE ELUM-ROSLYN SCHOOL DISTRICT</v>
      </c>
      <c r="D45" s="36">
        <v>0</v>
      </c>
      <c r="E45" s="36">
        <v>4611.37</v>
      </c>
      <c r="F45" s="36">
        <v>422.38</v>
      </c>
      <c r="G45" s="36">
        <v>1303934.98</v>
      </c>
      <c r="H45" s="36">
        <v>165376.64000000001</v>
      </c>
      <c r="I45" s="36">
        <v>0</v>
      </c>
      <c r="J45" s="36">
        <v>206587.95</v>
      </c>
      <c r="K45" s="36">
        <v>27507.66</v>
      </c>
      <c r="L45" s="36">
        <v>0</v>
      </c>
      <c r="M45" s="36">
        <v>803984.5</v>
      </c>
      <c r="N45" s="50">
        <v>0.10249999999999999</v>
      </c>
      <c r="O45" s="53">
        <v>0.2175</v>
      </c>
      <c r="P45" s="36">
        <v>0</v>
      </c>
      <c r="Q45" s="69">
        <v>0</v>
      </c>
      <c r="R45" s="69">
        <v>0</v>
      </c>
      <c r="S45" s="70">
        <v>0</v>
      </c>
      <c r="T45" s="70">
        <v>0</v>
      </c>
      <c r="U45" s="70">
        <v>0</v>
      </c>
      <c r="V45" s="36">
        <v>0</v>
      </c>
      <c r="W45" s="70">
        <v>0</v>
      </c>
      <c r="X45" s="70">
        <v>0</v>
      </c>
      <c r="Y45" s="36">
        <v>1095.06</v>
      </c>
      <c r="Z45" s="36">
        <v>0</v>
      </c>
      <c r="AA45" s="36">
        <v>47910.54</v>
      </c>
      <c r="AB45" s="36">
        <v>60478.46</v>
      </c>
      <c r="AC45" s="36">
        <v>530626.9</v>
      </c>
      <c r="AD45" s="36">
        <v>59.03</v>
      </c>
      <c r="AE45" s="36">
        <v>507024.34</v>
      </c>
      <c r="AF45" s="71">
        <f t="shared" si="44"/>
        <v>8589.2654582415726</v>
      </c>
      <c r="AG45" s="71">
        <f t="shared" si="45"/>
        <v>8989.105539556158</v>
      </c>
      <c r="AH45" s="72">
        <f t="shared" si="46"/>
        <v>399.84</v>
      </c>
      <c r="AI45" s="36">
        <v>6.72</v>
      </c>
      <c r="AJ45" s="36">
        <v>55964.6</v>
      </c>
      <c r="AK45" s="71">
        <f t="shared" si="47"/>
        <v>8328.0654761904771</v>
      </c>
      <c r="AL45" s="71">
        <f t="shared" si="48"/>
        <v>8999.7708333333339</v>
      </c>
      <c r="AM45" s="72">
        <f t="shared" si="49"/>
        <v>671.71</v>
      </c>
      <c r="AN45" s="70">
        <v>80218.48</v>
      </c>
      <c r="AO45" s="70">
        <v>67937.62</v>
      </c>
      <c r="AP45" s="3">
        <v>0</v>
      </c>
    </row>
    <row r="46" spans="1:42" s="3" customFormat="1" ht="15">
      <c r="A46" s="59" t="s">
        <v>601</v>
      </c>
      <c r="B46" s="59" t="s">
        <v>194</v>
      </c>
      <c r="C46" s="59" t="str">
        <f t="shared" si="51"/>
        <v>27400 CLOVER PARK SCHOOL DISTRICT</v>
      </c>
      <c r="D46" s="36">
        <v>0</v>
      </c>
      <c r="E46" s="36">
        <v>508028.78</v>
      </c>
      <c r="F46" s="36">
        <v>62578.99</v>
      </c>
      <c r="G46" s="36">
        <v>21832529.649999999</v>
      </c>
      <c r="H46" s="36">
        <v>5085196.3099999996</v>
      </c>
      <c r="I46" s="36">
        <v>2679548.41</v>
      </c>
      <c r="J46" s="36">
        <v>5719019.9000000004</v>
      </c>
      <c r="K46" s="36">
        <v>3010966.64</v>
      </c>
      <c r="L46" s="36">
        <v>368635.29</v>
      </c>
      <c r="M46" s="36">
        <v>7513124.6500000004</v>
      </c>
      <c r="N46" s="50">
        <v>5.3999999999999999E-2</v>
      </c>
      <c r="O46" s="53">
        <v>0.1636</v>
      </c>
      <c r="P46" s="36">
        <v>0</v>
      </c>
      <c r="Q46" s="69">
        <v>0</v>
      </c>
      <c r="R46" s="69">
        <v>0</v>
      </c>
      <c r="S46" s="70">
        <v>149622.29999999999</v>
      </c>
      <c r="T46" s="70">
        <v>13447.850000000013</v>
      </c>
      <c r="U46" s="70">
        <v>5780.2</v>
      </c>
      <c r="V46" s="36">
        <v>2153913.34</v>
      </c>
      <c r="W46" s="70">
        <v>203163.01999999979</v>
      </c>
      <c r="X46" s="70">
        <v>78873.41</v>
      </c>
      <c r="Y46" s="36">
        <v>14216.59</v>
      </c>
      <c r="Z46" s="36">
        <v>186946.9</v>
      </c>
      <c r="AA46" s="36">
        <v>258135.62</v>
      </c>
      <c r="AB46" s="36">
        <v>2159556.2200000002</v>
      </c>
      <c r="AC46" s="36">
        <v>5410610.5899999999</v>
      </c>
      <c r="AD46" s="36">
        <v>568.16999999999996</v>
      </c>
      <c r="AE46" s="36">
        <v>5084549.3099999996</v>
      </c>
      <c r="AF46" s="71">
        <f t="shared" si="44"/>
        <v>8948.9929246528336</v>
      </c>
      <c r="AG46" s="71">
        <f t="shared" si="45"/>
        <v>9522.8727141524541</v>
      </c>
      <c r="AH46" s="72">
        <f t="shared" si="46"/>
        <v>573.88</v>
      </c>
      <c r="AI46" s="36">
        <v>230.76</v>
      </c>
      <c r="AJ46" s="36">
        <v>2005513.79</v>
      </c>
      <c r="AK46" s="71">
        <f t="shared" si="47"/>
        <v>8690.9073929623864</v>
      </c>
      <c r="AL46" s="71">
        <f t="shared" si="48"/>
        <v>9358.4512913849903</v>
      </c>
      <c r="AM46" s="72">
        <f t="shared" si="49"/>
        <v>667.54</v>
      </c>
      <c r="AN46" s="70">
        <v>0</v>
      </c>
      <c r="AO46" s="70">
        <v>4000</v>
      </c>
      <c r="AP46" s="3">
        <v>0</v>
      </c>
    </row>
    <row r="47" spans="1:42" s="3" customFormat="1" ht="15">
      <c r="A47" s="59" t="s">
        <v>687</v>
      </c>
      <c r="B47" s="59" t="s">
        <v>283</v>
      </c>
      <c r="C47" s="59" t="str">
        <f t="shared" si="51"/>
        <v>38300 COLFAX SCHOOL DISTRICT</v>
      </c>
      <c r="D47" s="36">
        <v>0</v>
      </c>
      <c r="E47" s="36">
        <v>0</v>
      </c>
      <c r="F47" s="36">
        <v>0</v>
      </c>
      <c r="G47" s="36">
        <v>732967.09</v>
      </c>
      <c r="H47" s="36">
        <v>139150.66</v>
      </c>
      <c r="I47" s="36">
        <v>0</v>
      </c>
      <c r="J47" s="36">
        <v>109759.54</v>
      </c>
      <c r="K47" s="36">
        <v>0</v>
      </c>
      <c r="L47" s="36">
        <v>16655.32</v>
      </c>
      <c r="M47" s="36">
        <v>499985.17</v>
      </c>
      <c r="N47" s="50">
        <v>4.6899999999999997E-2</v>
      </c>
      <c r="O47" s="53">
        <v>0.24030000000000001</v>
      </c>
      <c r="P47" s="36">
        <v>0</v>
      </c>
      <c r="Q47" s="69">
        <v>0</v>
      </c>
      <c r="R47" s="69">
        <v>0</v>
      </c>
      <c r="S47" s="70">
        <v>0</v>
      </c>
      <c r="T47" s="70">
        <v>0</v>
      </c>
      <c r="U47" s="70">
        <v>0</v>
      </c>
      <c r="V47" s="36">
        <v>0</v>
      </c>
      <c r="W47" s="70">
        <v>0</v>
      </c>
      <c r="X47" s="70">
        <v>0</v>
      </c>
      <c r="Y47" s="36">
        <v>0</v>
      </c>
      <c r="Z47" s="36">
        <v>3243.91</v>
      </c>
      <c r="AA47" s="36">
        <v>34529.360000000001</v>
      </c>
      <c r="AB47" s="36">
        <v>63139.53</v>
      </c>
      <c r="AC47" s="36">
        <v>396389.53</v>
      </c>
      <c r="AD47" s="36">
        <v>43.8</v>
      </c>
      <c r="AE47" s="36">
        <v>376291.65</v>
      </c>
      <c r="AF47" s="71">
        <f t="shared" si="44"/>
        <v>8591.1335616438373</v>
      </c>
      <c r="AG47" s="71">
        <f t="shared" si="45"/>
        <v>9049.9892694063947</v>
      </c>
      <c r="AH47" s="72">
        <f t="shared" si="46"/>
        <v>458.86</v>
      </c>
      <c r="AI47" s="36">
        <v>7.02</v>
      </c>
      <c r="AJ47" s="36">
        <v>58486.82</v>
      </c>
      <c r="AK47" s="71">
        <f t="shared" si="47"/>
        <v>8331.4558404558411</v>
      </c>
      <c r="AL47" s="71">
        <f t="shared" si="48"/>
        <v>8994.235042735043</v>
      </c>
      <c r="AM47" s="72">
        <f t="shared" si="49"/>
        <v>662.78</v>
      </c>
      <c r="AN47" s="70">
        <v>0</v>
      </c>
      <c r="AO47" s="70">
        <v>0</v>
      </c>
      <c r="AP47" s="3">
        <v>0</v>
      </c>
    </row>
    <row r="48" spans="1:42" s="3" customFormat="1" ht="15">
      <c r="A48" s="59" t="s">
        <v>671</v>
      </c>
      <c r="B48" s="59" t="s">
        <v>267</v>
      </c>
      <c r="C48" s="59" t="str">
        <f t="shared" si="51"/>
        <v>36250 COLLEGE PLACE SCHOOL DISTRICT</v>
      </c>
      <c r="D48" s="36">
        <v>0</v>
      </c>
      <c r="E48" s="36">
        <v>51226.29</v>
      </c>
      <c r="F48" s="36">
        <v>45287.72</v>
      </c>
      <c r="G48" s="36">
        <v>2194104.17</v>
      </c>
      <c r="H48" s="36">
        <v>546856.18000000005</v>
      </c>
      <c r="I48" s="36">
        <v>460555.59</v>
      </c>
      <c r="J48" s="36">
        <v>546935.62</v>
      </c>
      <c r="K48" s="36">
        <v>449664.04</v>
      </c>
      <c r="L48" s="36">
        <v>45310.720000000001</v>
      </c>
      <c r="M48" s="36">
        <v>679844.63</v>
      </c>
      <c r="N48" s="50">
        <v>2.5700000000000001E-2</v>
      </c>
      <c r="O48" s="53">
        <v>0.19489999999999999</v>
      </c>
      <c r="P48" s="36">
        <v>0</v>
      </c>
      <c r="Q48" s="69">
        <v>0</v>
      </c>
      <c r="R48" s="69">
        <v>0</v>
      </c>
      <c r="S48" s="70">
        <v>0</v>
      </c>
      <c r="T48" s="70">
        <v>0</v>
      </c>
      <c r="U48" s="70">
        <v>0</v>
      </c>
      <c r="V48" s="36">
        <v>0</v>
      </c>
      <c r="W48" s="70">
        <v>0</v>
      </c>
      <c r="X48" s="70">
        <v>0</v>
      </c>
      <c r="Y48" s="36">
        <v>0</v>
      </c>
      <c r="Z48" s="36">
        <v>0</v>
      </c>
      <c r="AA48" s="36">
        <v>51291.95</v>
      </c>
      <c r="AB48" s="36">
        <v>61625.54</v>
      </c>
      <c r="AC48" s="36">
        <v>1222358.9099999999</v>
      </c>
      <c r="AD48" s="36">
        <v>132.59</v>
      </c>
      <c r="AE48" s="36">
        <v>1139017.92</v>
      </c>
      <c r="AF48" s="71">
        <f t="shared" si="44"/>
        <v>8590.5265857153627</v>
      </c>
      <c r="AG48" s="71">
        <f t="shared" si="45"/>
        <v>9219.0882419488644</v>
      </c>
      <c r="AH48" s="72">
        <f t="shared" si="46"/>
        <v>628.55999999999995</v>
      </c>
      <c r="AI48" s="36">
        <v>6.86</v>
      </c>
      <c r="AJ48" s="36">
        <v>57138.68</v>
      </c>
      <c r="AK48" s="71">
        <f t="shared" si="47"/>
        <v>8329.2536443148692</v>
      </c>
      <c r="AL48" s="71">
        <f t="shared" si="48"/>
        <v>8983.314868804664</v>
      </c>
      <c r="AM48" s="72">
        <f t="shared" si="49"/>
        <v>654.05999999999995</v>
      </c>
      <c r="AN48" s="70">
        <v>0</v>
      </c>
      <c r="AO48" s="70">
        <v>0</v>
      </c>
      <c r="AP48" s="3">
        <v>0</v>
      </c>
    </row>
    <row r="49" spans="1:42" s="3" customFormat="1" ht="15">
      <c r="A49" s="59" t="s">
        <v>691</v>
      </c>
      <c r="B49" s="59" t="s">
        <v>287</v>
      </c>
      <c r="C49" s="59" t="str">
        <f t="shared" si="51"/>
        <v>38306 COLTON SCHOOL DISTRICT</v>
      </c>
      <c r="D49" s="36">
        <v>0</v>
      </c>
      <c r="E49" s="36">
        <v>2791.49</v>
      </c>
      <c r="F49" s="36">
        <v>0</v>
      </c>
      <c r="G49" s="36">
        <v>211882.01</v>
      </c>
      <c r="H49" s="36">
        <v>24727.200000000001</v>
      </c>
      <c r="I49" s="36">
        <v>0</v>
      </c>
      <c r="J49" s="36">
        <v>32976.78</v>
      </c>
      <c r="K49" s="36">
        <v>0</v>
      </c>
      <c r="L49" s="36">
        <v>0</v>
      </c>
      <c r="M49" s="36">
        <v>171073.11</v>
      </c>
      <c r="N49" s="50">
        <v>3.4200000000000001E-2</v>
      </c>
      <c r="O49" s="53">
        <v>0.22539999999999999</v>
      </c>
      <c r="P49" s="36">
        <v>0</v>
      </c>
      <c r="Q49" s="69">
        <v>0</v>
      </c>
      <c r="R49" s="69">
        <v>0</v>
      </c>
      <c r="S49" s="70">
        <v>0</v>
      </c>
      <c r="T49" s="70">
        <v>0</v>
      </c>
      <c r="U49" s="70">
        <v>0</v>
      </c>
      <c r="V49" s="36">
        <v>0</v>
      </c>
      <c r="W49" s="70">
        <v>0</v>
      </c>
      <c r="X49" s="70">
        <v>0</v>
      </c>
      <c r="Y49" s="36">
        <v>0</v>
      </c>
      <c r="Z49" s="36">
        <v>0</v>
      </c>
      <c r="AA49" s="36">
        <v>0</v>
      </c>
      <c r="AB49" s="36">
        <v>3220.55</v>
      </c>
      <c r="AC49" s="36">
        <v>59464.14</v>
      </c>
      <c r="AD49" s="36">
        <v>6.35</v>
      </c>
      <c r="AE49" s="36">
        <v>55752.85</v>
      </c>
      <c r="AF49" s="71">
        <f t="shared" si="44"/>
        <v>8779.9763779527566</v>
      </c>
      <c r="AG49" s="71">
        <f t="shared" si="45"/>
        <v>9364.4314960629927</v>
      </c>
      <c r="AH49" s="72">
        <f t="shared" si="46"/>
        <v>584.46</v>
      </c>
      <c r="AI49" s="36">
        <v>0.36</v>
      </c>
      <c r="AJ49" s="36">
        <v>2982.23</v>
      </c>
      <c r="AK49" s="71">
        <f t="shared" si="47"/>
        <v>8283.9722222222226</v>
      </c>
      <c r="AL49" s="71">
        <f t="shared" si="48"/>
        <v>8945.9722222222226</v>
      </c>
      <c r="AM49" s="72">
        <f t="shared" si="49"/>
        <v>662</v>
      </c>
      <c r="AN49" s="70">
        <v>0</v>
      </c>
      <c r="AO49" s="70">
        <v>0</v>
      </c>
      <c r="AP49" s="3">
        <v>0</v>
      </c>
    </row>
    <row r="50" spans="1:42" s="3" customFormat="1" ht="15">
      <c r="A50" s="59" t="s">
        <v>785</v>
      </c>
      <c r="B50" s="59" t="s">
        <v>252</v>
      </c>
      <c r="C50" s="59" t="str">
        <f t="shared" si="51"/>
        <v>33206 COLUMBIA (STEVENS) SCHOOL DISTRICT</v>
      </c>
      <c r="D50" s="36">
        <v>0</v>
      </c>
      <c r="E50" s="36">
        <v>0</v>
      </c>
      <c r="F50" s="36">
        <v>0</v>
      </c>
      <c r="G50" s="36">
        <v>176033.74</v>
      </c>
      <c r="H50" s="36">
        <v>19126.47</v>
      </c>
      <c r="I50" s="36">
        <v>33310.629999999997</v>
      </c>
      <c r="J50" s="36">
        <v>52655.61</v>
      </c>
      <c r="K50" s="36">
        <v>0</v>
      </c>
      <c r="L50" s="36">
        <v>3931.06</v>
      </c>
      <c r="M50" s="36">
        <v>222531.24</v>
      </c>
      <c r="N50" s="50">
        <v>3.5200000000000002E-2</v>
      </c>
      <c r="O50" s="53">
        <v>0.2389</v>
      </c>
      <c r="P50" s="36">
        <v>0</v>
      </c>
      <c r="Q50" s="69">
        <v>0</v>
      </c>
      <c r="R50" s="69">
        <v>0</v>
      </c>
      <c r="S50" s="70">
        <v>0</v>
      </c>
      <c r="T50" s="70">
        <v>0</v>
      </c>
      <c r="U50" s="70">
        <v>0</v>
      </c>
      <c r="V50" s="36">
        <v>0</v>
      </c>
      <c r="W50" s="70">
        <v>0</v>
      </c>
      <c r="X50" s="70">
        <v>0</v>
      </c>
      <c r="Y50" s="36">
        <v>157.88999999999999</v>
      </c>
      <c r="Z50" s="36">
        <v>0</v>
      </c>
      <c r="AA50" s="36">
        <v>0</v>
      </c>
      <c r="AB50" s="36">
        <v>4934.45</v>
      </c>
      <c r="AC50" s="36">
        <v>61380.15</v>
      </c>
      <c r="AD50" s="36">
        <v>6.83</v>
      </c>
      <c r="AE50" s="36">
        <v>58523</v>
      </c>
      <c r="AF50" s="71">
        <f t="shared" si="44"/>
        <v>8568.5212298682291</v>
      </c>
      <c r="AG50" s="71">
        <f t="shared" si="45"/>
        <v>8986.8448023426063</v>
      </c>
      <c r="AH50" s="72">
        <f t="shared" si="46"/>
        <v>418.32</v>
      </c>
      <c r="AI50" s="36">
        <v>0.54</v>
      </c>
      <c r="AJ50" s="36">
        <v>4505.74</v>
      </c>
      <c r="AK50" s="71">
        <f t="shared" si="47"/>
        <v>8343.9629629629617</v>
      </c>
      <c r="AL50" s="71">
        <f t="shared" si="48"/>
        <v>9137.8703703703686</v>
      </c>
      <c r="AM50" s="72">
        <f t="shared" si="49"/>
        <v>793.91</v>
      </c>
      <c r="AN50" s="70">
        <v>0</v>
      </c>
      <c r="AO50" s="70">
        <v>0</v>
      </c>
      <c r="AP50" s="3">
        <v>0</v>
      </c>
    </row>
    <row r="51" spans="1:42" s="3" customFormat="1" ht="15">
      <c r="A51" s="59" t="s">
        <v>673</v>
      </c>
      <c r="B51" s="59" t="s">
        <v>269</v>
      </c>
      <c r="C51" s="59" t="str">
        <f t="shared" si="51"/>
        <v>36400 COLUMBIA (WALLA) SCHOOL DISTRICT</v>
      </c>
      <c r="D51" s="36">
        <v>0</v>
      </c>
      <c r="E51" s="36">
        <v>0</v>
      </c>
      <c r="F51" s="36">
        <v>20585.54</v>
      </c>
      <c r="G51" s="36">
        <v>1109897.43</v>
      </c>
      <c r="H51" s="36">
        <v>141410.01999999999</v>
      </c>
      <c r="I51" s="36">
        <v>224948.77</v>
      </c>
      <c r="J51" s="36">
        <v>274628.08</v>
      </c>
      <c r="K51" s="36">
        <v>235007.15</v>
      </c>
      <c r="L51" s="36">
        <v>23233.65</v>
      </c>
      <c r="M51" s="36">
        <v>474036.74</v>
      </c>
      <c r="N51" s="50">
        <v>8.6800000000000002E-2</v>
      </c>
      <c r="O51" s="53">
        <v>0.20269999999999999</v>
      </c>
      <c r="P51" s="36">
        <v>0</v>
      </c>
      <c r="Q51" s="69">
        <v>0</v>
      </c>
      <c r="R51" s="69">
        <v>0</v>
      </c>
      <c r="S51" s="70">
        <v>0</v>
      </c>
      <c r="T51" s="70">
        <v>0</v>
      </c>
      <c r="U51" s="70">
        <v>0</v>
      </c>
      <c r="V51" s="36">
        <v>0</v>
      </c>
      <c r="W51" s="70">
        <v>0</v>
      </c>
      <c r="X51" s="70">
        <v>0</v>
      </c>
      <c r="Y51" s="36">
        <v>880.78</v>
      </c>
      <c r="Z51" s="36">
        <v>0</v>
      </c>
      <c r="AA51" s="36">
        <v>0</v>
      </c>
      <c r="AB51" s="36">
        <v>0</v>
      </c>
      <c r="AC51" s="36">
        <v>534537.37</v>
      </c>
      <c r="AD51" s="36">
        <v>57.47</v>
      </c>
      <c r="AE51" s="36">
        <v>503653.53</v>
      </c>
      <c r="AF51" s="71">
        <f t="shared" si="44"/>
        <v>8763.7642248129468</v>
      </c>
      <c r="AG51" s="71">
        <f t="shared" si="45"/>
        <v>9301.154863406995</v>
      </c>
      <c r="AH51" s="72">
        <f t="shared" si="46"/>
        <v>537.39</v>
      </c>
      <c r="AI51" s="36">
        <v>0</v>
      </c>
      <c r="AJ51" s="36">
        <v>0</v>
      </c>
      <c r="AK51" s="71">
        <f t="shared" si="47"/>
        <v>0</v>
      </c>
      <c r="AL51" s="71">
        <f t="shared" si="48"/>
        <v>0</v>
      </c>
      <c r="AM51" s="72">
        <f t="shared" si="49"/>
        <v>0</v>
      </c>
      <c r="AN51" s="70">
        <v>0</v>
      </c>
      <c r="AO51" s="70">
        <v>0</v>
      </c>
      <c r="AP51" s="3">
        <v>0</v>
      </c>
    </row>
    <row r="52" spans="1:42" s="3" customFormat="1" ht="15">
      <c r="A52" s="59" t="s">
        <v>654</v>
      </c>
      <c r="B52" s="59" t="s">
        <v>248</v>
      </c>
      <c r="C52" s="59" t="str">
        <f t="shared" si="51"/>
        <v>33115 COLVILLE SCHOOL DISTRICT</v>
      </c>
      <c r="D52" s="36">
        <v>0</v>
      </c>
      <c r="E52" s="36">
        <v>0</v>
      </c>
      <c r="F52" s="36">
        <v>0</v>
      </c>
      <c r="G52" s="36">
        <v>2442474.89</v>
      </c>
      <c r="H52" s="36">
        <v>568752.79</v>
      </c>
      <c r="I52" s="36">
        <v>347541.04</v>
      </c>
      <c r="J52" s="36">
        <v>597115.31999999995</v>
      </c>
      <c r="K52" s="36">
        <v>19960.38</v>
      </c>
      <c r="L52" s="36">
        <v>52141.86</v>
      </c>
      <c r="M52" s="36">
        <v>1570935.91</v>
      </c>
      <c r="N52" s="50">
        <v>2.3699999999999999E-2</v>
      </c>
      <c r="O52" s="53">
        <v>0.1802</v>
      </c>
      <c r="P52" s="36">
        <v>0</v>
      </c>
      <c r="Q52" s="69">
        <v>0</v>
      </c>
      <c r="R52" s="69">
        <v>0</v>
      </c>
      <c r="S52" s="70">
        <v>0</v>
      </c>
      <c r="T52" s="70">
        <v>0</v>
      </c>
      <c r="U52" s="70">
        <v>0</v>
      </c>
      <c r="V52" s="36">
        <v>0</v>
      </c>
      <c r="W52" s="70">
        <v>0</v>
      </c>
      <c r="X52" s="70">
        <v>0</v>
      </c>
      <c r="Y52" s="36">
        <v>1899.15</v>
      </c>
      <c r="Z52" s="36">
        <v>0</v>
      </c>
      <c r="AA52" s="36">
        <v>0</v>
      </c>
      <c r="AB52" s="36">
        <v>118092.03</v>
      </c>
      <c r="AC52" s="36">
        <v>1057694.71</v>
      </c>
      <c r="AD52" s="36">
        <v>110.88</v>
      </c>
      <c r="AE52" s="36">
        <v>971594.18</v>
      </c>
      <c r="AF52" s="71">
        <f t="shared" si="44"/>
        <v>8762.5737734487739</v>
      </c>
      <c r="AG52" s="71">
        <f t="shared" si="45"/>
        <v>9539.0937049062049</v>
      </c>
      <c r="AH52" s="72">
        <f t="shared" si="46"/>
        <v>776.52</v>
      </c>
      <c r="AI52" s="36">
        <v>12.88</v>
      </c>
      <c r="AJ52" s="36">
        <v>109537.62</v>
      </c>
      <c r="AK52" s="71">
        <f t="shared" si="47"/>
        <v>8504.4736024844715</v>
      </c>
      <c r="AL52" s="71">
        <f t="shared" si="48"/>
        <v>9168.6358695652161</v>
      </c>
      <c r="AM52" s="72">
        <f t="shared" si="49"/>
        <v>664.16</v>
      </c>
      <c r="AN52" s="70">
        <v>0</v>
      </c>
      <c r="AO52" s="70">
        <v>0</v>
      </c>
      <c r="AP52" s="3">
        <v>0</v>
      </c>
    </row>
    <row r="53" spans="1:42" s="3" customFormat="1" ht="15">
      <c r="A53" s="59" t="s">
        <v>612</v>
      </c>
      <c r="B53" s="59" t="s">
        <v>205</v>
      </c>
      <c r="C53" s="59" t="str">
        <f t="shared" si="51"/>
        <v>29011 CONCRETE SCHOOL DISTRICT</v>
      </c>
      <c r="D53" s="36">
        <v>0</v>
      </c>
      <c r="E53" s="36">
        <v>14951.67</v>
      </c>
      <c r="F53" s="36">
        <v>15703.84</v>
      </c>
      <c r="G53" s="36">
        <v>790784.4</v>
      </c>
      <c r="H53" s="36">
        <v>180012.28</v>
      </c>
      <c r="I53" s="36">
        <v>162499.95000000001</v>
      </c>
      <c r="J53" s="36">
        <v>249524.91</v>
      </c>
      <c r="K53" s="36">
        <v>0</v>
      </c>
      <c r="L53" s="36">
        <v>16238.57</v>
      </c>
      <c r="M53" s="36">
        <v>765311.85</v>
      </c>
      <c r="N53" s="50">
        <v>5.3100000000000001E-2</v>
      </c>
      <c r="O53" s="53">
        <v>0.22289999999999999</v>
      </c>
      <c r="P53" s="36">
        <v>0</v>
      </c>
      <c r="Q53" s="69">
        <v>0</v>
      </c>
      <c r="R53" s="69">
        <v>0</v>
      </c>
      <c r="S53" s="70">
        <v>0</v>
      </c>
      <c r="T53" s="70">
        <v>0</v>
      </c>
      <c r="U53" s="70">
        <v>0</v>
      </c>
      <c r="V53" s="36">
        <v>0</v>
      </c>
      <c r="W53" s="70">
        <v>0</v>
      </c>
      <c r="X53" s="70">
        <v>0</v>
      </c>
      <c r="Y53" s="36">
        <v>0</v>
      </c>
      <c r="Z53" s="36">
        <v>1584.58</v>
      </c>
      <c r="AA53" s="36">
        <v>496.28</v>
      </c>
      <c r="AB53" s="36">
        <v>48825.23</v>
      </c>
      <c r="AC53" s="36">
        <v>336484.18</v>
      </c>
      <c r="AD53" s="36">
        <v>30.7</v>
      </c>
      <c r="AE53" s="36">
        <v>285748.42</v>
      </c>
      <c r="AF53" s="71">
        <f t="shared" si="44"/>
        <v>9307.7661237785014</v>
      </c>
      <c r="AG53" s="71">
        <f t="shared" si="45"/>
        <v>10960.39674267101</v>
      </c>
      <c r="AH53" s="72">
        <f t="shared" si="46"/>
        <v>1652.63</v>
      </c>
      <c r="AI53" s="36">
        <v>5.01</v>
      </c>
      <c r="AJ53" s="36">
        <v>45342.9</v>
      </c>
      <c r="AK53" s="71">
        <f t="shared" si="47"/>
        <v>9050.4790419161691</v>
      </c>
      <c r="AL53" s="71">
        <f t="shared" si="48"/>
        <v>9745.5548902195624</v>
      </c>
      <c r="AM53" s="72">
        <f t="shared" si="49"/>
        <v>695.08</v>
      </c>
      <c r="AN53" s="70">
        <v>3391.15</v>
      </c>
      <c r="AO53" s="70">
        <v>0</v>
      </c>
      <c r="AP53" s="3">
        <v>0</v>
      </c>
    </row>
    <row r="54" spans="1:42" s="3" customFormat="1" ht="15">
      <c r="A54" s="59" t="s">
        <v>617</v>
      </c>
      <c r="B54" s="59" t="s">
        <v>210</v>
      </c>
      <c r="C54" s="59" t="str">
        <f t="shared" si="51"/>
        <v>29317 CONWAY SCHOOL DISTRICT</v>
      </c>
      <c r="D54" s="36">
        <v>0</v>
      </c>
      <c r="E54" s="36">
        <v>0</v>
      </c>
      <c r="F54" s="36">
        <v>0</v>
      </c>
      <c r="G54" s="36">
        <v>462721.5</v>
      </c>
      <c r="H54" s="36">
        <v>51977.56</v>
      </c>
      <c r="I54" s="36">
        <v>0</v>
      </c>
      <c r="J54" s="36">
        <v>63962.46</v>
      </c>
      <c r="K54" s="36">
        <v>52356.52</v>
      </c>
      <c r="L54" s="36">
        <v>14405.95</v>
      </c>
      <c r="M54" s="36">
        <v>283716.63</v>
      </c>
      <c r="N54" s="50">
        <v>2.8400000000000002E-2</v>
      </c>
      <c r="O54" s="53">
        <v>0.18049999999999999</v>
      </c>
      <c r="P54" s="36">
        <v>0</v>
      </c>
      <c r="Q54" s="69">
        <v>0</v>
      </c>
      <c r="R54" s="69">
        <v>0</v>
      </c>
      <c r="S54" s="70">
        <v>0</v>
      </c>
      <c r="T54" s="70">
        <v>0</v>
      </c>
      <c r="U54" s="70">
        <v>0</v>
      </c>
      <c r="V54" s="36">
        <v>0</v>
      </c>
      <c r="W54" s="70">
        <v>0</v>
      </c>
      <c r="X54" s="70">
        <v>0</v>
      </c>
      <c r="Y54" s="36">
        <v>528.91999999999996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71">
        <f t="shared" si="44"/>
        <v>0</v>
      </c>
      <c r="AG54" s="71">
        <f t="shared" si="45"/>
        <v>0</v>
      </c>
      <c r="AH54" s="72">
        <f t="shared" si="46"/>
        <v>0</v>
      </c>
      <c r="AI54" s="36">
        <v>0</v>
      </c>
      <c r="AJ54" s="36">
        <v>0</v>
      </c>
      <c r="AK54" s="71">
        <f t="shared" si="47"/>
        <v>0</v>
      </c>
      <c r="AL54" s="71">
        <f t="shared" si="48"/>
        <v>0</v>
      </c>
      <c r="AM54" s="72">
        <f t="shared" si="49"/>
        <v>0</v>
      </c>
      <c r="AN54" s="70">
        <v>0</v>
      </c>
      <c r="AO54" s="70">
        <v>0</v>
      </c>
      <c r="AP54" s="3">
        <v>0</v>
      </c>
    </row>
    <row r="55" spans="1:42" s="3" customFormat="1" ht="15">
      <c r="A55" s="59" t="s">
        <v>496</v>
      </c>
      <c r="B55" s="59" t="s">
        <v>88</v>
      </c>
      <c r="C55" s="59" t="str">
        <f t="shared" si="51"/>
        <v>14099 COSMOPOLIS SCHOOL DISTRICT</v>
      </c>
      <c r="D55" s="36">
        <v>0</v>
      </c>
      <c r="E55" s="36">
        <v>1971.16</v>
      </c>
      <c r="F55" s="36">
        <v>0</v>
      </c>
      <c r="G55" s="36">
        <v>390985.62</v>
      </c>
      <c r="H55" s="36">
        <v>45011.3</v>
      </c>
      <c r="I55" s="36">
        <v>0</v>
      </c>
      <c r="J55" s="36">
        <v>45621.07</v>
      </c>
      <c r="K55" s="36">
        <v>1319.55</v>
      </c>
      <c r="L55" s="36">
        <v>5275.91</v>
      </c>
      <c r="M55" s="36">
        <v>51876.160000000003</v>
      </c>
      <c r="N55" s="50">
        <v>4.3900000000000002E-2</v>
      </c>
      <c r="O55" s="53">
        <v>0.29210000000000003</v>
      </c>
      <c r="P55" s="36">
        <v>0</v>
      </c>
      <c r="Q55" s="69">
        <v>0</v>
      </c>
      <c r="R55" s="69">
        <v>0</v>
      </c>
      <c r="S55" s="70">
        <v>0</v>
      </c>
      <c r="T55" s="70">
        <v>0</v>
      </c>
      <c r="U55" s="70">
        <v>0</v>
      </c>
      <c r="V55" s="36">
        <v>0</v>
      </c>
      <c r="W55" s="70">
        <v>0</v>
      </c>
      <c r="X55" s="70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71">
        <f t="shared" si="44"/>
        <v>0</v>
      </c>
      <c r="AG55" s="71">
        <f t="shared" si="45"/>
        <v>0</v>
      </c>
      <c r="AH55" s="72">
        <f t="shared" si="46"/>
        <v>0</v>
      </c>
      <c r="AI55" s="36">
        <v>0</v>
      </c>
      <c r="AJ55" s="36">
        <v>0</v>
      </c>
      <c r="AK55" s="71">
        <f t="shared" si="47"/>
        <v>0</v>
      </c>
      <c r="AL55" s="71">
        <f t="shared" si="48"/>
        <v>0</v>
      </c>
      <c r="AM55" s="72">
        <f t="shared" si="49"/>
        <v>0</v>
      </c>
      <c r="AN55" s="70">
        <v>4500</v>
      </c>
      <c r="AO55" s="70">
        <v>0</v>
      </c>
      <c r="AP55" s="3">
        <v>0</v>
      </c>
    </row>
    <row r="56" spans="1:42" s="3" customFormat="1" ht="15">
      <c r="A56" s="59" t="s">
        <v>481</v>
      </c>
      <c r="B56" s="59" t="s">
        <v>73</v>
      </c>
      <c r="C56" s="59" t="str">
        <f t="shared" si="51"/>
        <v>13151 COULEE/HARTLINE SCHOOL DISTRICT</v>
      </c>
      <c r="D56" s="36">
        <v>0</v>
      </c>
      <c r="E56" s="36">
        <v>5860.3</v>
      </c>
      <c r="F56" s="36">
        <v>0</v>
      </c>
      <c r="G56" s="36">
        <v>244262.3</v>
      </c>
      <c r="H56" s="36">
        <v>54471.34</v>
      </c>
      <c r="I56" s="36">
        <v>0</v>
      </c>
      <c r="J56" s="36">
        <v>57207.38</v>
      </c>
      <c r="K56" s="36">
        <v>0</v>
      </c>
      <c r="L56" s="36">
        <v>5896.6</v>
      </c>
      <c r="M56" s="36">
        <v>380920.19</v>
      </c>
      <c r="N56" s="50">
        <v>4.2000000000000003E-2</v>
      </c>
      <c r="O56" s="53">
        <v>0.18940000000000001</v>
      </c>
      <c r="P56" s="36">
        <v>0</v>
      </c>
      <c r="Q56" s="69">
        <v>0</v>
      </c>
      <c r="R56" s="69">
        <v>0</v>
      </c>
      <c r="S56" s="70">
        <v>0</v>
      </c>
      <c r="T56" s="70">
        <v>0</v>
      </c>
      <c r="U56" s="70">
        <v>0</v>
      </c>
      <c r="V56" s="36">
        <v>0</v>
      </c>
      <c r="W56" s="70">
        <v>0</v>
      </c>
      <c r="X56" s="70">
        <v>0</v>
      </c>
      <c r="Y56" s="36">
        <v>201.87</v>
      </c>
      <c r="Z56" s="36">
        <v>0</v>
      </c>
      <c r="AA56" s="36">
        <v>0</v>
      </c>
      <c r="AB56" s="36">
        <v>0</v>
      </c>
      <c r="AC56" s="36">
        <v>121230.43</v>
      </c>
      <c r="AD56" s="36">
        <v>13.49</v>
      </c>
      <c r="AE56" s="36">
        <v>115795.1</v>
      </c>
      <c r="AF56" s="71">
        <f t="shared" si="44"/>
        <v>8583.7731653076353</v>
      </c>
      <c r="AG56" s="71">
        <f t="shared" si="45"/>
        <v>8986.6886582653806</v>
      </c>
      <c r="AH56" s="72">
        <f t="shared" si="46"/>
        <v>402.92</v>
      </c>
      <c r="AI56" s="36">
        <v>0</v>
      </c>
      <c r="AJ56" s="36">
        <v>0</v>
      </c>
      <c r="AK56" s="71">
        <f t="shared" si="47"/>
        <v>0</v>
      </c>
      <c r="AL56" s="71">
        <f t="shared" si="48"/>
        <v>0</v>
      </c>
      <c r="AM56" s="72">
        <f t="shared" si="49"/>
        <v>0</v>
      </c>
      <c r="AN56" s="70">
        <v>500</v>
      </c>
      <c r="AO56" s="70">
        <v>0</v>
      </c>
      <c r="AP56" s="3">
        <v>0</v>
      </c>
    </row>
    <row r="57" spans="1:42" s="3" customFormat="1" ht="15">
      <c r="A57" s="59" t="s">
        <v>502</v>
      </c>
      <c r="B57" s="59" t="s">
        <v>94</v>
      </c>
      <c r="C57" s="59" t="str">
        <f t="shared" si="51"/>
        <v>15204 COUPEVILLE SCHOOL DISTRICT</v>
      </c>
      <c r="D57" s="36">
        <v>0</v>
      </c>
      <c r="E57" s="36">
        <v>0</v>
      </c>
      <c r="F57" s="36">
        <v>0</v>
      </c>
      <c r="G57" s="36">
        <v>1849980.77</v>
      </c>
      <c r="H57" s="36">
        <v>321943.96999999997</v>
      </c>
      <c r="I57" s="36">
        <v>0</v>
      </c>
      <c r="J57" s="36">
        <v>242083.44</v>
      </c>
      <c r="K57" s="36">
        <v>62508.49</v>
      </c>
      <c r="L57" s="36">
        <v>34566.49</v>
      </c>
      <c r="M57" s="36">
        <v>625171.56000000006</v>
      </c>
      <c r="N57" s="50">
        <v>5.7599999999999998E-2</v>
      </c>
      <c r="O57" s="53">
        <v>0.21590000000000001</v>
      </c>
      <c r="P57" s="36">
        <v>0</v>
      </c>
      <c r="Q57" s="69">
        <v>0</v>
      </c>
      <c r="R57" s="69">
        <v>0</v>
      </c>
      <c r="S57" s="70">
        <v>156080.17000000001</v>
      </c>
      <c r="T57" s="70">
        <v>0</v>
      </c>
      <c r="U57" s="70">
        <v>6240.84</v>
      </c>
      <c r="V57" s="36">
        <v>0</v>
      </c>
      <c r="W57" s="70">
        <v>0</v>
      </c>
      <c r="X57" s="70">
        <v>0</v>
      </c>
      <c r="Y57" s="36">
        <v>791.69</v>
      </c>
      <c r="Z57" s="36">
        <v>0</v>
      </c>
      <c r="AA57" s="36">
        <v>0</v>
      </c>
      <c r="AB57" s="36">
        <v>49262.73</v>
      </c>
      <c r="AC57" s="36">
        <v>154672.9</v>
      </c>
      <c r="AD57" s="36">
        <v>13.75</v>
      </c>
      <c r="AE57" s="36">
        <v>130163.67</v>
      </c>
      <c r="AF57" s="71">
        <f t="shared" si="44"/>
        <v>9466.4487272727274</v>
      </c>
      <c r="AG57" s="71">
        <f t="shared" si="45"/>
        <v>11248.938181818181</v>
      </c>
      <c r="AH57" s="72">
        <f t="shared" si="46"/>
        <v>1782.49</v>
      </c>
      <c r="AI57" s="36">
        <v>4.95</v>
      </c>
      <c r="AJ57" s="36">
        <v>45669.06</v>
      </c>
      <c r="AK57" s="71">
        <f t="shared" si="47"/>
        <v>9226.0727272727272</v>
      </c>
      <c r="AL57" s="71">
        <f t="shared" si="48"/>
        <v>9952.0666666666675</v>
      </c>
      <c r="AM57" s="72">
        <f t="shared" si="49"/>
        <v>725.99</v>
      </c>
      <c r="AN57" s="70">
        <v>0</v>
      </c>
      <c r="AO57" s="70">
        <v>0</v>
      </c>
      <c r="AP57" s="3">
        <v>0</v>
      </c>
    </row>
    <row r="58" spans="1:42" s="3" customFormat="1" ht="15">
      <c r="A58" s="59" t="s">
        <v>441</v>
      </c>
      <c r="B58" s="59" t="s">
        <v>33</v>
      </c>
      <c r="C58" s="59" t="str">
        <f t="shared" si="51"/>
        <v>05313 CRESCENT SCHOOL DISTRICT</v>
      </c>
      <c r="D58" s="36">
        <v>0</v>
      </c>
      <c r="E58" s="36">
        <v>0</v>
      </c>
      <c r="F58" s="36">
        <v>0</v>
      </c>
      <c r="G58" s="36">
        <v>341138.21</v>
      </c>
      <c r="H58" s="36">
        <v>55628.12</v>
      </c>
      <c r="I58" s="36">
        <v>66931.600000000006</v>
      </c>
      <c r="J58" s="36">
        <v>121345.84</v>
      </c>
      <c r="K58" s="36">
        <v>0</v>
      </c>
      <c r="L58" s="36">
        <v>9931.11</v>
      </c>
      <c r="M58" s="36">
        <v>157635.34</v>
      </c>
      <c r="N58" s="50">
        <v>1.8100000000000002E-2</v>
      </c>
      <c r="O58" s="53">
        <v>0.2233</v>
      </c>
      <c r="P58" s="36">
        <v>0</v>
      </c>
      <c r="Q58" s="69">
        <v>0</v>
      </c>
      <c r="R58" s="69">
        <v>0</v>
      </c>
      <c r="S58" s="70">
        <v>0</v>
      </c>
      <c r="T58" s="70">
        <v>0</v>
      </c>
      <c r="U58" s="70">
        <v>0</v>
      </c>
      <c r="V58" s="36">
        <v>0</v>
      </c>
      <c r="W58" s="70">
        <v>0</v>
      </c>
      <c r="X58" s="70">
        <v>0</v>
      </c>
      <c r="Y58" s="36">
        <v>382.31</v>
      </c>
      <c r="Z58" s="36">
        <v>0</v>
      </c>
      <c r="AA58" s="36">
        <v>1717.63</v>
      </c>
      <c r="AB58" s="36">
        <v>0</v>
      </c>
      <c r="AC58" s="36">
        <v>54133.89</v>
      </c>
      <c r="AD58" s="36">
        <v>5.44</v>
      </c>
      <c r="AE58" s="36">
        <v>46704.959999999999</v>
      </c>
      <c r="AF58" s="71">
        <f t="shared" si="44"/>
        <v>8585.4705882352937</v>
      </c>
      <c r="AG58" s="71">
        <f t="shared" si="45"/>
        <v>9951.0827205882342</v>
      </c>
      <c r="AH58" s="72">
        <f t="shared" si="46"/>
        <v>1365.61</v>
      </c>
      <c r="AI58" s="36">
        <v>0</v>
      </c>
      <c r="AJ58" s="36">
        <v>0</v>
      </c>
      <c r="AK58" s="71">
        <f t="shared" si="47"/>
        <v>0</v>
      </c>
      <c r="AL58" s="71">
        <f t="shared" si="48"/>
        <v>0</v>
      </c>
      <c r="AM58" s="72">
        <f t="shared" si="49"/>
        <v>0</v>
      </c>
      <c r="AN58" s="70">
        <v>0</v>
      </c>
      <c r="AO58" s="70">
        <v>0</v>
      </c>
      <c r="AP58" s="3">
        <v>0</v>
      </c>
    </row>
    <row r="59" spans="1:42" s="3" customFormat="1" ht="15">
      <c r="A59" s="59" t="s">
        <v>565</v>
      </c>
      <c r="B59" s="59" t="s">
        <v>157</v>
      </c>
      <c r="C59" s="59" t="str">
        <f t="shared" si="51"/>
        <v>22073 CRESTON SCHOOL DISTRICT</v>
      </c>
      <c r="D59" s="36">
        <v>0</v>
      </c>
      <c r="E59" s="36">
        <v>0</v>
      </c>
      <c r="F59" s="36">
        <v>0</v>
      </c>
      <c r="G59" s="36">
        <v>134530.60999999999</v>
      </c>
      <c r="H59" s="36">
        <v>25793</v>
      </c>
      <c r="I59" s="36">
        <v>0</v>
      </c>
      <c r="J59" s="36">
        <v>29122.36</v>
      </c>
      <c r="K59" s="36">
        <v>0</v>
      </c>
      <c r="L59" s="36">
        <v>0</v>
      </c>
      <c r="M59" s="36">
        <v>566496.28</v>
      </c>
      <c r="N59" s="50">
        <v>6.9199999999999998E-2</v>
      </c>
      <c r="O59" s="53">
        <v>0.2944</v>
      </c>
      <c r="P59" s="36">
        <v>0</v>
      </c>
      <c r="Q59" s="69">
        <v>0</v>
      </c>
      <c r="R59" s="69">
        <v>0</v>
      </c>
      <c r="S59" s="70">
        <v>0</v>
      </c>
      <c r="T59" s="70">
        <v>0</v>
      </c>
      <c r="U59" s="70">
        <v>0</v>
      </c>
      <c r="V59" s="36">
        <v>0</v>
      </c>
      <c r="W59" s="70">
        <v>0</v>
      </c>
      <c r="X59" s="70">
        <v>0</v>
      </c>
      <c r="Y59" s="36">
        <v>0</v>
      </c>
      <c r="Z59" s="36">
        <v>0</v>
      </c>
      <c r="AA59" s="36">
        <v>4061.91</v>
      </c>
      <c r="AB59" s="36">
        <v>13487.48</v>
      </c>
      <c r="AC59" s="36">
        <v>43544.04</v>
      </c>
      <c r="AD59" s="36">
        <v>4.74</v>
      </c>
      <c r="AE59" s="36">
        <v>41618.160000000003</v>
      </c>
      <c r="AF59" s="71">
        <f t="shared" si="44"/>
        <v>8780.2025316455693</v>
      </c>
      <c r="AG59" s="71">
        <f t="shared" si="45"/>
        <v>9186.5063291139231</v>
      </c>
      <c r="AH59" s="72">
        <f t="shared" si="46"/>
        <v>406.3</v>
      </c>
      <c r="AI59" s="36">
        <v>1.47</v>
      </c>
      <c r="AJ59" s="36">
        <v>12559.57</v>
      </c>
      <c r="AK59" s="71">
        <f t="shared" si="47"/>
        <v>8543.925170068027</v>
      </c>
      <c r="AL59" s="71">
        <f t="shared" si="48"/>
        <v>9175.1564625850333</v>
      </c>
      <c r="AM59" s="72">
        <f t="shared" si="49"/>
        <v>631.23</v>
      </c>
      <c r="AN59" s="70">
        <v>1438.91</v>
      </c>
      <c r="AO59" s="70">
        <v>0</v>
      </c>
      <c r="AP59" s="3">
        <v>0</v>
      </c>
    </row>
    <row r="60" spans="1:42" s="3" customFormat="1" ht="15">
      <c r="A60" s="59" t="s">
        <v>469</v>
      </c>
      <c r="B60" s="59" t="s">
        <v>61</v>
      </c>
      <c r="C60" s="59" t="str">
        <f t="shared" si="51"/>
        <v>10050 CURLEW SCHOOL DISTRICT</v>
      </c>
      <c r="D60" s="36">
        <v>0</v>
      </c>
      <c r="E60" s="36">
        <v>0</v>
      </c>
      <c r="F60" s="36">
        <v>0</v>
      </c>
      <c r="G60" s="36">
        <v>281161.18</v>
      </c>
      <c r="H60" s="36">
        <v>30419.200000000001</v>
      </c>
      <c r="I60" s="36">
        <v>71092.81</v>
      </c>
      <c r="J60" s="36">
        <v>96681.93</v>
      </c>
      <c r="K60" s="36">
        <v>0</v>
      </c>
      <c r="L60" s="36">
        <v>0</v>
      </c>
      <c r="M60" s="36">
        <v>208450.31</v>
      </c>
      <c r="N60" s="50">
        <v>4.2599999999999999E-2</v>
      </c>
      <c r="O60" s="53">
        <v>0.24210000000000001</v>
      </c>
      <c r="P60" s="36">
        <v>0</v>
      </c>
      <c r="Q60" s="69">
        <v>0</v>
      </c>
      <c r="R60" s="69">
        <v>0</v>
      </c>
      <c r="S60" s="70">
        <v>0</v>
      </c>
      <c r="T60" s="70">
        <v>0</v>
      </c>
      <c r="U60" s="70">
        <v>0</v>
      </c>
      <c r="V60" s="36">
        <v>0</v>
      </c>
      <c r="W60" s="70">
        <v>0</v>
      </c>
      <c r="X60" s="70">
        <v>0</v>
      </c>
      <c r="Y60" s="36">
        <v>287.58</v>
      </c>
      <c r="Z60" s="36">
        <v>0</v>
      </c>
      <c r="AA60" s="36">
        <v>0</v>
      </c>
      <c r="AB60" s="36">
        <v>0</v>
      </c>
      <c r="AC60" s="36">
        <v>51356.63</v>
      </c>
      <c r="AD60" s="36">
        <v>5.41</v>
      </c>
      <c r="AE60" s="36">
        <v>47407.45</v>
      </c>
      <c r="AF60" s="71">
        <f t="shared" si="44"/>
        <v>8762.9297597042514</v>
      </c>
      <c r="AG60" s="71">
        <f t="shared" si="45"/>
        <v>9492.9075785582245</v>
      </c>
      <c r="AH60" s="72">
        <f t="shared" si="46"/>
        <v>729.98</v>
      </c>
      <c r="AI60" s="36">
        <v>0</v>
      </c>
      <c r="AJ60" s="36">
        <v>0</v>
      </c>
      <c r="AK60" s="71">
        <f t="shared" si="47"/>
        <v>0</v>
      </c>
      <c r="AL60" s="71">
        <f t="shared" si="48"/>
        <v>0</v>
      </c>
      <c r="AM60" s="72">
        <f t="shared" si="49"/>
        <v>0</v>
      </c>
      <c r="AN60" s="70">
        <v>2421.64</v>
      </c>
      <c r="AO60" s="70">
        <v>0</v>
      </c>
      <c r="AP60" s="3">
        <v>0</v>
      </c>
    </row>
    <row r="61" spans="1:42" s="3" customFormat="1" ht="15">
      <c r="A61" s="59" t="s">
        <v>591</v>
      </c>
      <c r="B61" s="59" t="s">
        <v>184</v>
      </c>
      <c r="C61" s="59" t="str">
        <f t="shared" si="51"/>
        <v>26059 CUSICK SCHOOL DISTRICT</v>
      </c>
      <c r="D61" s="36">
        <v>40160.9</v>
      </c>
      <c r="E61" s="36">
        <v>0</v>
      </c>
      <c r="F61" s="36">
        <v>6476.66</v>
      </c>
      <c r="G61" s="36">
        <v>467920.97</v>
      </c>
      <c r="H61" s="36">
        <v>61687.77</v>
      </c>
      <c r="I61" s="36">
        <v>73035.11</v>
      </c>
      <c r="J61" s="36">
        <v>149690.91</v>
      </c>
      <c r="K61" s="36">
        <v>0</v>
      </c>
      <c r="L61" s="36">
        <v>0</v>
      </c>
      <c r="M61" s="36">
        <v>279503.5</v>
      </c>
      <c r="N61" s="50">
        <v>3.7400000000000003E-2</v>
      </c>
      <c r="O61" s="53">
        <v>0.2079</v>
      </c>
      <c r="P61" s="36">
        <v>0</v>
      </c>
      <c r="Q61" s="69">
        <v>0</v>
      </c>
      <c r="R61" s="69">
        <v>0</v>
      </c>
      <c r="S61" s="70">
        <v>0</v>
      </c>
      <c r="T61" s="70">
        <v>0</v>
      </c>
      <c r="U61" s="70">
        <v>0</v>
      </c>
      <c r="V61" s="36">
        <v>0</v>
      </c>
      <c r="W61" s="70">
        <v>0</v>
      </c>
      <c r="X61" s="70">
        <v>0</v>
      </c>
      <c r="Y61" s="36">
        <v>0</v>
      </c>
      <c r="Z61" s="36">
        <v>0</v>
      </c>
      <c r="AA61" s="36">
        <v>3007.53</v>
      </c>
      <c r="AB61" s="36">
        <v>0</v>
      </c>
      <c r="AC61" s="36">
        <v>96440.55</v>
      </c>
      <c r="AD61" s="36">
        <v>10.74</v>
      </c>
      <c r="AE61" s="36">
        <v>92290.28</v>
      </c>
      <c r="AF61" s="71">
        <f t="shared" si="44"/>
        <v>8593.1359404096838</v>
      </c>
      <c r="AG61" s="71">
        <f t="shared" si="45"/>
        <v>8979.5670391061449</v>
      </c>
      <c r="AH61" s="72">
        <f t="shared" si="46"/>
        <v>386.43</v>
      </c>
      <c r="AI61" s="36">
        <v>0</v>
      </c>
      <c r="AJ61" s="36">
        <v>0</v>
      </c>
      <c r="AK61" s="71">
        <f t="shared" si="47"/>
        <v>0</v>
      </c>
      <c r="AL61" s="71">
        <f t="shared" si="48"/>
        <v>0</v>
      </c>
      <c r="AM61" s="72">
        <f t="shared" si="49"/>
        <v>0</v>
      </c>
      <c r="AN61" s="70">
        <v>871.37</v>
      </c>
      <c r="AO61" s="70">
        <v>0</v>
      </c>
      <c r="AP61" s="3">
        <v>0</v>
      </c>
    </row>
    <row r="62" spans="1:42" s="3" customFormat="1" ht="15">
      <c r="A62" s="59" t="s">
        <v>533</v>
      </c>
      <c r="B62" s="59" t="s">
        <v>125</v>
      </c>
      <c r="C62" s="59" t="str">
        <f t="shared" si="51"/>
        <v>19007 DAMMAN SCHOOL DISTRICT</v>
      </c>
      <c r="D62" s="36">
        <v>0</v>
      </c>
      <c r="E62" s="36">
        <v>0</v>
      </c>
      <c r="F62" s="36">
        <v>0</v>
      </c>
      <c r="G62" s="36">
        <v>61741.55</v>
      </c>
      <c r="H62" s="36">
        <v>4457.78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50">
        <v>3.8300000000000001E-2</v>
      </c>
      <c r="O62" s="53">
        <v>0.38450000000000001</v>
      </c>
      <c r="P62" s="36">
        <v>0</v>
      </c>
      <c r="Q62" s="69">
        <v>0</v>
      </c>
      <c r="R62" s="69">
        <v>0</v>
      </c>
      <c r="S62" s="70">
        <v>0</v>
      </c>
      <c r="T62" s="70">
        <v>0</v>
      </c>
      <c r="U62" s="70">
        <v>0</v>
      </c>
      <c r="V62" s="36">
        <v>0</v>
      </c>
      <c r="W62" s="70">
        <v>0</v>
      </c>
      <c r="X62" s="70">
        <v>0</v>
      </c>
      <c r="Y62" s="36">
        <v>48.49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71">
        <f t="shared" si="44"/>
        <v>0</v>
      </c>
      <c r="AG62" s="71">
        <f t="shared" si="45"/>
        <v>0</v>
      </c>
      <c r="AH62" s="72">
        <f t="shared" si="46"/>
        <v>0</v>
      </c>
      <c r="AI62" s="36">
        <v>0</v>
      </c>
      <c r="AJ62" s="36">
        <v>0</v>
      </c>
      <c r="AK62" s="71">
        <f t="shared" si="47"/>
        <v>0</v>
      </c>
      <c r="AL62" s="71">
        <f t="shared" si="48"/>
        <v>0</v>
      </c>
      <c r="AM62" s="72">
        <f t="shared" si="49"/>
        <v>0</v>
      </c>
      <c r="AN62" s="70">
        <v>1295</v>
      </c>
      <c r="AO62" s="70">
        <v>0</v>
      </c>
      <c r="AP62" s="3">
        <v>0</v>
      </c>
    </row>
    <row r="63" spans="1:42" s="3" customFormat="1" ht="15">
      <c r="A63" s="59" t="s">
        <v>634</v>
      </c>
      <c r="B63" s="59" t="s">
        <v>227</v>
      </c>
      <c r="C63" s="59" t="str">
        <f t="shared" si="51"/>
        <v>31330 DARRINGTON SCHOOL DISTRICT</v>
      </c>
      <c r="D63" s="36">
        <v>0</v>
      </c>
      <c r="E63" s="36">
        <v>0</v>
      </c>
      <c r="F63" s="36">
        <v>0</v>
      </c>
      <c r="G63" s="36">
        <v>610575.61</v>
      </c>
      <c r="H63" s="36">
        <v>75146.31</v>
      </c>
      <c r="I63" s="36">
        <v>99604.12</v>
      </c>
      <c r="J63" s="36">
        <v>135397.57</v>
      </c>
      <c r="K63" s="36">
        <v>0</v>
      </c>
      <c r="L63" s="36">
        <v>13951.44</v>
      </c>
      <c r="M63" s="36">
        <v>311080.99</v>
      </c>
      <c r="N63" s="50">
        <v>7.5499999999999998E-2</v>
      </c>
      <c r="O63" s="53">
        <v>0.26450000000000001</v>
      </c>
      <c r="P63" s="36">
        <v>0</v>
      </c>
      <c r="Q63" s="69">
        <v>0</v>
      </c>
      <c r="R63" s="69">
        <v>0</v>
      </c>
      <c r="S63" s="70">
        <v>0</v>
      </c>
      <c r="T63" s="70">
        <v>0</v>
      </c>
      <c r="U63" s="70">
        <v>0</v>
      </c>
      <c r="V63" s="36">
        <v>0</v>
      </c>
      <c r="W63" s="70">
        <v>0</v>
      </c>
      <c r="X63" s="70">
        <v>0</v>
      </c>
      <c r="Y63" s="36">
        <v>505.24</v>
      </c>
      <c r="Z63" s="36">
        <v>0</v>
      </c>
      <c r="AA63" s="36">
        <v>0</v>
      </c>
      <c r="AB63" s="36">
        <v>0</v>
      </c>
      <c r="AC63" s="36">
        <v>184502.75</v>
      </c>
      <c r="AD63" s="36">
        <v>18.29</v>
      </c>
      <c r="AE63" s="36">
        <v>170273.66</v>
      </c>
      <c r="AF63" s="71">
        <f t="shared" si="44"/>
        <v>9309.6588299617288</v>
      </c>
      <c r="AG63" s="71">
        <f t="shared" si="45"/>
        <v>10087.62985237835</v>
      </c>
      <c r="AH63" s="72">
        <f t="shared" si="46"/>
        <v>777.97</v>
      </c>
      <c r="AI63" s="36">
        <v>0</v>
      </c>
      <c r="AJ63" s="36">
        <v>0</v>
      </c>
      <c r="AK63" s="71">
        <f t="shared" si="47"/>
        <v>0</v>
      </c>
      <c r="AL63" s="71">
        <f t="shared" si="48"/>
        <v>0</v>
      </c>
      <c r="AM63" s="72">
        <f t="shared" si="49"/>
        <v>0</v>
      </c>
      <c r="AN63" s="70">
        <v>0</v>
      </c>
      <c r="AO63" s="70">
        <v>0</v>
      </c>
      <c r="AP63" s="3">
        <v>0</v>
      </c>
    </row>
    <row r="64" spans="1:42" s="3" customFormat="1" ht="15">
      <c r="A64" s="59" t="s">
        <v>569</v>
      </c>
      <c r="B64" s="59" t="s">
        <v>161</v>
      </c>
      <c r="C64" s="59" t="str">
        <f t="shared" si="51"/>
        <v>22207 DAVENPORT SCHOOL DISTRICT</v>
      </c>
      <c r="D64" s="36">
        <v>0</v>
      </c>
      <c r="E64" s="36">
        <v>0</v>
      </c>
      <c r="F64" s="36">
        <v>0</v>
      </c>
      <c r="G64" s="36">
        <v>767382.27</v>
      </c>
      <c r="H64" s="36">
        <v>100552.75</v>
      </c>
      <c r="I64" s="36">
        <v>0</v>
      </c>
      <c r="J64" s="36">
        <v>184139.48</v>
      </c>
      <c r="K64" s="36">
        <v>0</v>
      </c>
      <c r="L64" s="36">
        <v>0</v>
      </c>
      <c r="M64" s="36">
        <v>473360.5</v>
      </c>
      <c r="N64" s="50">
        <v>2.5600000000000001E-2</v>
      </c>
      <c r="O64" s="53">
        <v>0.22170000000000001</v>
      </c>
      <c r="P64" s="36">
        <v>0</v>
      </c>
      <c r="Q64" s="69">
        <v>0</v>
      </c>
      <c r="R64" s="69">
        <v>0</v>
      </c>
      <c r="S64" s="70">
        <v>0</v>
      </c>
      <c r="T64" s="70">
        <v>0</v>
      </c>
      <c r="U64" s="70">
        <v>0</v>
      </c>
      <c r="V64" s="36">
        <v>0</v>
      </c>
      <c r="W64" s="70">
        <v>0</v>
      </c>
      <c r="X64" s="70">
        <v>0</v>
      </c>
      <c r="Y64" s="36">
        <v>0</v>
      </c>
      <c r="Z64" s="36">
        <v>20354.05</v>
      </c>
      <c r="AA64" s="36">
        <v>51147.61</v>
      </c>
      <c r="AB64" s="36">
        <v>223104.71</v>
      </c>
      <c r="AC64" s="36">
        <v>523016.1</v>
      </c>
      <c r="AD64" s="36">
        <v>57.96</v>
      </c>
      <c r="AE64" s="36">
        <v>497923.52</v>
      </c>
      <c r="AF64" s="71">
        <f t="shared" si="44"/>
        <v>8590.8129744651487</v>
      </c>
      <c r="AG64" s="71">
        <f t="shared" si="45"/>
        <v>9023.7422360248438</v>
      </c>
      <c r="AH64" s="72">
        <f t="shared" si="46"/>
        <v>432.93</v>
      </c>
      <c r="AI64" s="36">
        <v>24.86</v>
      </c>
      <c r="AJ64" s="36">
        <v>207298.06</v>
      </c>
      <c r="AK64" s="71">
        <f t="shared" si="47"/>
        <v>8338.6186645213202</v>
      </c>
      <c r="AL64" s="71">
        <f t="shared" si="48"/>
        <v>8974.4452936444086</v>
      </c>
      <c r="AM64" s="72">
        <f t="shared" si="49"/>
        <v>635.83000000000004</v>
      </c>
      <c r="AN64" s="70">
        <v>0</v>
      </c>
      <c r="AO64" s="70">
        <v>0</v>
      </c>
      <c r="AP64" s="3">
        <v>0</v>
      </c>
    </row>
    <row r="65" spans="1:42" s="3" customFormat="1" ht="15">
      <c r="A65" s="59" t="s">
        <v>454</v>
      </c>
      <c r="B65" s="59" t="s">
        <v>46</v>
      </c>
      <c r="C65" s="59" t="str">
        <f t="shared" si="51"/>
        <v>07002 DAYTON SCHOOL DISTRICT</v>
      </c>
      <c r="D65" s="36">
        <v>0</v>
      </c>
      <c r="E65" s="36">
        <v>0</v>
      </c>
      <c r="F65" s="36">
        <v>5384.43</v>
      </c>
      <c r="G65" s="36">
        <v>0</v>
      </c>
      <c r="H65" s="36">
        <v>0</v>
      </c>
      <c r="I65" s="36">
        <v>105621.58</v>
      </c>
      <c r="J65" s="36">
        <v>123621.73</v>
      </c>
      <c r="K65" s="36">
        <v>2740.62</v>
      </c>
      <c r="L65" s="36">
        <v>10655.26</v>
      </c>
      <c r="M65" s="36">
        <v>264052.99</v>
      </c>
      <c r="N65" s="50">
        <v>2.75E-2</v>
      </c>
      <c r="O65" s="53">
        <v>0.2109</v>
      </c>
      <c r="P65" s="36">
        <v>0</v>
      </c>
      <c r="Q65" s="69">
        <v>0</v>
      </c>
      <c r="R65" s="69">
        <v>0</v>
      </c>
      <c r="S65" s="70">
        <v>0</v>
      </c>
      <c r="T65" s="70">
        <v>0</v>
      </c>
      <c r="U65" s="70">
        <v>0</v>
      </c>
      <c r="V65" s="36">
        <v>0</v>
      </c>
      <c r="W65" s="70">
        <v>0</v>
      </c>
      <c r="X65" s="70">
        <v>0</v>
      </c>
      <c r="Y65" s="36">
        <v>0</v>
      </c>
      <c r="Z65" s="36">
        <v>0</v>
      </c>
      <c r="AA65" s="36">
        <v>0</v>
      </c>
      <c r="AB65" s="36">
        <v>36480.99</v>
      </c>
      <c r="AC65" s="36">
        <v>235950.32</v>
      </c>
      <c r="AD65" s="36">
        <v>25.51</v>
      </c>
      <c r="AE65" s="36">
        <v>219144.33</v>
      </c>
      <c r="AF65" s="71">
        <f t="shared" si="44"/>
        <v>8590.5264602116804</v>
      </c>
      <c r="AG65" s="71">
        <f t="shared" si="45"/>
        <v>9249.3265386123094</v>
      </c>
      <c r="AH65" s="72">
        <f t="shared" si="46"/>
        <v>658.8</v>
      </c>
      <c r="AI65" s="36">
        <v>4.0599999999999996</v>
      </c>
      <c r="AJ65" s="36">
        <v>33909.120000000003</v>
      </c>
      <c r="AK65" s="71">
        <f t="shared" si="47"/>
        <v>8352.0000000000018</v>
      </c>
      <c r="AL65" s="71">
        <f t="shared" si="48"/>
        <v>8985.4655172413804</v>
      </c>
      <c r="AM65" s="72">
        <f t="shared" si="49"/>
        <v>633.47</v>
      </c>
      <c r="AN65" s="70">
        <v>3455.63</v>
      </c>
      <c r="AO65" s="70">
        <v>100</v>
      </c>
      <c r="AP65" s="3">
        <v>0</v>
      </c>
    </row>
    <row r="66" spans="1:42" s="3" customFormat="1" ht="15">
      <c r="A66" s="59" t="s">
        <v>648</v>
      </c>
      <c r="B66" s="59" t="s">
        <v>242</v>
      </c>
      <c r="C66" s="59" t="str">
        <f t="shared" si="51"/>
        <v>32414 DEER PARK SCHOOL DISTRICT</v>
      </c>
      <c r="D66" s="36">
        <v>0</v>
      </c>
      <c r="E66" s="36">
        <v>36205.32</v>
      </c>
      <c r="F66" s="36">
        <v>0</v>
      </c>
      <c r="G66" s="36">
        <v>3164588.14</v>
      </c>
      <c r="H66" s="36">
        <v>558048.49</v>
      </c>
      <c r="I66" s="36">
        <v>401072.33</v>
      </c>
      <c r="J66" s="36">
        <v>798834.28</v>
      </c>
      <c r="K66" s="36">
        <v>40703.24</v>
      </c>
      <c r="L66" s="36">
        <v>78724.800000000003</v>
      </c>
      <c r="M66" s="36">
        <v>1685863.11</v>
      </c>
      <c r="N66" s="50">
        <v>4.7500000000000001E-2</v>
      </c>
      <c r="O66" s="53">
        <v>0.1633</v>
      </c>
      <c r="P66" s="36">
        <v>0</v>
      </c>
      <c r="Q66" s="69">
        <v>0</v>
      </c>
      <c r="R66" s="69">
        <v>0</v>
      </c>
      <c r="S66" s="70">
        <v>0</v>
      </c>
      <c r="T66" s="70">
        <v>0</v>
      </c>
      <c r="U66" s="70">
        <v>0</v>
      </c>
      <c r="V66" s="36">
        <v>0</v>
      </c>
      <c r="W66" s="70">
        <v>0</v>
      </c>
      <c r="X66" s="70">
        <v>0</v>
      </c>
      <c r="Y66" s="36">
        <v>3138.57</v>
      </c>
      <c r="Z66" s="36">
        <v>0</v>
      </c>
      <c r="AA66" s="36">
        <v>41383.25</v>
      </c>
      <c r="AB66" s="36">
        <v>0</v>
      </c>
      <c r="AC66" s="36">
        <v>1034357.16</v>
      </c>
      <c r="AD66" s="36">
        <v>107.66</v>
      </c>
      <c r="AE66" s="36">
        <v>924653.53</v>
      </c>
      <c r="AF66" s="71">
        <f t="shared" si="44"/>
        <v>8588.6450863830578</v>
      </c>
      <c r="AG66" s="71">
        <f t="shared" si="45"/>
        <v>9607.6273453464619</v>
      </c>
      <c r="AH66" s="72">
        <f t="shared" si="46"/>
        <v>1018.98</v>
      </c>
      <c r="AI66" s="36">
        <v>0</v>
      </c>
      <c r="AJ66" s="36">
        <v>0</v>
      </c>
      <c r="AK66" s="71">
        <f t="shared" si="47"/>
        <v>0</v>
      </c>
      <c r="AL66" s="71">
        <f t="shared" si="48"/>
        <v>0</v>
      </c>
      <c r="AM66" s="72">
        <f t="shared" si="49"/>
        <v>0</v>
      </c>
      <c r="AN66" s="70">
        <v>0</v>
      </c>
      <c r="AO66" s="70">
        <v>0</v>
      </c>
      <c r="AP66" s="3">
        <v>0</v>
      </c>
    </row>
    <row r="67" spans="1:42" s="3" customFormat="1" ht="15">
      <c r="A67" s="59" t="s">
        <v>599</v>
      </c>
      <c r="B67" s="59" t="s">
        <v>192</v>
      </c>
      <c r="C67" s="59" t="str">
        <f t="shared" si="51"/>
        <v>27343 DIERINGER SCHOOL DISTRICT</v>
      </c>
      <c r="D67" s="36">
        <v>0</v>
      </c>
      <c r="E67" s="36">
        <v>0</v>
      </c>
      <c r="F67" s="36">
        <v>0</v>
      </c>
      <c r="G67" s="36">
        <v>2122680.35</v>
      </c>
      <c r="H67" s="36">
        <v>361398.85</v>
      </c>
      <c r="I67" s="36">
        <v>0</v>
      </c>
      <c r="J67" s="36">
        <v>179674.98</v>
      </c>
      <c r="K67" s="36">
        <v>161017.25</v>
      </c>
      <c r="L67" s="36">
        <v>48015.57</v>
      </c>
      <c r="M67" s="36">
        <v>1505754.48</v>
      </c>
      <c r="N67" s="50">
        <v>1.4800000000000001E-2</v>
      </c>
      <c r="O67" s="53">
        <v>0.15570000000000001</v>
      </c>
      <c r="P67" s="36">
        <v>0</v>
      </c>
      <c r="Q67" s="69">
        <v>0</v>
      </c>
      <c r="R67" s="69">
        <v>0</v>
      </c>
      <c r="S67" s="70">
        <v>0</v>
      </c>
      <c r="T67" s="70">
        <v>0</v>
      </c>
      <c r="U67" s="70">
        <v>0</v>
      </c>
      <c r="V67" s="36">
        <v>0</v>
      </c>
      <c r="W67" s="70">
        <v>0</v>
      </c>
      <c r="X67" s="70">
        <v>0</v>
      </c>
      <c r="Y67" s="36">
        <v>1629.62</v>
      </c>
      <c r="Z67" s="36">
        <v>3360.38</v>
      </c>
      <c r="AA67" s="36">
        <v>0</v>
      </c>
      <c r="AB67" s="36">
        <v>253924.97</v>
      </c>
      <c r="AC67" s="36">
        <v>0</v>
      </c>
      <c r="AD67" s="36">
        <v>0</v>
      </c>
      <c r="AE67" s="36">
        <v>0</v>
      </c>
      <c r="AF67" s="71">
        <f t="shared" si="44"/>
        <v>0</v>
      </c>
      <c r="AG67" s="71">
        <f t="shared" si="45"/>
        <v>0</v>
      </c>
      <c r="AH67" s="72">
        <f t="shared" si="46"/>
        <v>0</v>
      </c>
      <c r="AI67" s="36">
        <v>25.57</v>
      </c>
      <c r="AJ67" s="36">
        <v>235570.16</v>
      </c>
      <c r="AK67" s="71">
        <f t="shared" si="47"/>
        <v>9212.755572937036</v>
      </c>
      <c r="AL67" s="71">
        <f t="shared" si="48"/>
        <v>9930.5815408682047</v>
      </c>
      <c r="AM67" s="72">
        <f t="shared" si="49"/>
        <v>717.83</v>
      </c>
      <c r="AN67" s="70">
        <v>0</v>
      </c>
      <c r="AO67" s="70">
        <v>0</v>
      </c>
      <c r="AP67" s="3">
        <v>0</v>
      </c>
    </row>
    <row r="68" spans="1:42" s="3" customFormat="1" ht="15">
      <c r="A68" s="59" t="s">
        <v>669</v>
      </c>
      <c r="B68" s="59" t="s">
        <v>265</v>
      </c>
      <c r="C68" s="59" t="str">
        <f t="shared" si="51"/>
        <v>36101 DIXIE SCHOOL DISTRICT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5275.91</v>
      </c>
      <c r="J68" s="36">
        <v>11482.86</v>
      </c>
      <c r="K68" s="36">
        <v>0</v>
      </c>
      <c r="L68" s="36">
        <v>0</v>
      </c>
      <c r="M68" s="36">
        <v>99016.44</v>
      </c>
      <c r="N68" s="50">
        <v>0.1857</v>
      </c>
      <c r="O68" s="53">
        <v>0.47589999999999999</v>
      </c>
      <c r="P68" s="36">
        <v>0</v>
      </c>
      <c r="Q68" s="69">
        <v>0</v>
      </c>
      <c r="R68" s="69">
        <v>0</v>
      </c>
      <c r="S68" s="70">
        <v>0</v>
      </c>
      <c r="T68" s="70">
        <v>0</v>
      </c>
      <c r="U68" s="70">
        <v>0</v>
      </c>
      <c r="V68" s="36">
        <v>0</v>
      </c>
      <c r="W68" s="70">
        <v>0</v>
      </c>
      <c r="X68" s="70">
        <v>0</v>
      </c>
      <c r="Y68" s="36">
        <v>20.3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  <c r="AE68" s="36">
        <v>0</v>
      </c>
      <c r="AF68" s="71">
        <f t="shared" si="44"/>
        <v>0</v>
      </c>
      <c r="AG68" s="71">
        <f t="shared" si="45"/>
        <v>0</v>
      </c>
      <c r="AH68" s="72">
        <f t="shared" si="46"/>
        <v>0</v>
      </c>
      <c r="AI68" s="36">
        <v>0</v>
      </c>
      <c r="AJ68" s="36">
        <v>0</v>
      </c>
      <c r="AK68" s="71">
        <f t="shared" si="47"/>
        <v>0</v>
      </c>
      <c r="AL68" s="71">
        <f t="shared" si="48"/>
        <v>0</v>
      </c>
      <c r="AM68" s="72">
        <f t="shared" si="49"/>
        <v>0</v>
      </c>
      <c r="AN68" s="70">
        <v>0</v>
      </c>
      <c r="AO68" s="70">
        <v>0</v>
      </c>
      <c r="AP68" s="3">
        <v>0</v>
      </c>
    </row>
    <row r="69" spans="1:42" s="3" customFormat="1" ht="15">
      <c r="A69" s="59" t="s">
        <v>646</v>
      </c>
      <c r="B69" s="59" t="s">
        <v>239</v>
      </c>
      <c r="C69" s="59" t="str">
        <f t="shared" si="51"/>
        <v>32361 EAST VALLEY SCHOOL DISTRICT</v>
      </c>
      <c r="D69" s="36">
        <v>0</v>
      </c>
      <c r="E69" s="36">
        <v>71771.47</v>
      </c>
      <c r="F69" s="36">
        <v>0</v>
      </c>
      <c r="G69" s="36">
        <v>5334996.01</v>
      </c>
      <c r="H69" s="36">
        <v>1266256.44</v>
      </c>
      <c r="I69" s="36">
        <v>594652.77</v>
      </c>
      <c r="J69" s="36">
        <v>1306972.69</v>
      </c>
      <c r="K69" s="36">
        <v>251290.62</v>
      </c>
      <c r="L69" s="36">
        <v>106425.07</v>
      </c>
      <c r="M69" s="36">
        <v>2273392.37</v>
      </c>
      <c r="N69" s="50">
        <v>3.4799999999999998E-2</v>
      </c>
      <c r="O69" s="53">
        <v>0.16619999999999999</v>
      </c>
      <c r="P69" s="36">
        <v>0</v>
      </c>
      <c r="Q69" s="69">
        <v>0</v>
      </c>
      <c r="R69" s="69">
        <v>0</v>
      </c>
      <c r="S69" s="70">
        <v>0</v>
      </c>
      <c r="T69" s="70">
        <v>0</v>
      </c>
      <c r="U69" s="70">
        <v>0</v>
      </c>
      <c r="V69" s="36">
        <v>0</v>
      </c>
      <c r="W69" s="70">
        <v>0</v>
      </c>
      <c r="X69" s="70">
        <v>0</v>
      </c>
      <c r="Y69" s="36">
        <v>4145.66</v>
      </c>
      <c r="Z69" s="36">
        <v>0</v>
      </c>
      <c r="AA69" s="36">
        <v>108551.26</v>
      </c>
      <c r="AB69" s="36">
        <v>324954.83</v>
      </c>
      <c r="AC69" s="36">
        <v>1755743.01</v>
      </c>
      <c r="AD69" s="36">
        <v>181.97</v>
      </c>
      <c r="AE69" s="36">
        <v>1594662.73</v>
      </c>
      <c r="AF69" s="71">
        <f t="shared" si="44"/>
        <v>8763.3276364235862</v>
      </c>
      <c r="AG69" s="71">
        <f t="shared" si="45"/>
        <v>9648.5300324229265</v>
      </c>
      <c r="AH69" s="72">
        <f t="shared" si="46"/>
        <v>885.2</v>
      </c>
      <c r="AI69" s="36">
        <v>35.44</v>
      </c>
      <c r="AJ69" s="36">
        <v>301483.67</v>
      </c>
      <c r="AK69" s="71">
        <f t="shared" si="47"/>
        <v>8506.8755643340864</v>
      </c>
      <c r="AL69" s="71">
        <f t="shared" si="48"/>
        <v>9169.1543453724607</v>
      </c>
      <c r="AM69" s="72">
        <f t="shared" si="49"/>
        <v>662.28</v>
      </c>
      <c r="AN69" s="70">
        <v>0</v>
      </c>
      <c r="AO69" s="70">
        <v>0</v>
      </c>
      <c r="AP69" s="3">
        <v>0</v>
      </c>
    </row>
    <row r="70" spans="1:42" s="3" customFormat="1" ht="15">
      <c r="A70" s="59" t="s">
        <v>783</v>
      </c>
      <c r="B70" s="59" t="s">
        <v>295</v>
      </c>
      <c r="C70" s="59" t="str">
        <f t="shared" si="51"/>
        <v>39090 EAST VALLEY (YAKIMA) SCHOOL DISTRICT</v>
      </c>
      <c r="D70" s="36">
        <v>0</v>
      </c>
      <c r="E70" s="36">
        <v>108802.06</v>
      </c>
      <c r="F70" s="36">
        <v>89900.38</v>
      </c>
      <c r="G70" s="36">
        <v>4119030.27</v>
      </c>
      <c r="H70" s="36">
        <v>859735.08</v>
      </c>
      <c r="I70" s="36">
        <v>993422.12</v>
      </c>
      <c r="J70" s="36">
        <v>1265803.71</v>
      </c>
      <c r="K70" s="36">
        <v>653992.19999999995</v>
      </c>
      <c r="L70" s="36">
        <v>100035.32</v>
      </c>
      <c r="M70" s="36">
        <v>2027625.8</v>
      </c>
      <c r="N70" s="50">
        <v>4.7399999999999998E-2</v>
      </c>
      <c r="O70" s="53">
        <v>0.1595</v>
      </c>
      <c r="P70" s="36">
        <v>0</v>
      </c>
      <c r="Q70" s="69">
        <v>0</v>
      </c>
      <c r="R70" s="69">
        <v>0</v>
      </c>
      <c r="S70" s="70">
        <v>0</v>
      </c>
      <c r="T70" s="70">
        <v>0</v>
      </c>
      <c r="U70" s="70">
        <v>0</v>
      </c>
      <c r="V70" s="36">
        <v>0</v>
      </c>
      <c r="W70" s="70">
        <v>0</v>
      </c>
      <c r="X70" s="70">
        <v>0</v>
      </c>
      <c r="Y70" s="36">
        <v>3757.71</v>
      </c>
      <c r="Z70" s="36">
        <v>20474.240000000002</v>
      </c>
      <c r="AA70" s="36">
        <v>87558.84</v>
      </c>
      <c r="AB70" s="36">
        <v>216454.88</v>
      </c>
      <c r="AC70" s="36">
        <v>1606249.58</v>
      </c>
      <c r="AD70" s="36">
        <v>173.07</v>
      </c>
      <c r="AE70" s="36">
        <v>1486565.44</v>
      </c>
      <c r="AF70" s="71">
        <f t="shared" si="44"/>
        <v>8589.3883399780443</v>
      </c>
      <c r="AG70" s="71">
        <f t="shared" si="45"/>
        <v>9280.9243658635241</v>
      </c>
      <c r="AH70" s="72">
        <f t="shared" si="46"/>
        <v>691.54</v>
      </c>
      <c r="AI70" s="36">
        <v>24.12</v>
      </c>
      <c r="AJ70" s="36">
        <v>201096.94</v>
      </c>
      <c r="AK70" s="71">
        <f t="shared" si="47"/>
        <v>8337.3524046434486</v>
      </c>
      <c r="AL70" s="71">
        <f t="shared" si="48"/>
        <v>8974.0829187396357</v>
      </c>
      <c r="AM70" s="72">
        <f t="shared" si="49"/>
        <v>636.73</v>
      </c>
      <c r="AN70" s="70">
        <v>0</v>
      </c>
      <c r="AO70" s="70">
        <v>0</v>
      </c>
      <c r="AP70" s="3">
        <v>0</v>
      </c>
    </row>
    <row r="71" spans="1:42" s="3" customFormat="1" ht="15">
      <c r="A71" s="59" t="s">
        <v>465</v>
      </c>
      <c r="B71" s="59" t="s">
        <v>57</v>
      </c>
      <c r="C71" s="59" t="str">
        <f t="shared" si="51"/>
        <v>09206 EASTMONT SCHOOL DISTRICT</v>
      </c>
      <c r="D71" s="36">
        <v>0</v>
      </c>
      <c r="E71" s="36">
        <v>213728.46</v>
      </c>
      <c r="F71" s="36">
        <v>134672.03</v>
      </c>
      <c r="G71" s="36">
        <v>6937541.3300000001</v>
      </c>
      <c r="H71" s="36">
        <v>1196374.1000000001</v>
      </c>
      <c r="I71" s="36">
        <v>1580599.46</v>
      </c>
      <c r="J71" s="36">
        <v>2220846.21</v>
      </c>
      <c r="K71" s="36">
        <v>1768509.4</v>
      </c>
      <c r="L71" s="36">
        <v>175035.96</v>
      </c>
      <c r="M71" s="36">
        <v>2114970.4700000002</v>
      </c>
      <c r="N71" s="50">
        <v>4.4600000000000001E-2</v>
      </c>
      <c r="O71" s="53">
        <v>0.13739999999999999</v>
      </c>
      <c r="P71" s="36">
        <v>0</v>
      </c>
      <c r="Q71" s="69">
        <v>0</v>
      </c>
      <c r="R71" s="69">
        <v>0</v>
      </c>
      <c r="S71" s="70">
        <v>150087.77000000002</v>
      </c>
      <c r="T71" s="70">
        <v>14224.135000000002</v>
      </c>
      <c r="U71" s="70">
        <v>5526.23</v>
      </c>
      <c r="V71" s="36">
        <v>0</v>
      </c>
      <c r="W71" s="70">
        <v>0</v>
      </c>
      <c r="X71" s="70">
        <v>0</v>
      </c>
      <c r="Y71" s="36">
        <v>6841.01</v>
      </c>
      <c r="Z71" s="36">
        <v>11415.18</v>
      </c>
      <c r="AA71" s="36">
        <v>57733.98</v>
      </c>
      <c r="AB71" s="36">
        <v>1232283.55</v>
      </c>
      <c r="AC71" s="36">
        <v>3344166.48</v>
      </c>
      <c r="AD71" s="36">
        <v>364.81</v>
      </c>
      <c r="AE71" s="36">
        <v>3133799.54</v>
      </c>
      <c r="AF71" s="71">
        <f t="shared" ref="AF71:AF134" si="52">IFERROR(AE71/AD71,0)</f>
        <v>8590.2237877251173</v>
      </c>
      <c r="AG71" s="71">
        <f t="shared" ref="AG71:AG134" si="53">IFERROR(AC71/AD71,0)</f>
        <v>9166.8717414544553</v>
      </c>
      <c r="AH71" s="72">
        <f t="shared" ref="AH71:AH134" si="54">ROUND(AG71-AF71,2)</f>
        <v>576.65</v>
      </c>
      <c r="AI71" s="36">
        <v>137.28</v>
      </c>
      <c r="AJ71" s="36">
        <v>1144234.42</v>
      </c>
      <c r="AK71" s="71">
        <f t="shared" ref="AK71:AK134" si="55">IFERROR(AJ71/AI71,0)</f>
        <v>8335.0409382284379</v>
      </c>
      <c r="AL71" s="71">
        <f t="shared" ref="AL71:AL134" si="56">IFERROR(AB71/AI71,0)</f>
        <v>8976.4244609557118</v>
      </c>
      <c r="AM71" s="72">
        <f t="shared" ref="AM71:AM134" si="57">ROUND(AL71-AK71,2)</f>
        <v>641.38</v>
      </c>
      <c r="AN71" s="70">
        <v>0</v>
      </c>
      <c r="AO71" s="70">
        <v>0</v>
      </c>
      <c r="AP71" s="3">
        <v>0</v>
      </c>
    </row>
    <row r="72" spans="1:42" s="3" customFormat="1" ht="15">
      <c r="A72" s="59" t="s">
        <v>534</v>
      </c>
      <c r="B72" s="59" t="s">
        <v>126</v>
      </c>
      <c r="C72" s="59" t="str">
        <f t="shared" si="51"/>
        <v>19028 EASTON SCHOOL DISTRICT</v>
      </c>
      <c r="D72" s="36">
        <v>0</v>
      </c>
      <c r="E72" s="36">
        <v>3248.26</v>
      </c>
      <c r="F72" s="36">
        <v>277.7</v>
      </c>
      <c r="G72" s="36">
        <v>141228.37</v>
      </c>
      <c r="H72" s="36">
        <v>13698.55</v>
      </c>
      <c r="I72" s="36">
        <v>12310.43</v>
      </c>
      <c r="J72" s="36">
        <v>42517.62</v>
      </c>
      <c r="K72" s="36">
        <v>10860.96</v>
      </c>
      <c r="L72" s="36">
        <v>2482.77</v>
      </c>
      <c r="M72" s="36">
        <v>118648.46</v>
      </c>
      <c r="N72" s="50">
        <v>0.4042</v>
      </c>
      <c r="O72" s="53">
        <v>0.42270000000000002</v>
      </c>
      <c r="P72" s="36">
        <v>0</v>
      </c>
      <c r="Q72" s="69">
        <v>0</v>
      </c>
      <c r="R72" s="69">
        <v>0</v>
      </c>
      <c r="S72" s="70">
        <v>0</v>
      </c>
      <c r="T72" s="70">
        <v>0</v>
      </c>
      <c r="U72" s="70">
        <v>0</v>
      </c>
      <c r="V72" s="36">
        <v>0</v>
      </c>
      <c r="W72" s="70">
        <v>0</v>
      </c>
      <c r="X72" s="70">
        <v>0</v>
      </c>
      <c r="Y72" s="36">
        <v>104.88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  <c r="AE72" s="36">
        <v>0</v>
      </c>
      <c r="AF72" s="71">
        <f t="shared" si="52"/>
        <v>0</v>
      </c>
      <c r="AG72" s="71">
        <f t="shared" si="53"/>
        <v>0</v>
      </c>
      <c r="AH72" s="72">
        <f t="shared" si="54"/>
        <v>0</v>
      </c>
      <c r="AI72" s="36">
        <v>0</v>
      </c>
      <c r="AJ72" s="36">
        <v>0</v>
      </c>
      <c r="AK72" s="71">
        <f t="shared" si="55"/>
        <v>0</v>
      </c>
      <c r="AL72" s="71">
        <f t="shared" si="56"/>
        <v>0</v>
      </c>
      <c r="AM72" s="72">
        <f t="shared" si="57"/>
        <v>0</v>
      </c>
      <c r="AN72" s="70">
        <v>6000</v>
      </c>
      <c r="AO72" s="70">
        <v>2500</v>
      </c>
      <c r="AP72" s="3">
        <v>0</v>
      </c>
    </row>
    <row r="73" spans="1:42" s="3" customFormat="1" ht="15">
      <c r="A73" s="59" t="s">
        <v>605</v>
      </c>
      <c r="B73" s="59" t="s">
        <v>198</v>
      </c>
      <c r="C73" s="59" t="str">
        <f t="shared" si="51"/>
        <v>27404 EATONVILLE SCHOOL DISTRICT</v>
      </c>
      <c r="D73" s="36">
        <v>0</v>
      </c>
      <c r="E73" s="36">
        <v>45181.23</v>
      </c>
      <c r="F73" s="36">
        <v>0</v>
      </c>
      <c r="G73" s="36">
        <v>2244472.7200000002</v>
      </c>
      <c r="H73" s="36">
        <v>397498.41</v>
      </c>
      <c r="I73" s="36">
        <v>44586.59</v>
      </c>
      <c r="J73" s="36">
        <v>475348.81</v>
      </c>
      <c r="K73" s="36">
        <v>22330.94</v>
      </c>
      <c r="L73" s="36">
        <v>58241.85</v>
      </c>
      <c r="M73" s="36">
        <v>1274869.3999999999</v>
      </c>
      <c r="N73" s="50">
        <v>3.2199999999999999E-2</v>
      </c>
      <c r="O73" s="53">
        <v>0.18970000000000001</v>
      </c>
      <c r="P73" s="36">
        <v>0</v>
      </c>
      <c r="Q73" s="69">
        <v>0</v>
      </c>
      <c r="R73" s="69">
        <v>0</v>
      </c>
      <c r="S73" s="70">
        <v>0</v>
      </c>
      <c r="T73" s="70">
        <v>0</v>
      </c>
      <c r="U73" s="70">
        <v>0</v>
      </c>
      <c r="V73" s="36">
        <v>0</v>
      </c>
      <c r="W73" s="70">
        <v>0</v>
      </c>
      <c r="X73" s="70">
        <v>0</v>
      </c>
      <c r="Y73" s="36">
        <v>602.23</v>
      </c>
      <c r="Z73" s="36">
        <v>0</v>
      </c>
      <c r="AA73" s="36">
        <v>0</v>
      </c>
      <c r="AB73" s="36">
        <v>664999.34</v>
      </c>
      <c r="AC73" s="36">
        <v>1140963.3899999999</v>
      </c>
      <c r="AD73" s="36">
        <v>124.97</v>
      </c>
      <c r="AE73" s="36">
        <v>1073571.75</v>
      </c>
      <c r="AF73" s="71">
        <f t="shared" si="52"/>
        <v>8590.6357525806197</v>
      </c>
      <c r="AG73" s="71">
        <f t="shared" si="53"/>
        <v>9129.8982955909414</v>
      </c>
      <c r="AH73" s="72">
        <f t="shared" si="54"/>
        <v>539.26</v>
      </c>
      <c r="AI73" s="36">
        <v>74.069999999999993</v>
      </c>
      <c r="AJ73" s="36">
        <v>617389.85</v>
      </c>
      <c r="AK73" s="71">
        <f t="shared" si="55"/>
        <v>8335.2214121776706</v>
      </c>
      <c r="AL73" s="71">
        <f t="shared" si="56"/>
        <v>8977.9848791683544</v>
      </c>
      <c r="AM73" s="72">
        <f t="shared" si="57"/>
        <v>642.76</v>
      </c>
      <c r="AN73" s="70">
        <v>7000</v>
      </c>
      <c r="AO73" s="70">
        <v>0</v>
      </c>
      <c r="AP73" s="3">
        <v>0</v>
      </c>
    </row>
    <row r="74" spans="1:42" s="3" customFormat="1" ht="15">
      <c r="A74" s="59" t="s">
        <v>626</v>
      </c>
      <c r="B74" s="59" t="s">
        <v>219</v>
      </c>
      <c r="C74" s="59" t="str">
        <f t="shared" si="51"/>
        <v>31015 EDMONDS SCHOOL DISTRICT</v>
      </c>
      <c r="D74" s="36">
        <v>0</v>
      </c>
      <c r="E74" s="36">
        <v>492591.43</v>
      </c>
      <c r="F74" s="36">
        <v>49818.73</v>
      </c>
      <c r="G74" s="36">
        <v>33985060.18</v>
      </c>
      <c r="H74" s="36">
        <v>8402856.6799999997</v>
      </c>
      <c r="I74" s="36">
        <v>622889.62</v>
      </c>
      <c r="J74" s="36">
        <v>5277249.3</v>
      </c>
      <c r="K74" s="36">
        <v>6668308.1900000004</v>
      </c>
      <c r="L74" s="36">
        <v>684351.9</v>
      </c>
      <c r="M74" s="36">
        <v>15974498.68</v>
      </c>
      <c r="N74" s="50">
        <v>4.2299999999999997E-2</v>
      </c>
      <c r="O74" s="53">
        <v>0.1197</v>
      </c>
      <c r="P74" s="36">
        <v>0</v>
      </c>
      <c r="Q74" s="69">
        <v>0</v>
      </c>
      <c r="R74" s="69">
        <v>0</v>
      </c>
      <c r="S74" s="70">
        <v>0</v>
      </c>
      <c r="T74" s="70">
        <v>0</v>
      </c>
      <c r="U74" s="70">
        <v>0</v>
      </c>
      <c r="V74" s="36">
        <v>0</v>
      </c>
      <c r="W74" s="70">
        <v>0</v>
      </c>
      <c r="X74" s="70">
        <v>0</v>
      </c>
      <c r="Y74" s="36">
        <v>22219.200000000001</v>
      </c>
      <c r="Z74" s="36">
        <v>50534.54</v>
      </c>
      <c r="AA74" s="36">
        <v>432970.17</v>
      </c>
      <c r="AB74" s="36">
        <v>1131101.56</v>
      </c>
      <c r="AC74" s="36">
        <v>9595798.2799999993</v>
      </c>
      <c r="AD74" s="36">
        <v>896.31</v>
      </c>
      <c r="AE74" s="36">
        <v>8663953.7699999996</v>
      </c>
      <c r="AF74" s="71">
        <f t="shared" si="52"/>
        <v>9666.2469123405972</v>
      </c>
      <c r="AG74" s="71">
        <f t="shared" si="53"/>
        <v>10705.892247102007</v>
      </c>
      <c r="AH74" s="72">
        <f t="shared" si="54"/>
        <v>1039.6500000000001</v>
      </c>
      <c r="AI74" s="36">
        <v>111.75</v>
      </c>
      <c r="AJ74" s="36">
        <v>1050747.96</v>
      </c>
      <c r="AK74" s="71">
        <f t="shared" si="55"/>
        <v>9402.6663087248326</v>
      </c>
      <c r="AL74" s="71">
        <f t="shared" si="56"/>
        <v>10121.71418344519</v>
      </c>
      <c r="AM74" s="72">
        <f t="shared" si="57"/>
        <v>719.05</v>
      </c>
      <c r="AN74" s="70">
        <v>0</v>
      </c>
      <c r="AO74" s="70">
        <v>0</v>
      </c>
      <c r="AP74" s="3">
        <v>0</v>
      </c>
    </row>
    <row r="75" spans="1:42" s="3" customFormat="1" ht="15">
      <c r="A75" s="59" t="s">
        <v>536</v>
      </c>
      <c r="B75" s="59" t="s">
        <v>128</v>
      </c>
      <c r="C75" s="59" t="str">
        <f t="shared" si="51"/>
        <v>19401 ELLENSBURG SCHOOL DISTRICT</v>
      </c>
      <c r="D75" s="36">
        <v>0</v>
      </c>
      <c r="E75" s="36">
        <v>57259.42</v>
      </c>
      <c r="F75" s="36">
        <v>14205.61</v>
      </c>
      <c r="G75" s="36">
        <v>4222518.45</v>
      </c>
      <c r="H75" s="36">
        <v>766843.18</v>
      </c>
      <c r="I75" s="36">
        <v>173484.22</v>
      </c>
      <c r="J75" s="36">
        <v>870214.2</v>
      </c>
      <c r="K75" s="36">
        <v>386731.38</v>
      </c>
      <c r="L75" s="36">
        <v>95380.12</v>
      </c>
      <c r="M75" s="36">
        <v>2007246.05</v>
      </c>
      <c r="N75" s="50">
        <v>4.9500000000000002E-2</v>
      </c>
      <c r="O75" s="53">
        <v>0.16139999999999999</v>
      </c>
      <c r="P75" s="36">
        <v>0</v>
      </c>
      <c r="Q75" s="69">
        <v>0</v>
      </c>
      <c r="R75" s="69">
        <v>0</v>
      </c>
      <c r="S75" s="70">
        <v>0</v>
      </c>
      <c r="T75" s="70">
        <v>0</v>
      </c>
      <c r="U75" s="70">
        <v>0</v>
      </c>
      <c r="V75" s="36">
        <v>0</v>
      </c>
      <c r="W75" s="70">
        <v>0</v>
      </c>
      <c r="X75" s="70">
        <v>0</v>
      </c>
      <c r="Y75" s="36">
        <v>3348.33</v>
      </c>
      <c r="Z75" s="36">
        <v>23504.92</v>
      </c>
      <c r="AA75" s="36">
        <v>166594.10999999999</v>
      </c>
      <c r="AB75" s="36">
        <v>276305.18</v>
      </c>
      <c r="AC75" s="36">
        <v>1840717.33</v>
      </c>
      <c r="AD75" s="36">
        <v>204.8</v>
      </c>
      <c r="AE75" s="36">
        <v>1759363.38</v>
      </c>
      <c r="AF75" s="71">
        <f t="shared" si="52"/>
        <v>8590.6415039062485</v>
      </c>
      <c r="AG75" s="71">
        <f t="shared" si="53"/>
        <v>8987.8775878906254</v>
      </c>
      <c r="AH75" s="72">
        <f t="shared" si="54"/>
        <v>397.24</v>
      </c>
      <c r="AI75" s="36">
        <v>30.78</v>
      </c>
      <c r="AJ75" s="36">
        <v>256517.76000000001</v>
      </c>
      <c r="AK75" s="71">
        <f t="shared" si="55"/>
        <v>8333.9103313840151</v>
      </c>
      <c r="AL75" s="71">
        <f t="shared" si="56"/>
        <v>8976.7764782326176</v>
      </c>
      <c r="AM75" s="72">
        <f t="shared" si="57"/>
        <v>642.87</v>
      </c>
      <c r="AN75" s="70">
        <v>0</v>
      </c>
      <c r="AO75" s="70">
        <v>0</v>
      </c>
      <c r="AP75" s="3">
        <v>0</v>
      </c>
    </row>
    <row r="76" spans="1:42" s="3" customFormat="1" ht="15">
      <c r="A76" s="59" t="s">
        <v>493</v>
      </c>
      <c r="B76" s="59" t="s">
        <v>85</v>
      </c>
      <c r="C76" s="59" t="str">
        <f t="shared" si="51"/>
        <v>14068 ELMA SCHOOL DISTRICT</v>
      </c>
      <c r="D76" s="36">
        <v>0</v>
      </c>
      <c r="E76" s="36">
        <v>68804.09</v>
      </c>
      <c r="F76" s="36">
        <v>44168.28</v>
      </c>
      <c r="G76" s="36">
        <v>2360544.12</v>
      </c>
      <c r="H76" s="36">
        <v>550675.06999999995</v>
      </c>
      <c r="I76" s="36">
        <v>492510.39</v>
      </c>
      <c r="J76" s="36">
        <v>829344.68</v>
      </c>
      <c r="K76" s="36">
        <v>214311.4</v>
      </c>
      <c r="L76" s="36">
        <v>52141.86</v>
      </c>
      <c r="M76" s="36">
        <v>950654.68</v>
      </c>
      <c r="N76" s="50">
        <v>6.3799999999999996E-2</v>
      </c>
      <c r="O76" s="53">
        <v>0.1585</v>
      </c>
      <c r="P76" s="36">
        <v>0</v>
      </c>
      <c r="Q76" s="69">
        <v>0</v>
      </c>
      <c r="R76" s="69">
        <v>0</v>
      </c>
      <c r="S76" s="70">
        <v>0</v>
      </c>
      <c r="T76" s="70">
        <v>0</v>
      </c>
      <c r="U76" s="70">
        <v>0</v>
      </c>
      <c r="V76" s="36">
        <v>0</v>
      </c>
      <c r="W76" s="70">
        <v>0</v>
      </c>
      <c r="X76" s="70">
        <v>0</v>
      </c>
      <c r="Y76" s="36">
        <v>0</v>
      </c>
      <c r="Z76" s="36">
        <v>0</v>
      </c>
      <c r="AA76" s="36">
        <v>172089.67</v>
      </c>
      <c r="AB76" s="36">
        <v>727967.36</v>
      </c>
      <c r="AC76" s="36">
        <v>2474393.9700000002</v>
      </c>
      <c r="AD76" s="36">
        <v>265.58</v>
      </c>
      <c r="AE76" s="36">
        <v>2327319.9500000002</v>
      </c>
      <c r="AF76" s="71">
        <f t="shared" si="52"/>
        <v>8763.1596882295362</v>
      </c>
      <c r="AG76" s="71">
        <f t="shared" si="53"/>
        <v>9316.9439340311783</v>
      </c>
      <c r="AH76" s="72">
        <f t="shared" si="54"/>
        <v>553.78</v>
      </c>
      <c r="AI76" s="36">
        <v>79.400000000000006</v>
      </c>
      <c r="AJ76" s="36">
        <v>675592.76</v>
      </c>
      <c r="AK76" s="71">
        <f t="shared" si="55"/>
        <v>8508.7249370277077</v>
      </c>
      <c r="AL76" s="71">
        <f t="shared" si="56"/>
        <v>9168.3546599496221</v>
      </c>
      <c r="AM76" s="72">
        <f t="shared" si="57"/>
        <v>659.63</v>
      </c>
      <c r="AN76" s="70">
        <v>2290.17</v>
      </c>
      <c r="AO76" s="70">
        <v>0</v>
      </c>
      <c r="AP76" s="3">
        <v>0</v>
      </c>
    </row>
    <row r="77" spans="1:42" s="3" customFormat="1" ht="15">
      <c r="A77" s="59" t="s">
        <v>692</v>
      </c>
      <c r="B77" s="59" t="s">
        <v>288</v>
      </c>
      <c r="C77" s="59" t="str">
        <f t="shared" si="51"/>
        <v>38308 ENDICOTT SCHOOL DISTRICT</v>
      </c>
      <c r="D77" s="36">
        <v>0</v>
      </c>
      <c r="E77" s="36">
        <v>0</v>
      </c>
      <c r="F77" s="36">
        <v>2289.33</v>
      </c>
      <c r="G77" s="36">
        <v>98271.46</v>
      </c>
      <c r="H77" s="36">
        <v>29013.88</v>
      </c>
      <c r="I77" s="36">
        <v>22551.919999999998</v>
      </c>
      <c r="J77" s="36">
        <v>27620.93</v>
      </c>
      <c r="K77" s="36">
        <v>0</v>
      </c>
      <c r="L77" s="36">
        <v>2068.98</v>
      </c>
      <c r="M77" s="36">
        <v>199020.15</v>
      </c>
      <c r="N77" s="50">
        <v>2.8400000000000002E-2</v>
      </c>
      <c r="O77" s="53">
        <v>0.26600000000000001</v>
      </c>
      <c r="P77" s="36">
        <v>0</v>
      </c>
      <c r="Q77" s="69">
        <v>0</v>
      </c>
      <c r="R77" s="69">
        <v>0</v>
      </c>
      <c r="S77" s="70">
        <v>0</v>
      </c>
      <c r="T77" s="70">
        <v>0</v>
      </c>
      <c r="U77" s="70">
        <v>0</v>
      </c>
      <c r="V77" s="36">
        <v>0</v>
      </c>
      <c r="W77" s="70">
        <v>0</v>
      </c>
      <c r="X77" s="70">
        <v>0</v>
      </c>
      <c r="Y77" s="36">
        <v>96.99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71">
        <f t="shared" si="52"/>
        <v>0</v>
      </c>
      <c r="AG77" s="71">
        <f t="shared" si="53"/>
        <v>0</v>
      </c>
      <c r="AH77" s="72">
        <f t="shared" si="54"/>
        <v>0</v>
      </c>
      <c r="AI77" s="36">
        <v>0</v>
      </c>
      <c r="AJ77" s="36">
        <v>0</v>
      </c>
      <c r="AK77" s="71">
        <f t="shared" si="55"/>
        <v>0</v>
      </c>
      <c r="AL77" s="71">
        <f t="shared" si="56"/>
        <v>0</v>
      </c>
      <c r="AM77" s="72">
        <f t="shared" si="57"/>
        <v>0</v>
      </c>
      <c r="AN77" s="70">
        <v>0</v>
      </c>
      <c r="AO77" s="70">
        <v>0</v>
      </c>
      <c r="AP77" s="3">
        <v>0</v>
      </c>
    </row>
    <row r="78" spans="1:42" s="3" customFormat="1" ht="15">
      <c r="A78" s="59" t="s">
        <v>435</v>
      </c>
      <c r="B78" s="59" t="s">
        <v>27</v>
      </c>
      <c r="C78" s="59" t="str">
        <f t="shared" si="51"/>
        <v>04127 ENTIAT SCHOOL DISTRICT</v>
      </c>
      <c r="D78" s="36">
        <v>0</v>
      </c>
      <c r="E78" s="36">
        <v>0</v>
      </c>
      <c r="F78" s="36">
        <v>0</v>
      </c>
      <c r="G78" s="36">
        <v>265762.32</v>
      </c>
      <c r="H78" s="36">
        <v>26485.919999999998</v>
      </c>
      <c r="I78" s="36">
        <v>97324.33</v>
      </c>
      <c r="J78" s="36">
        <v>137474.63</v>
      </c>
      <c r="K78" s="36">
        <v>121548.19</v>
      </c>
      <c r="L78" s="36">
        <v>10278.48</v>
      </c>
      <c r="M78" s="36">
        <v>295013.78000000003</v>
      </c>
      <c r="N78" s="50">
        <v>7.8100000000000003E-2</v>
      </c>
      <c r="O78" s="53">
        <v>0.22539999999999999</v>
      </c>
      <c r="P78" s="36">
        <v>0</v>
      </c>
      <c r="Q78" s="69">
        <v>0</v>
      </c>
      <c r="R78" s="69">
        <v>0</v>
      </c>
      <c r="S78" s="70">
        <v>0</v>
      </c>
      <c r="T78" s="70">
        <v>0</v>
      </c>
      <c r="U78" s="70">
        <v>0</v>
      </c>
      <c r="V78" s="36">
        <v>0</v>
      </c>
      <c r="W78" s="70">
        <v>0</v>
      </c>
      <c r="X78" s="70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6599.44</v>
      </c>
      <c r="AD78" s="36">
        <v>0</v>
      </c>
      <c r="AE78" s="36">
        <v>0</v>
      </c>
      <c r="AF78" s="71">
        <f t="shared" si="52"/>
        <v>0</v>
      </c>
      <c r="AG78" s="71">
        <f t="shared" si="53"/>
        <v>0</v>
      </c>
      <c r="AH78" s="72">
        <f t="shared" si="54"/>
        <v>0</v>
      </c>
      <c r="AI78" s="36">
        <v>0</v>
      </c>
      <c r="AJ78" s="36">
        <v>0</v>
      </c>
      <c r="AK78" s="71">
        <f t="shared" si="55"/>
        <v>0</v>
      </c>
      <c r="AL78" s="71">
        <f t="shared" si="56"/>
        <v>0</v>
      </c>
      <c r="AM78" s="72">
        <f t="shared" si="57"/>
        <v>0</v>
      </c>
      <c r="AN78" s="70">
        <v>1925.64</v>
      </c>
      <c r="AO78" s="70">
        <v>0</v>
      </c>
      <c r="AP78" s="3">
        <v>0</v>
      </c>
    </row>
    <row r="79" spans="1:42" s="3" customFormat="1" ht="15">
      <c r="A79" s="59" t="s">
        <v>511</v>
      </c>
      <c r="B79" s="59" t="s">
        <v>103</v>
      </c>
      <c r="C79" s="59" t="str">
        <f t="shared" si="51"/>
        <v>17216 ENUMCLAW SCHOOL DISTRICT</v>
      </c>
      <c r="D79" s="36">
        <v>0</v>
      </c>
      <c r="E79" s="36">
        <v>0</v>
      </c>
      <c r="F79" s="36">
        <v>0</v>
      </c>
      <c r="G79" s="36">
        <v>7529499.1100000003</v>
      </c>
      <c r="H79" s="36">
        <v>1424548.62</v>
      </c>
      <c r="I79" s="36">
        <v>0</v>
      </c>
      <c r="J79" s="36">
        <v>904863.53</v>
      </c>
      <c r="K79" s="36">
        <v>584454.41</v>
      </c>
      <c r="L79" s="36">
        <v>144400.65</v>
      </c>
      <c r="M79" s="36">
        <v>2818218.96</v>
      </c>
      <c r="N79" s="50">
        <v>4.2000000000000003E-2</v>
      </c>
      <c r="O79" s="53">
        <v>0.1673</v>
      </c>
      <c r="P79" s="36">
        <v>0</v>
      </c>
      <c r="Q79" s="69">
        <v>0</v>
      </c>
      <c r="R79" s="69">
        <v>0</v>
      </c>
      <c r="S79" s="70">
        <v>0</v>
      </c>
      <c r="T79" s="70">
        <v>0</v>
      </c>
      <c r="U79" s="70">
        <v>0</v>
      </c>
      <c r="V79" s="36">
        <v>0</v>
      </c>
      <c r="W79" s="70">
        <v>0</v>
      </c>
      <c r="X79" s="70">
        <v>0</v>
      </c>
      <c r="Y79" s="36">
        <v>5010.6499999999996</v>
      </c>
      <c r="Z79" s="36">
        <v>0</v>
      </c>
      <c r="AA79" s="36">
        <v>387078.53</v>
      </c>
      <c r="AB79" s="36">
        <v>501539.62</v>
      </c>
      <c r="AC79" s="36">
        <v>4134859.59</v>
      </c>
      <c r="AD79" s="36">
        <v>408.52</v>
      </c>
      <c r="AE79" s="36">
        <v>3872979.26</v>
      </c>
      <c r="AF79" s="71">
        <f t="shared" si="52"/>
        <v>9480.5132184470767</v>
      </c>
      <c r="AG79" s="71">
        <f t="shared" si="53"/>
        <v>10121.559752276511</v>
      </c>
      <c r="AH79" s="72">
        <f t="shared" si="54"/>
        <v>641.04999999999995</v>
      </c>
      <c r="AI79" s="36">
        <v>50.5</v>
      </c>
      <c r="AJ79" s="36">
        <v>465477.68</v>
      </c>
      <c r="AK79" s="71">
        <f t="shared" si="55"/>
        <v>9217.379801980198</v>
      </c>
      <c r="AL79" s="71">
        <f t="shared" si="56"/>
        <v>9931.4776237623755</v>
      </c>
      <c r="AM79" s="72">
        <f t="shared" si="57"/>
        <v>714.1</v>
      </c>
      <c r="AN79" s="70">
        <v>5000</v>
      </c>
      <c r="AO79" s="70">
        <v>0</v>
      </c>
      <c r="AP79" s="3">
        <v>0</v>
      </c>
    </row>
    <row r="80" spans="1:42" s="3" customFormat="1" ht="15">
      <c r="A80" s="59" t="s">
        <v>485</v>
      </c>
      <c r="B80" s="59" t="s">
        <v>77</v>
      </c>
      <c r="C80" s="59" t="str">
        <f t="shared" si="51"/>
        <v>13165 EPHRATA SCHOOL DISTRICT</v>
      </c>
      <c r="D80" s="36">
        <v>298019.15000000002</v>
      </c>
      <c r="E80" s="36">
        <v>83481.39</v>
      </c>
      <c r="F80" s="36">
        <v>33403.54</v>
      </c>
      <c r="G80" s="36">
        <v>3203149.74</v>
      </c>
      <c r="H80" s="36">
        <v>591157.22</v>
      </c>
      <c r="I80" s="36">
        <v>550969.24</v>
      </c>
      <c r="J80" s="36">
        <v>987804.55</v>
      </c>
      <c r="K80" s="36">
        <v>626440.63</v>
      </c>
      <c r="L80" s="36">
        <v>82227.83</v>
      </c>
      <c r="M80" s="36">
        <v>1830363.65</v>
      </c>
      <c r="N80" s="50">
        <v>5.1999999999999998E-2</v>
      </c>
      <c r="O80" s="53">
        <v>0.14380000000000001</v>
      </c>
      <c r="P80" s="36">
        <v>0</v>
      </c>
      <c r="Q80" s="69">
        <v>0</v>
      </c>
      <c r="R80" s="69">
        <v>0</v>
      </c>
      <c r="S80" s="70">
        <v>0</v>
      </c>
      <c r="T80" s="70">
        <v>0</v>
      </c>
      <c r="U80" s="70">
        <v>0</v>
      </c>
      <c r="V80" s="36">
        <v>0</v>
      </c>
      <c r="W80" s="70">
        <v>0</v>
      </c>
      <c r="X80" s="70">
        <v>0</v>
      </c>
      <c r="Y80" s="36">
        <v>0</v>
      </c>
      <c r="Z80" s="36">
        <v>35729.160000000003</v>
      </c>
      <c r="AA80" s="36">
        <v>137263.79</v>
      </c>
      <c r="AB80" s="36">
        <v>407452.15999999997</v>
      </c>
      <c r="AC80" s="36">
        <v>1993333.12</v>
      </c>
      <c r="AD80" s="36">
        <v>213.36</v>
      </c>
      <c r="AE80" s="36">
        <v>1869750.94</v>
      </c>
      <c r="AF80" s="71">
        <f t="shared" si="52"/>
        <v>8763.3621109861251</v>
      </c>
      <c r="AG80" s="71">
        <f t="shared" si="53"/>
        <v>9342.5811773528312</v>
      </c>
      <c r="AH80" s="72">
        <f t="shared" si="54"/>
        <v>579.22</v>
      </c>
      <c r="AI80" s="36">
        <v>44.43</v>
      </c>
      <c r="AJ80" s="36">
        <v>378058.23999999999</v>
      </c>
      <c r="AK80" s="71">
        <f t="shared" si="55"/>
        <v>8509.0758496511371</v>
      </c>
      <c r="AL80" s="71">
        <f t="shared" si="56"/>
        <v>9170.6540625703346</v>
      </c>
      <c r="AM80" s="72">
        <f t="shared" si="57"/>
        <v>661.58</v>
      </c>
      <c r="AN80" s="70">
        <v>3177.82</v>
      </c>
      <c r="AO80" s="70">
        <v>0</v>
      </c>
      <c r="AP80" s="3">
        <v>0</v>
      </c>
    </row>
    <row r="81" spans="1:42" s="3" customFormat="1" ht="15">
      <c r="A81" s="59" t="s">
        <v>719</v>
      </c>
      <c r="B81" s="61" t="s">
        <v>720</v>
      </c>
      <c r="C81" s="62" t="str">
        <f>CONCATENATE(B81," ",A81)</f>
        <v>06701 ESA 112</v>
      </c>
      <c r="D81" s="36">
        <v>0</v>
      </c>
      <c r="E81" s="36">
        <v>0</v>
      </c>
      <c r="F81" s="36">
        <v>0</v>
      </c>
      <c r="G81" s="36">
        <v>18583241.940000001</v>
      </c>
      <c r="H81" s="36">
        <v>2936675.43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50">
        <v>0</v>
      </c>
      <c r="O81" s="53">
        <v>0</v>
      </c>
      <c r="P81" s="36">
        <v>0</v>
      </c>
      <c r="Q81" s="69">
        <v>0</v>
      </c>
      <c r="R81" s="69">
        <v>0</v>
      </c>
      <c r="S81" s="70">
        <v>0</v>
      </c>
      <c r="T81" s="70">
        <v>0</v>
      </c>
      <c r="U81" s="70">
        <v>0</v>
      </c>
      <c r="V81" s="36">
        <v>0</v>
      </c>
      <c r="W81" s="70">
        <v>0</v>
      </c>
      <c r="X81" s="70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71">
        <f t="shared" si="52"/>
        <v>0</v>
      </c>
      <c r="AG81" s="71">
        <f t="shared" si="53"/>
        <v>0</v>
      </c>
      <c r="AH81" s="72">
        <f t="shared" si="54"/>
        <v>0</v>
      </c>
      <c r="AI81" s="36">
        <v>0</v>
      </c>
      <c r="AJ81" s="36">
        <v>0</v>
      </c>
      <c r="AK81" s="71">
        <f t="shared" si="55"/>
        <v>0</v>
      </c>
      <c r="AL81" s="71">
        <f t="shared" si="56"/>
        <v>0</v>
      </c>
      <c r="AM81" s="72">
        <f t="shared" si="57"/>
        <v>0</v>
      </c>
      <c r="AN81" s="70">
        <v>0</v>
      </c>
      <c r="AO81" s="70">
        <v>0</v>
      </c>
      <c r="AP81" s="3">
        <v>0</v>
      </c>
    </row>
    <row r="82" spans="1:42" s="3" customFormat="1" ht="15">
      <c r="A82" s="59" t="s">
        <v>712</v>
      </c>
      <c r="B82" s="59" t="s">
        <v>349</v>
      </c>
      <c r="C82" s="62" t="str">
        <f>CONCATENATE(B82," ",A82)</f>
        <v>32801 ESD 101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50">
        <v>0</v>
      </c>
      <c r="O82" s="53">
        <v>0</v>
      </c>
      <c r="P82" s="36">
        <v>0</v>
      </c>
      <c r="Q82" s="69">
        <v>0</v>
      </c>
      <c r="R82" s="69">
        <v>0</v>
      </c>
      <c r="S82" s="70">
        <v>926717.21</v>
      </c>
      <c r="T82" s="70">
        <v>75934.559999999939</v>
      </c>
      <c r="U82" s="70">
        <v>29273.05</v>
      </c>
      <c r="V82" s="36">
        <v>0</v>
      </c>
      <c r="W82" s="70">
        <v>0</v>
      </c>
      <c r="X82" s="70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71">
        <f t="shared" si="52"/>
        <v>0</v>
      </c>
      <c r="AG82" s="71">
        <f t="shared" si="53"/>
        <v>0</v>
      </c>
      <c r="AH82" s="72">
        <f t="shared" si="54"/>
        <v>0</v>
      </c>
      <c r="AI82" s="36">
        <v>0</v>
      </c>
      <c r="AJ82" s="36">
        <v>0</v>
      </c>
      <c r="AK82" s="71">
        <f t="shared" si="55"/>
        <v>0</v>
      </c>
      <c r="AL82" s="71">
        <f t="shared" si="56"/>
        <v>0</v>
      </c>
      <c r="AM82" s="72">
        <f t="shared" si="57"/>
        <v>0</v>
      </c>
      <c r="AN82" s="70">
        <v>0</v>
      </c>
      <c r="AO82" s="70">
        <v>0</v>
      </c>
      <c r="AP82" s="3">
        <v>0</v>
      </c>
    </row>
    <row r="83" spans="1:42" s="3" customFormat="1" ht="15">
      <c r="A83" s="59" t="s">
        <v>709</v>
      </c>
      <c r="B83" s="61" t="s">
        <v>351</v>
      </c>
      <c r="C83" s="62" t="str">
        <f>CONCATENATE(B83," ",A83)</f>
        <v>39801 ESD 105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1875887.5</v>
      </c>
      <c r="N83" s="50">
        <v>0</v>
      </c>
      <c r="O83" s="53">
        <v>0</v>
      </c>
      <c r="P83" s="36">
        <v>0</v>
      </c>
      <c r="Q83" s="69">
        <v>0</v>
      </c>
      <c r="R83" s="69">
        <v>0</v>
      </c>
      <c r="S83" s="70">
        <v>0</v>
      </c>
      <c r="T83" s="70">
        <v>0</v>
      </c>
      <c r="U83" s="70">
        <v>0</v>
      </c>
      <c r="V83" s="36">
        <v>0</v>
      </c>
      <c r="W83" s="70">
        <v>0</v>
      </c>
      <c r="X83" s="70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71">
        <f t="shared" si="52"/>
        <v>0</v>
      </c>
      <c r="AG83" s="71">
        <f t="shared" si="53"/>
        <v>0</v>
      </c>
      <c r="AH83" s="72">
        <f t="shared" si="54"/>
        <v>0</v>
      </c>
      <c r="AI83" s="36">
        <v>0</v>
      </c>
      <c r="AJ83" s="36">
        <v>0</v>
      </c>
      <c r="AK83" s="71">
        <f t="shared" si="55"/>
        <v>0</v>
      </c>
      <c r="AL83" s="71">
        <f t="shared" si="56"/>
        <v>0</v>
      </c>
      <c r="AM83" s="72">
        <f t="shared" si="57"/>
        <v>0</v>
      </c>
      <c r="AN83" s="70">
        <v>0</v>
      </c>
      <c r="AO83" s="70">
        <v>0</v>
      </c>
      <c r="AP83" s="3">
        <v>0</v>
      </c>
    </row>
    <row r="84" spans="1:42" s="3" customFormat="1" ht="15">
      <c r="A84" s="59" t="s">
        <v>710</v>
      </c>
      <c r="B84" s="61" t="s">
        <v>344</v>
      </c>
      <c r="C84" s="62" t="str">
        <f>CONCATENATE(B84," ",A84)</f>
        <v>06801 ESD 112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4908158.9800000004</v>
      </c>
      <c r="N84" s="50">
        <v>0</v>
      </c>
      <c r="O84" s="53">
        <v>0</v>
      </c>
      <c r="P84" s="36">
        <v>0</v>
      </c>
      <c r="Q84" s="69">
        <v>0</v>
      </c>
      <c r="R84" s="69">
        <v>0</v>
      </c>
      <c r="S84" s="70">
        <v>589941.65</v>
      </c>
      <c r="T84" s="70">
        <v>0</v>
      </c>
      <c r="U84" s="70">
        <v>18635.02</v>
      </c>
      <c r="V84" s="36">
        <v>0</v>
      </c>
      <c r="W84" s="70">
        <v>0</v>
      </c>
      <c r="X84" s="70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0</v>
      </c>
      <c r="AF84" s="71">
        <f t="shared" si="52"/>
        <v>0</v>
      </c>
      <c r="AG84" s="71">
        <f t="shared" si="53"/>
        <v>0</v>
      </c>
      <c r="AH84" s="72">
        <f t="shared" si="54"/>
        <v>0</v>
      </c>
      <c r="AI84" s="36">
        <v>0</v>
      </c>
      <c r="AJ84" s="36">
        <v>0</v>
      </c>
      <c r="AK84" s="71">
        <f t="shared" si="55"/>
        <v>0</v>
      </c>
      <c r="AL84" s="71">
        <f t="shared" si="56"/>
        <v>0</v>
      </c>
      <c r="AM84" s="72">
        <f t="shared" si="57"/>
        <v>0</v>
      </c>
      <c r="AN84" s="70">
        <v>0</v>
      </c>
      <c r="AO84" s="70">
        <v>0</v>
      </c>
      <c r="AP84" s="3">
        <v>0</v>
      </c>
    </row>
    <row r="85" spans="1:42" s="3" customFormat="1" ht="15">
      <c r="A85" s="59" t="s">
        <v>713</v>
      </c>
      <c r="B85" s="59" t="s">
        <v>350</v>
      </c>
      <c r="C85" s="62" t="str">
        <f>CONCATENATE(B85," CAPITAL REGION ",A85)</f>
        <v>34801 CAPITAL REGION ESD 113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627492.81000000006</v>
      </c>
      <c r="N85" s="50">
        <v>0</v>
      </c>
      <c r="O85" s="53">
        <v>0</v>
      </c>
      <c r="P85" s="36">
        <v>0</v>
      </c>
      <c r="Q85" s="69">
        <v>0</v>
      </c>
      <c r="R85" s="69">
        <v>0</v>
      </c>
      <c r="S85" s="70">
        <v>0</v>
      </c>
      <c r="T85" s="70">
        <v>0</v>
      </c>
      <c r="U85" s="70">
        <v>0</v>
      </c>
      <c r="V85" s="36">
        <v>0</v>
      </c>
      <c r="W85" s="70">
        <v>0</v>
      </c>
      <c r="X85" s="70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71">
        <f t="shared" si="52"/>
        <v>0</v>
      </c>
      <c r="AG85" s="71">
        <f t="shared" si="53"/>
        <v>0</v>
      </c>
      <c r="AH85" s="72">
        <f t="shared" si="54"/>
        <v>0</v>
      </c>
      <c r="AI85" s="36">
        <v>0</v>
      </c>
      <c r="AJ85" s="36">
        <v>0</v>
      </c>
      <c r="AK85" s="71">
        <f t="shared" si="55"/>
        <v>0</v>
      </c>
      <c r="AL85" s="71">
        <f t="shared" si="56"/>
        <v>0</v>
      </c>
      <c r="AM85" s="72">
        <f t="shared" si="57"/>
        <v>0</v>
      </c>
      <c r="AN85" s="70">
        <v>0</v>
      </c>
      <c r="AO85" s="70">
        <v>0</v>
      </c>
      <c r="AP85" s="3">
        <v>0</v>
      </c>
    </row>
    <row r="86" spans="1:42" s="3" customFormat="1" ht="15">
      <c r="A86" s="59" t="s">
        <v>803</v>
      </c>
      <c r="B86" s="61" t="s">
        <v>347</v>
      </c>
      <c r="C86" s="62" t="str">
        <f>CONCATENATE(B86," OLYMPIC ",A86)</f>
        <v>18801 OLYMPIC ESD 114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50">
        <v>0</v>
      </c>
      <c r="O86" s="53">
        <v>0</v>
      </c>
      <c r="P86" s="36">
        <v>0</v>
      </c>
      <c r="Q86" s="69">
        <v>0</v>
      </c>
      <c r="R86" s="69">
        <v>0</v>
      </c>
      <c r="S86" s="70">
        <v>310847.33</v>
      </c>
      <c r="T86" s="70">
        <v>0</v>
      </c>
      <c r="U86" s="70">
        <v>11107.55</v>
      </c>
      <c r="V86" s="36">
        <v>0</v>
      </c>
      <c r="W86" s="70">
        <v>0</v>
      </c>
      <c r="X86" s="70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71">
        <f t="shared" si="52"/>
        <v>0</v>
      </c>
      <c r="AG86" s="71">
        <f t="shared" si="53"/>
        <v>0</v>
      </c>
      <c r="AH86" s="72">
        <f t="shared" si="54"/>
        <v>0</v>
      </c>
      <c r="AI86" s="36">
        <v>0</v>
      </c>
      <c r="AJ86" s="36">
        <v>0</v>
      </c>
      <c r="AK86" s="71">
        <f t="shared" si="55"/>
        <v>0</v>
      </c>
      <c r="AL86" s="71">
        <f t="shared" si="56"/>
        <v>0</v>
      </c>
      <c r="AM86" s="72">
        <f t="shared" si="57"/>
        <v>0</v>
      </c>
      <c r="AN86" s="70">
        <v>0</v>
      </c>
      <c r="AO86" s="70">
        <v>0</v>
      </c>
      <c r="AP86" s="3">
        <v>0</v>
      </c>
    </row>
    <row r="87" spans="1:42" s="3" customFormat="1" ht="15">
      <c r="A87" s="59" t="s">
        <v>804</v>
      </c>
      <c r="B87" s="61" t="s">
        <v>346</v>
      </c>
      <c r="C87" s="62" t="str">
        <f>CONCATENATE(B87," PUGET SOUND ",A87)</f>
        <v>17801 PUGET SOUND ESD 121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1865561.17</v>
      </c>
      <c r="N87" s="50">
        <v>0</v>
      </c>
      <c r="O87" s="53">
        <v>0</v>
      </c>
      <c r="P87" s="36">
        <v>0</v>
      </c>
      <c r="Q87" s="69">
        <v>0</v>
      </c>
      <c r="R87" s="69">
        <v>0</v>
      </c>
      <c r="S87" s="70">
        <v>0</v>
      </c>
      <c r="T87" s="70">
        <v>0</v>
      </c>
      <c r="U87" s="70">
        <v>0</v>
      </c>
      <c r="V87" s="36">
        <v>0</v>
      </c>
      <c r="W87" s="70">
        <v>0</v>
      </c>
      <c r="X87" s="70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  <c r="AE87" s="36">
        <v>0</v>
      </c>
      <c r="AF87" s="71">
        <f t="shared" si="52"/>
        <v>0</v>
      </c>
      <c r="AG87" s="71">
        <f t="shared" si="53"/>
        <v>0</v>
      </c>
      <c r="AH87" s="72">
        <f t="shared" si="54"/>
        <v>0</v>
      </c>
      <c r="AI87" s="36">
        <v>0</v>
      </c>
      <c r="AJ87" s="36">
        <v>0</v>
      </c>
      <c r="AK87" s="71">
        <f t="shared" si="55"/>
        <v>0</v>
      </c>
      <c r="AL87" s="71">
        <f t="shared" si="56"/>
        <v>0</v>
      </c>
      <c r="AM87" s="72">
        <f t="shared" si="57"/>
        <v>0</v>
      </c>
      <c r="AN87" s="70">
        <v>0</v>
      </c>
      <c r="AO87" s="70">
        <v>0</v>
      </c>
      <c r="AP87" s="3">
        <v>0</v>
      </c>
    </row>
    <row r="88" spans="1:42" s="3" customFormat="1" ht="15">
      <c r="A88" s="59" t="s">
        <v>711</v>
      </c>
      <c r="B88" s="61" t="s">
        <v>345</v>
      </c>
      <c r="C88" s="62" t="str">
        <f>CONCATENATE(B88," ",A88)</f>
        <v>11801 ESD 123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50">
        <v>0</v>
      </c>
      <c r="O88" s="53">
        <v>0</v>
      </c>
      <c r="P88" s="36">
        <v>0</v>
      </c>
      <c r="Q88" s="69">
        <v>0</v>
      </c>
      <c r="R88" s="69">
        <v>0</v>
      </c>
      <c r="S88" s="70">
        <v>0</v>
      </c>
      <c r="T88" s="70">
        <v>0</v>
      </c>
      <c r="U88" s="70">
        <v>0</v>
      </c>
      <c r="V88" s="36">
        <v>0</v>
      </c>
      <c r="W88" s="70">
        <v>0</v>
      </c>
      <c r="X88" s="70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71">
        <f t="shared" si="52"/>
        <v>0</v>
      </c>
      <c r="AG88" s="71">
        <f t="shared" si="53"/>
        <v>0</v>
      </c>
      <c r="AH88" s="72">
        <f t="shared" si="54"/>
        <v>0</v>
      </c>
      <c r="AI88" s="36">
        <v>0</v>
      </c>
      <c r="AJ88" s="36">
        <v>0</v>
      </c>
      <c r="AK88" s="71">
        <f t="shared" si="55"/>
        <v>0</v>
      </c>
      <c r="AL88" s="71">
        <f t="shared" si="56"/>
        <v>0</v>
      </c>
      <c r="AM88" s="72">
        <f t="shared" si="57"/>
        <v>0</v>
      </c>
      <c r="AN88" s="70">
        <v>0</v>
      </c>
      <c r="AO88" s="70">
        <v>0</v>
      </c>
      <c r="AP88" s="3">
        <v>0</v>
      </c>
    </row>
    <row r="89" spans="1:42" s="3" customFormat="1" ht="15">
      <c r="A89" s="59" t="s">
        <v>801</v>
      </c>
      <c r="B89" s="61" t="s">
        <v>343</v>
      </c>
      <c r="C89" s="62" t="str">
        <f>CONCATENATE(B89," ",A89)</f>
        <v>04801 ESD 171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50">
        <v>0</v>
      </c>
      <c r="O89" s="53">
        <v>0</v>
      </c>
      <c r="P89" s="36">
        <v>0</v>
      </c>
      <c r="Q89" s="69">
        <v>0</v>
      </c>
      <c r="R89" s="69">
        <v>0</v>
      </c>
      <c r="S89" s="70">
        <v>0</v>
      </c>
      <c r="T89" s="70">
        <v>0</v>
      </c>
      <c r="U89" s="70">
        <v>0</v>
      </c>
      <c r="V89" s="36">
        <v>0</v>
      </c>
      <c r="W89" s="70">
        <v>0</v>
      </c>
      <c r="X89" s="70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71">
        <f t="shared" si="52"/>
        <v>0</v>
      </c>
      <c r="AG89" s="71">
        <f t="shared" si="53"/>
        <v>0</v>
      </c>
      <c r="AH89" s="72">
        <f t="shared" si="54"/>
        <v>0</v>
      </c>
      <c r="AI89" s="36">
        <v>0</v>
      </c>
      <c r="AJ89" s="36">
        <v>0</v>
      </c>
      <c r="AK89" s="71">
        <f t="shared" si="55"/>
        <v>0</v>
      </c>
      <c r="AL89" s="71">
        <f t="shared" si="56"/>
        <v>0</v>
      </c>
      <c r="AM89" s="72">
        <f t="shared" si="57"/>
        <v>0</v>
      </c>
      <c r="AN89" s="70">
        <v>0</v>
      </c>
      <c r="AO89" s="70">
        <v>0</v>
      </c>
      <c r="AP89" s="3">
        <v>0</v>
      </c>
    </row>
    <row r="90" spans="1:42" s="3" customFormat="1" ht="15">
      <c r="A90" s="59" t="s">
        <v>802</v>
      </c>
      <c r="B90" s="59" t="s">
        <v>348</v>
      </c>
      <c r="C90" s="62" t="str">
        <f>CONCATENATE(B90," NORTHWEST ",A90)</f>
        <v>29801 NORTHWEST ESD 189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50">
        <v>0</v>
      </c>
      <c r="O90" s="53">
        <v>0</v>
      </c>
      <c r="P90" s="36">
        <v>0</v>
      </c>
      <c r="Q90" s="69">
        <v>0</v>
      </c>
      <c r="R90" s="69">
        <v>0</v>
      </c>
      <c r="S90" s="70">
        <v>625015.9</v>
      </c>
      <c r="T90" s="70">
        <v>0</v>
      </c>
      <c r="U90" s="70">
        <v>21100.61</v>
      </c>
      <c r="V90" s="36">
        <v>0</v>
      </c>
      <c r="W90" s="70">
        <v>0</v>
      </c>
      <c r="X90" s="70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71">
        <f t="shared" si="52"/>
        <v>0</v>
      </c>
      <c r="AG90" s="71">
        <f t="shared" si="53"/>
        <v>0</v>
      </c>
      <c r="AH90" s="72">
        <f t="shared" si="54"/>
        <v>0</v>
      </c>
      <c r="AI90" s="36">
        <v>0</v>
      </c>
      <c r="AJ90" s="36">
        <v>0</v>
      </c>
      <c r="AK90" s="71">
        <f t="shared" si="55"/>
        <v>0</v>
      </c>
      <c r="AL90" s="71">
        <f t="shared" si="56"/>
        <v>0</v>
      </c>
      <c r="AM90" s="72">
        <f t="shared" si="57"/>
        <v>0</v>
      </c>
      <c r="AN90" s="70">
        <v>0</v>
      </c>
      <c r="AO90" s="70">
        <v>0</v>
      </c>
      <c r="AP90" s="3">
        <v>0</v>
      </c>
    </row>
    <row r="91" spans="1:42" s="3" customFormat="1" ht="15">
      <c r="A91" s="59" t="s">
        <v>550</v>
      </c>
      <c r="B91" s="59" t="s">
        <v>142</v>
      </c>
      <c r="C91" s="59" t="str">
        <f t="shared" ref="C91:C117" si="58">CONCATENATE(B91," ",A91," SCHOOL DISTRICT")</f>
        <v>21036 EVALINE SCHOOL DISTRICT</v>
      </c>
      <c r="D91" s="36">
        <v>0</v>
      </c>
      <c r="E91" s="36">
        <v>0</v>
      </c>
      <c r="F91" s="36">
        <v>0</v>
      </c>
      <c r="G91" s="36">
        <v>47525.33</v>
      </c>
      <c r="H91" s="36">
        <v>4175.3599999999997</v>
      </c>
      <c r="I91" s="36">
        <v>13758.73</v>
      </c>
      <c r="J91" s="36">
        <v>17896.71</v>
      </c>
      <c r="K91" s="36">
        <v>4973.7</v>
      </c>
      <c r="L91" s="36">
        <v>1655.18</v>
      </c>
      <c r="M91" s="36">
        <v>35786.74</v>
      </c>
      <c r="N91" s="50">
        <v>0.17269999999999999</v>
      </c>
      <c r="O91" s="53">
        <v>0.4425</v>
      </c>
      <c r="P91" s="36">
        <v>0</v>
      </c>
      <c r="Q91" s="69">
        <v>0</v>
      </c>
      <c r="R91" s="69">
        <v>0</v>
      </c>
      <c r="S91" s="70">
        <v>0</v>
      </c>
      <c r="T91" s="70">
        <v>0</v>
      </c>
      <c r="U91" s="70">
        <v>0</v>
      </c>
      <c r="V91" s="36">
        <v>0</v>
      </c>
      <c r="W91" s="70">
        <v>0</v>
      </c>
      <c r="X91" s="70">
        <v>0</v>
      </c>
      <c r="Y91" s="36">
        <v>59.77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71">
        <f t="shared" si="52"/>
        <v>0</v>
      </c>
      <c r="AG91" s="71">
        <f t="shared" si="53"/>
        <v>0</v>
      </c>
      <c r="AH91" s="72">
        <f t="shared" si="54"/>
        <v>0</v>
      </c>
      <c r="AI91" s="36">
        <v>0</v>
      </c>
      <c r="AJ91" s="36">
        <v>0</v>
      </c>
      <c r="AK91" s="71">
        <f t="shared" si="55"/>
        <v>0</v>
      </c>
      <c r="AL91" s="71">
        <f t="shared" si="56"/>
        <v>0</v>
      </c>
      <c r="AM91" s="72">
        <f t="shared" si="57"/>
        <v>0</v>
      </c>
      <c r="AN91" s="70">
        <v>0</v>
      </c>
      <c r="AO91" s="70">
        <v>0</v>
      </c>
      <c r="AP91" s="3">
        <v>0</v>
      </c>
    </row>
    <row r="92" spans="1:42" s="3" customFormat="1" ht="15">
      <c r="A92" s="59" t="s">
        <v>623</v>
      </c>
      <c r="B92" s="59" t="s">
        <v>216</v>
      </c>
      <c r="C92" s="59" t="str">
        <f t="shared" si="58"/>
        <v>31002 EVERETT SCHOOL DISTRICT</v>
      </c>
      <c r="D92" s="36">
        <v>0</v>
      </c>
      <c r="E92" s="36">
        <v>447847.95</v>
      </c>
      <c r="F92" s="36">
        <v>127354.68</v>
      </c>
      <c r="G92" s="36">
        <v>32896065.719999999</v>
      </c>
      <c r="H92" s="36">
        <v>7577700.8799999999</v>
      </c>
      <c r="I92" s="36">
        <v>2663125.7000000002</v>
      </c>
      <c r="J92" s="36">
        <v>5821064.6600000001</v>
      </c>
      <c r="K92" s="36">
        <v>6507725.2300000004</v>
      </c>
      <c r="L92" s="36">
        <v>681476.46</v>
      </c>
      <c r="M92" s="36">
        <v>14727797.58</v>
      </c>
      <c r="N92" s="50">
        <v>3.7100000000000001E-2</v>
      </c>
      <c r="O92" s="53">
        <v>0.1174</v>
      </c>
      <c r="P92" s="36">
        <v>0</v>
      </c>
      <c r="Q92" s="69">
        <v>0</v>
      </c>
      <c r="R92" s="69">
        <v>0</v>
      </c>
      <c r="S92" s="70">
        <v>0</v>
      </c>
      <c r="T92" s="70">
        <v>0</v>
      </c>
      <c r="U92" s="70">
        <v>0</v>
      </c>
      <c r="V92" s="36">
        <v>0</v>
      </c>
      <c r="W92" s="70">
        <v>0</v>
      </c>
      <c r="X92" s="70">
        <v>0</v>
      </c>
      <c r="Y92" s="36">
        <v>10390.08</v>
      </c>
      <c r="Z92" s="36">
        <v>135545.5</v>
      </c>
      <c r="AA92" s="36">
        <v>561524.31999999995</v>
      </c>
      <c r="AB92" s="36">
        <v>4219184.26</v>
      </c>
      <c r="AC92" s="36">
        <v>13184047.02</v>
      </c>
      <c r="AD92" s="36">
        <v>1285.8399999999999</v>
      </c>
      <c r="AE92" s="36">
        <v>12429292.34</v>
      </c>
      <c r="AF92" s="71">
        <f t="shared" si="52"/>
        <v>9666.2822279599332</v>
      </c>
      <c r="AG92" s="71">
        <f t="shared" si="53"/>
        <v>10253.256252721956</v>
      </c>
      <c r="AH92" s="72">
        <f t="shared" si="54"/>
        <v>586.97</v>
      </c>
      <c r="AI92" s="36">
        <v>416.86</v>
      </c>
      <c r="AJ92" s="36">
        <v>3919647.9</v>
      </c>
      <c r="AK92" s="71">
        <f t="shared" si="55"/>
        <v>9402.7920644820806</v>
      </c>
      <c r="AL92" s="71">
        <f t="shared" si="56"/>
        <v>10121.345919493355</v>
      </c>
      <c r="AM92" s="72">
        <f t="shared" si="57"/>
        <v>718.55</v>
      </c>
      <c r="AN92" s="70">
        <v>20000</v>
      </c>
      <c r="AO92" s="70">
        <v>0</v>
      </c>
      <c r="AP92" s="3">
        <v>0</v>
      </c>
    </row>
    <row r="93" spans="1:42" s="3" customFormat="1" ht="15">
      <c r="A93" s="59" t="s">
        <v>450</v>
      </c>
      <c r="B93" s="59" t="s">
        <v>42</v>
      </c>
      <c r="C93" s="59" t="str">
        <f t="shared" si="58"/>
        <v>06114 EVERGREEN (CLARK) SCHOOL DISTRICT</v>
      </c>
      <c r="D93" s="36">
        <v>0</v>
      </c>
      <c r="E93" s="36">
        <v>479434.81</v>
      </c>
      <c r="F93" s="36">
        <v>374980.45</v>
      </c>
      <c r="G93" s="36">
        <v>33502371.57</v>
      </c>
      <c r="H93" s="36">
        <v>5922454.1299999999</v>
      </c>
      <c r="I93" s="36">
        <v>4051830.04</v>
      </c>
      <c r="J93" s="36">
        <v>8646321.7100000009</v>
      </c>
      <c r="K93" s="36">
        <v>6142252.2400000002</v>
      </c>
      <c r="L93" s="36">
        <v>716796.91</v>
      </c>
      <c r="M93" s="36">
        <v>16978735.82</v>
      </c>
      <c r="N93" s="50">
        <v>3.9E-2</v>
      </c>
      <c r="O93" s="53">
        <v>0.11890000000000001</v>
      </c>
      <c r="P93" s="36">
        <v>0</v>
      </c>
      <c r="Q93" s="69">
        <v>0</v>
      </c>
      <c r="R93" s="69">
        <v>0</v>
      </c>
      <c r="S93" s="70">
        <v>0</v>
      </c>
      <c r="T93" s="70">
        <v>0</v>
      </c>
      <c r="U93" s="70">
        <v>0</v>
      </c>
      <c r="V93" s="36">
        <v>0</v>
      </c>
      <c r="W93" s="70">
        <v>0</v>
      </c>
      <c r="X93" s="70">
        <v>0</v>
      </c>
      <c r="Y93" s="36">
        <v>8860.84</v>
      </c>
      <c r="Z93" s="36">
        <v>94721.7</v>
      </c>
      <c r="AA93" s="36">
        <v>987139.46</v>
      </c>
      <c r="AB93" s="36">
        <v>2078585.72</v>
      </c>
      <c r="AC93" s="36">
        <v>20000474.02</v>
      </c>
      <c r="AD93" s="36">
        <v>2126.4699999999998</v>
      </c>
      <c r="AE93" s="36">
        <v>19029374.579999998</v>
      </c>
      <c r="AF93" s="71">
        <f t="shared" si="52"/>
        <v>8948.8093318974643</v>
      </c>
      <c r="AG93" s="71">
        <f t="shared" si="53"/>
        <v>9405.4813940474123</v>
      </c>
      <c r="AH93" s="72">
        <f t="shared" si="54"/>
        <v>456.67</v>
      </c>
      <c r="AI93" s="36">
        <v>222.12</v>
      </c>
      <c r="AJ93" s="36">
        <v>1930548.06</v>
      </c>
      <c r="AK93" s="71">
        <f t="shared" si="55"/>
        <v>8691.4643435980561</v>
      </c>
      <c r="AL93" s="71">
        <f t="shared" si="56"/>
        <v>9357.9403925805873</v>
      </c>
      <c r="AM93" s="72">
        <f t="shared" si="57"/>
        <v>666.48</v>
      </c>
      <c r="AN93" s="70">
        <v>0</v>
      </c>
      <c r="AO93" s="70">
        <v>496.52</v>
      </c>
      <c r="AP93" s="3">
        <v>0</v>
      </c>
    </row>
    <row r="94" spans="1:42" s="3" customFormat="1" ht="15">
      <c r="A94" s="59" t="s">
        <v>784</v>
      </c>
      <c r="B94" s="59" t="s">
        <v>251</v>
      </c>
      <c r="C94" s="59" t="str">
        <f t="shared" si="58"/>
        <v>33205 EVERGREEN (STEVENS) SCHOOL DISTRICT</v>
      </c>
      <c r="D94" s="36">
        <v>0</v>
      </c>
      <c r="E94" s="36">
        <v>0</v>
      </c>
      <c r="F94" s="36">
        <v>0</v>
      </c>
      <c r="G94" s="36">
        <v>30020.76</v>
      </c>
      <c r="H94" s="36">
        <v>1902.11</v>
      </c>
      <c r="I94" s="36">
        <v>8172.48</v>
      </c>
      <c r="J94" s="36">
        <v>14896.68</v>
      </c>
      <c r="K94" s="36">
        <v>0</v>
      </c>
      <c r="L94" s="36">
        <v>931.04</v>
      </c>
      <c r="M94" s="36">
        <v>0</v>
      </c>
      <c r="N94" s="50">
        <v>7.5700000000000003E-2</v>
      </c>
      <c r="O94" s="53">
        <v>0.25569999999999998</v>
      </c>
      <c r="P94" s="36">
        <v>0</v>
      </c>
      <c r="Q94" s="69">
        <v>0</v>
      </c>
      <c r="R94" s="69">
        <v>0</v>
      </c>
      <c r="S94" s="70">
        <v>0</v>
      </c>
      <c r="T94" s="70">
        <v>0</v>
      </c>
      <c r="U94" s="70">
        <v>0</v>
      </c>
      <c r="V94" s="36">
        <v>0</v>
      </c>
      <c r="W94" s="70">
        <v>0</v>
      </c>
      <c r="X94" s="70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71">
        <f t="shared" si="52"/>
        <v>0</v>
      </c>
      <c r="AG94" s="71">
        <f t="shared" si="53"/>
        <v>0</v>
      </c>
      <c r="AH94" s="72">
        <f t="shared" si="54"/>
        <v>0</v>
      </c>
      <c r="AI94" s="36">
        <v>0</v>
      </c>
      <c r="AJ94" s="36">
        <v>0</v>
      </c>
      <c r="AK94" s="71">
        <f t="shared" si="55"/>
        <v>0</v>
      </c>
      <c r="AL94" s="71">
        <f t="shared" si="56"/>
        <v>0</v>
      </c>
      <c r="AM94" s="72">
        <f t="shared" si="57"/>
        <v>0</v>
      </c>
      <c r="AN94" s="70">
        <v>0</v>
      </c>
      <c r="AO94" s="70">
        <v>0</v>
      </c>
      <c r="AP94" s="3">
        <v>0</v>
      </c>
    </row>
    <row r="95" spans="1:42" s="3" customFormat="1" ht="15">
      <c r="A95" s="59" t="s">
        <v>510</v>
      </c>
      <c r="B95" s="59" t="s">
        <v>102</v>
      </c>
      <c r="C95" s="59" t="str">
        <f t="shared" si="58"/>
        <v>17210 FEDERAL WAY SCHOOL DISTRICT</v>
      </c>
      <c r="D95" s="36">
        <v>0</v>
      </c>
      <c r="E95" s="36">
        <v>662549.06000000006</v>
      </c>
      <c r="F95" s="36">
        <v>545955.09</v>
      </c>
      <c r="G95" s="36">
        <v>32617639.850000001</v>
      </c>
      <c r="H95" s="36">
        <v>7042078.6100000003</v>
      </c>
      <c r="I95" s="36">
        <v>6223256.3099999996</v>
      </c>
      <c r="J95" s="36">
        <v>9809233.3800000008</v>
      </c>
      <c r="K95" s="36">
        <v>10025956.810000001</v>
      </c>
      <c r="L95" s="36">
        <v>681905.15</v>
      </c>
      <c r="M95" s="36">
        <v>11502067.15</v>
      </c>
      <c r="N95" s="50">
        <v>3.7100000000000001E-2</v>
      </c>
      <c r="O95" s="53">
        <v>0.13350000000000001</v>
      </c>
      <c r="P95" s="36">
        <v>0</v>
      </c>
      <c r="Q95" s="69">
        <v>0</v>
      </c>
      <c r="R95" s="69">
        <v>0</v>
      </c>
      <c r="S95" s="70">
        <v>0</v>
      </c>
      <c r="T95" s="70">
        <v>0</v>
      </c>
      <c r="U95" s="70">
        <v>0</v>
      </c>
      <c r="V95" s="36">
        <v>0</v>
      </c>
      <c r="W95" s="70">
        <v>0</v>
      </c>
      <c r="X95" s="70">
        <v>0</v>
      </c>
      <c r="Y95" s="36">
        <v>21951.919999999998</v>
      </c>
      <c r="Z95" s="36">
        <v>14012.42</v>
      </c>
      <c r="AA95" s="36">
        <v>496780.22</v>
      </c>
      <c r="AB95" s="36">
        <v>1227799.71</v>
      </c>
      <c r="AC95" s="36">
        <v>12198941.52</v>
      </c>
      <c r="AD95" s="36">
        <v>1195.6099999999999</v>
      </c>
      <c r="AE95" s="36">
        <v>11128203.49</v>
      </c>
      <c r="AF95" s="71">
        <f t="shared" si="52"/>
        <v>9307.5530398708615</v>
      </c>
      <c r="AG95" s="71">
        <f t="shared" si="53"/>
        <v>10203.110981005513</v>
      </c>
      <c r="AH95" s="72">
        <f t="shared" si="54"/>
        <v>895.56</v>
      </c>
      <c r="AI95" s="36">
        <v>126.06</v>
      </c>
      <c r="AJ95" s="36">
        <v>1140435.31</v>
      </c>
      <c r="AK95" s="71">
        <f t="shared" si="55"/>
        <v>9046.7659051245446</v>
      </c>
      <c r="AL95" s="71">
        <f t="shared" si="56"/>
        <v>9739.8041408852914</v>
      </c>
      <c r="AM95" s="72">
        <f t="shared" si="57"/>
        <v>693.04</v>
      </c>
      <c r="AN95" s="70">
        <v>0</v>
      </c>
      <c r="AO95" s="70">
        <v>0</v>
      </c>
      <c r="AP95" s="3">
        <v>0</v>
      </c>
    </row>
    <row r="96" spans="1:42" s="3" customFormat="1" ht="15">
      <c r="A96" s="59" t="s">
        <v>677</v>
      </c>
      <c r="B96" s="59" t="s">
        <v>273</v>
      </c>
      <c r="C96" s="59" t="str">
        <f t="shared" si="58"/>
        <v>37502 FERNDALE SCHOOL DISTRICT</v>
      </c>
      <c r="D96" s="36">
        <v>0</v>
      </c>
      <c r="E96" s="36">
        <v>0</v>
      </c>
      <c r="F96" s="36">
        <v>754.17</v>
      </c>
      <c r="G96" s="36">
        <v>7219460.5499999998</v>
      </c>
      <c r="H96" s="36">
        <v>1526850.99</v>
      </c>
      <c r="I96" s="36">
        <v>515839.11</v>
      </c>
      <c r="J96" s="36">
        <v>1518270.45</v>
      </c>
      <c r="K96" s="36">
        <v>747327.92</v>
      </c>
      <c r="L96" s="36">
        <v>147015.82</v>
      </c>
      <c r="M96" s="36">
        <v>3237201.71</v>
      </c>
      <c r="N96" s="50">
        <v>5.1200000000000002E-2</v>
      </c>
      <c r="O96" s="53">
        <v>0.15640000000000001</v>
      </c>
      <c r="P96" s="36">
        <v>0</v>
      </c>
      <c r="Q96" s="69">
        <v>0</v>
      </c>
      <c r="R96" s="69">
        <v>0</v>
      </c>
      <c r="S96" s="70">
        <v>0</v>
      </c>
      <c r="T96" s="70">
        <v>0</v>
      </c>
      <c r="U96" s="70">
        <v>0</v>
      </c>
      <c r="V96" s="36">
        <v>0</v>
      </c>
      <c r="W96" s="70">
        <v>0</v>
      </c>
      <c r="X96" s="70">
        <v>0</v>
      </c>
      <c r="Y96" s="36">
        <v>5005.01</v>
      </c>
      <c r="Z96" s="36">
        <v>15714.69</v>
      </c>
      <c r="AA96" s="36">
        <v>0</v>
      </c>
      <c r="AB96" s="36">
        <v>124160.42</v>
      </c>
      <c r="AC96" s="36">
        <v>2699634.4</v>
      </c>
      <c r="AD96" s="36">
        <v>269.85000000000002</v>
      </c>
      <c r="AE96" s="36">
        <v>2463152.2999999998</v>
      </c>
      <c r="AF96" s="71">
        <f t="shared" si="52"/>
        <v>9127.8573281452645</v>
      </c>
      <c r="AG96" s="71">
        <f t="shared" si="53"/>
        <v>10004.203816935333</v>
      </c>
      <c r="AH96" s="72">
        <f t="shared" si="54"/>
        <v>876.35</v>
      </c>
      <c r="AI96" s="36">
        <v>12.99</v>
      </c>
      <c r="AJ96" s="36">
        <v>115160.37</v>
      </c>
      <c r="AK96" s="71">
        <f t="shared" si="55"/>
        <v>8865.3094688221699</v>
      </c>
      <c r="AL96" s="71">
        <f t="shared" si="56"/>
        <v>9558.1539645881439</v>
      </c>
      <c r="AM96" s="72">
        <f t="shared" si="57"/>
        <v>692.84</v>
      </c>
      <c r="AN96" s="70">
        <v>0</v>
      </c>
      <c r="AO96" s="70">
        <v>0</v>
      </c>
      <c r="AP96" s="3">
        <v>0</v>
      </c>
    </row>
    <row r="97" spans="1:42" s="3" customFormat="1" ht="15">
      <c r="A97" s="59" t="s">
        <v>607</v>
      </c>
      <c r="B97" s="59" t="s">
        <v>200</v>
      </c>
      <c r="C97" s="59" t="str">
        <f t="shared" si="58"/>
        <v>27417 FIFE SCHOOL DISTRICT</v>
      </c>
      <c r="D97" s="36">
        <v>0</v>
      </c>
      <c r="E97" s="36">
        <v>77245.14</v>
      </c>
      <c r="F97" s="36">
        <v>0</v>
      </c>
      <c r="G97" s="36">
        <v>4598810.54</v>
      </c>
      <c r="H97" s="36">
        <v>1029678.01</v>
      </c>
      <c r="I97" s="36">
        <v>0</v>
      </c>
      <c r="J97" s="36">
        <v>1201767.75</v>
      </c>
      <c r="K97" s="36">
        <v>1089970.6100000001</v>
      </c>
      <c r="L97" s="36">
        <v>126820.86</v>
      </c>
      <c r="M97" s="36">
        <v>2881458.77</v>
      </c>
      <c r="N97" s="50">
        <v>6.5500000000000003E-2</v>
      </c>
      <c r="O97" s="53">
        <v>0.15359999999999999</v>
      </c>
      <c r="P97" s="36">
        <v>0</v>
      </c>
      <c r="Q97" s="69">
        <v>0</v>
      </c>
      <c r="R97" s="69">
        <v>0</v>
      </c>
      <c r="S97" s="70">
        <v>0</v>
      </c>
      <c r="T97" s="70">
        <v>0</v>
      </c>
      <c r="U97" s="70">
        <v>0</v>
      </c>
      <c r="V97" s="36">
        <v>0</v>
      </c>
      <c r="W97" s="70">
        <v>0</v>
      </c>
      <c r="X97" s="70">
        <v>0</v>
      </c>
      <c r="Y97" s="36">
        <v>2689.72</v>
      </c>
      <c r="Z97" s="36">
        <v>21907.49</v>
      </c>
      <c r="AA97" s="36">
        <v>283223.25</v>
      </c>
      <c r="AB97" s="36">
        <v>445243.81</v>
      </c>
      <c r="AC97" s="36">
        <v>3101961.55</v>
      </c>
      <c r="AD97" s="36">
        <v>313.93</v>
      </c>
      <c r="AE97" s="36">
        <v>2922018.33</v>
      </c>
      <c r="AF97" s="71">
        <f t="shared" si="52"/>
        <v>9307.8658618163281</v>
      </c>
      <c r="AG97" s="71">
        <f t="shared" si="53"/>
        <v>9881.061223839708</v>
      </c>
      <c r="AH97" s="72">
        <f t="shared" si="54"/>
        <v>573.20000000000005</v>
      </c>
      <c r="AI97" s="36">
        <v>45.72</v>
      </c>
      <c r="AJ97" s="36">
        <v>413482.31</v>
      </c>
      <c r="AK97" s="71">
        <f t="shared" si="55"/>
        <v>9043.7950568678916</v>
      </c>
      <c r="AL97" s="71">
        <f t="shared" si="56"/>
        <v>9738.4910323709537</v>
      </c>
      <c r="AM97" s="72">
        <f t="shared" si="57"/>
        <v>694.7</v>
      </c>
      <c r="AN97" s="70">
        <v>0</v>
      </c>
      <c r="AO97" s="70">
        <v>0</v>
      </c>
      <c r="AP97" s="3">
        <v>0</v>
      </c>
    </row>
    <row r="98" spans="1:42" s="3" customFormat="1" ht="15">
      <c r="A98" s="59" t="s">
        <v>430</v>
      </c>
      <c r="B98" s="59" t="s">
        <v>22</v>
      </c>
      <c r="C98" s="59" t="str">
        <f t="shared" si="58"/>
        <v>03053 FINLEY SCHOOL DISTRICT</v>
      </c>
      <c r="D98" s="36">
        <v>0</v>
      </c>
      <c r="E98" s="36">
        <v>18856.21</v>
      </c>
      <c r="F98" s="36">
        <v>18249.7</v>
      </c>
      <c r="G98" s="36">
        <v>1094497.54</v>
      </c>
      <c r="H98" s="36">
        <v>218434.39</v>
      </c>
      <c r="I98" s="36">
        <v>255105.59</v>
      </c>
      <c r="J98" s="36">
        <v>441003.69</v>
      </c>
      <c r="K98" s="36">
        <v>300046.71999999997</v>
      </c>
      <c r="L98" s="36">
        <v>25965.74</v>
      </c>
      <c r="M98" s="36">
        <v>617234.17000000004</v>
      </c>
      <c r="N98" s="50">
        <v>2.8199999999999999E-2</v>
      </c>
      <c r="O98" s="53">
        <v>0.19209999999999999</v>
      </c>
      <c r="P98" s="36">
        <v>0</v>
      </c>
      <c r="Q98" s="69">
        <v>0</v>
      </c>
      <c r="R98" s="69">
        <v>0</v>
      </c>
      <c r="S98" s="70">
        <v>0</v>
      </c>
      <c r="T98" s="70">
        <v>0</v>
      </c>
      <c r="U98" s="70">
        <v>0</v>
      </c>
      <c r="V98" s="36">
        <v>0</v>
      </c>
      <c r="W98" s="70">
        <v>0</v>
      </c>
      <c r="X98" s="70">
        <v>0</v>
      </c>
      <c r="Y98" s="36">
        <v>1014.99</v>
      </c>
      <c r="Z98" s="36">
        <v>491.12</v>
      </c>
      <c r="AA98" s="36">
        <v>1255.3900000000001</v>
      </c>
      <c r="AB98" s="36">
        <v>65837.8</v>
      </c>
      <c r="AC98" s="36">
        <v>776683.59</v>
      </c>
      <c r="AD98" s="36">
        <v>83.95</v>
      </c>
      <c r="AE98" s="36">
        <v>721083.24</v>
      </c>
      <c r="AF98" s="71">
        <f t="shared" si="52"/>
        <v>8589.4370458606318</v>
      </c>
      <c r="AG98" s="71">
        <f t="shared" si="53"/>
        <v>9251.740202501489</v>
      </c>
      <c r="AH98" s="72">
        <f t="shared" si="54"/>
        <v>662.3</v>
      </c>
      <c r="AI98" s="36">
        <v>7.33</v>
      </c>
      <c r="AJ98" s="36">
        <v>61045.87</v>
      </c>
      <c r="AK98" s="71">
        <f t="shared" si="55"/>
        <v>8328.2223738062767</v>
      </c>
      <c r="AL98" s="71">
        <f t="shared" si="56"/>
        <v>8981.9645293315152</v>
      </c>
      <c r="AM98" s="72">
        <f t="shared" si="57"/>
        <v>653.74</v>
      </c>
      <c r="AN98" s="70">
        <v>0</v>
      </c>
      <c r="AO98" s="70">
        <v>0</v>
      </c>
      <c r="AP98" s="3">
        <v>0</v>
      </c>
    </row>
    <row r="99" spans="1:42" s="3" customFormat="1" ht="15">
      <c r="A99" s="59" t="s">
        <v>603</v>
      </c>
      <c r="B99" s="59" t="s">
        <v>196</v>
      </c>
      <c r="C99" s="59" t="str">
        <f t="shared" si="58"/>
        <v>27402 FRANKLIN PIERCE SCHOOL DISTRICT</v>
      </c>
      <c r="D99" s="36">
        <v>0</v>
      </c>
      <c r="E99" s="36">
        <v>352517.47</v>
      </c>
      <c r="F99" s="36">
        <v>223919.19</v>
      </c>
      <c r="G99" s="36">
        <v>10894972.779999999</v>
      </c>
      <c r="H99" s="36">
        <v>2454452.44</v>
      </c>
      <c r="I99" s="36">
        <v>2315487.02</v>
      </c>
      <c r="J99" s="36">
        <v>3645187.74</v>
      </c>
      <c r="K99" s="36">
        <v>1792175.89</v>
      </c>
      <c r="L99" s="36">
        <v>226190.69</v>
      </c>
      <c r="M99" s="36">
        <v>5525998.1200000001</v>
      </c>
      <c r="N99" s="50">
        <v>3.5200000000000002E-2</v>
      </c>
      <c r="O99" s="53">
        <v>0.1565</v>
      </c>
      <c r="P99" s="36">
        <v>0</v>
      </c>
      <c r="Q99" s="69">
        <v>0</v>
      </c>
      <c r="R99" s="69">
        <v>0</v>
      </c>
      <c r="S99" s="70">
        <v>0</v>
      </c>
      <c r="T99" s="70">
        <v>0</v>
      </c>
      <c r="U99" s="70">
        <v>0</v>
      </c>
      <c r="V99" s="36">
        <v>0</v>
      </c>
      <c r="W99" s="70">
        <v>0</v>
      </c>
      <c r="X99" s="70">
        <v>0</v>
      </c>
      <c r="Y99" s="36">
        <v>8192.07</v>
      </c>
      <c r="Z99" s="36">
        <v>87559.71</v>
      </c>
      <c r="AA99" s="36">
        <v>417042.9</v>
      </c>
      <c r="AB99" s="36">
        <v>931963.01</v>
      </c>
      <c r="AC99" s="36">
        <v>5066341.2300000004</v>
      </c>
      <c r="AD99" s="36">
        <v>526.34</v>
      </c>
      <c r="AE99" s="36">
        <v>4710202</v>
      </c>
      <c r="AF99" s="71">
        <f t="shared" si="52"/>
        <v>8948.9721472812253</v>
      </c>
      <c r="AG99" s="71">
        <f t="shared" si="53"/>
        <v>9625.6055591442801</v>
      </c>
      <c r="AH99" s="72">
        <f t="shared" si="54"/>
        <v>676.63</v>
      </c>
      <c r="AI99" s="36">
        <v>99.58</v>
      </c>
      <c r="AJ99" s="36">
        <v>865441.18</v>
      </c>
      <c r="AK99" s="71">
        <f t="shared" si="55"/>
        <v>8690.9136372765624</v>
      </c>
      <c r="AL99" s="71">
        <f t="shared" si="56"/>
        <v>9358.9376380799367</v>
      </c>
      <c r="AM99" s="72">
        <f t="shared" si="57"/>
        <v>668.02</v>
      </c>
      <c r="AN99" s="70">
        <v>0</v>
      </c>
      <c r="AO99" s="70">
        <v>0</v>
      </c>
      <c r="AP99" s="3">
        <v>0</v>
      </c>
    </row>
    <row r="100" spans="1:42" s="3" customFormat="1" ht="15">
      <c r="A100" s="59" t="s">
        <v>644</v>
      </c>
      <c r="B100" s="59" t="s">
        <v>237</v>
      </c>
      <c r="C100" s="59" t="str">
        <f t="shared" si="58"/>
        <v>32358 FREEMAN SCHOOL DISTRICT</v>
      </c>
      <c r="D100" s="36">
        <v>0</v>
      </c>
      <c r="E100" s="36">
        <v>0</v>
      </c>
      <c r="F100" s="36">
        <v>0</v>
      </c>
      <c r="G100" s="36">
        <v>1139388.6000000001</v>
      </c>
      <c r="H100" s="36">
        <v>180509.86</v>
      </c>
      <c r="I100" s="36">
        <v>0</v>
      </c>
      <c r="J100" s="36">
        <v>131585.93</v>
      </c>
      <c r="K100" s="36">
        <v>0</v>
      </c>
      <c r="L100" s="36">
        <v>27195.14</v>
      </c>
      <c r="M100" s="36">
        <v>826164.12</v>
      </c>
      <c r="N100" s="50">
        <v>3.1099999999999999E-2</v>
      </c>
      <c r="O100" s="53">
        <v>0.19550000000000001</v>
      </c>
      <c r="P100" s="36">
        <v>0</v>
      </c>
      <c r="Q100" s="69">
        <v>0</v>
      </c>
      <c r="R100" s="69">
        <v>0</v>
      </c>
      <c r="S100" s="70">
        <v>0</v>
      </c>
      <c r="T100" s="70">
        <v>0</v>
      </c>
      <c r="U100" s="70">
        <v>0</v>
      </c>
      <c r="V100" s="36">
        <v>0</v>
      </c>
      <c r="W100" s="70">
        <v>0</v>
      </c>
      <c r="X100" s="70">
        <v>0</v>
      </c>
      <c r="Y100" s="36">
        <v>983.41</v>
      </c>
      <c r="Z100" s="36">
        <v>0</v>
      </c>
      <c r="AA100" s="36">
        <v>60926.13</v>
      </c>
      <c r="AB100" s="36">
        <v>271567.09999999998</v>
      </c>
      <c r="AC100" s="36">
        <v>871575.7</v>
      </c>
      <c r="AD100" s="36">
        <v>94.2</v>
      </c>
      <c r="AE100" s="36">
        <v>825415.54</v>
      </c>
      <c r="AF100" s="71">
        <f t="shared" si="52"/>
        <v>8762.3730360934187</v>
      </c>
      <c r="AG100" s="71">
        <f t="shared" si="53"/>
        <v>9252.3959660297223</v>
      </c>
      <c r="AH100" s="72">
        <f t="shared" si="54"/>
        <v>490.02</v>
      </c>
      <c r="AI100" s="36">
        <v>29.63</v>
      </c>
      <c r="AJ100" s="36">
        <v>252003.07</v>
      </c>
      <c r="AK100" s="71">
        <f t="shared" si="55"/>
        <v>8504.9973000337504</v>
      </c>
      <c r="AL100" s="71">
        <f t="shared" si="56"/>
        <v>9165.2750590617616</v>
      </c>
      <c r="AM100" s="72">
        <f t="shared" si="57"/>
        <v>660.28</v>
      </c>
      <c r="AN100" s="70">
        <v>0</v>
      </c>
      <c r="AO100" s="70">
        <v>0</v>
      </c>
      <c r="AP100" s="3">
        <v>0</v>
      </c>
    </row>
    <row r="101" spans="1:42" s="3" customFormat="1" ht="15">
      <c r="A101" s="59" t="s">
        <v>689</v>
      </c>
      <c r="B101" s="59" t="s">
        <v>285</v>
      </c>
      <c r="C101" s="59" t="str">
        <f t="shared" si="58"/>
        <v>38302 GARFIELD SCHOOL DISTRICT</v>
      </c>
      <c r="D101" s="36">
        <v>0</v>
      </c>
      <c r="E101" s="36">
        <v>0</v>
      </c>
      <c r="F101" s="36">
        <v>0</v>
      </c>
      <c r="G101" s="36">
        <v>139058.16</v>
      </c>
      <c r="H101" s="36">
        <v>14805.5</v>
      </c>
      <c r="I101" s="36">
        <v>15103.58</v>
      </c>
      <c r="J101" s="36">
        <v>36621.01</v>
      </c>
      <c r="K101" s="36">
        <v>0</v>
      </c>
      <c r="L101" s="36">
        <v>0</v>
      </c>
      <c r="M101" s="36">
        <v>373670.05</v>
      </c>
      <c r="N101" s="50">
        <v>6.0100000000000001E-2</v>
      </c>
      <c r="O101" s="53">
        <v>0.2651</v>
      </c>
      <c r="P101" s="36">
        <v>0</v>
      </c>
      <c r="Q101" s="69">
        <v>0</v>
      </c>
      <c r="R101" s="69">
        <v>0</v>
      </c>
      <c r="S101" s="70">
        <v>0</v>
      </c>
      <c r="T101" s="70">
        <v>0</v>
      </c>
      <c r="U101" s="70">
        <v>0</v>
      </c>
      <c r="V101" s="36">
        <v>0</v>
      </c>
      <c r="W101" s="70">
        <v>0</v>
      </c>
      <c r="X101" s="70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66651.490000000005</v>
      </c>
      <c r="AD101" s="36">
        <v>7.08</v>
      </c>
      <c r="AE101" s="36">
        <v>60836.12</v>
      </c>
      <c r="AF101" s="71">
        <f t="shared" si="52"/>
        <v>8592.6723163841816</v>
      </c>
      <c r="AG101" s="71">
        <f t="shared" si="53"/>
        <v>9414.0522598870066</v>
      </c>
      <c r="AH101" s="72">
        <f t="shared" si="54"/>
        <v>821.38</v>
      </c>
      <c r="AI101" s="36">
        <v>0</v>
      </c>
      <c r="AJ101" s="36">
        <v>0</v>
      </c>
      <c r="AK101" s="71">
        <f t="shared" si="55"/>
        <v>0</v>
      </c>
      <c r="AL101" s="71">
        <f t="shared" si="56"/>
        <v>0</v>
      </c>
      <c r="AM101" s="72">
        <f t="shared" si="57"/>
        <v>0</v>
      </c>
      <c r="AN101" s="70">
        <v>0</v>
      </c>
      <c r="AO101" s="70">
        <v>0</v>
      </c>
      <c r="AP101" s="3">
        <v>0</v>
      </c>
    </row>
    <row r="102" spans="1:42" s="3" customFormat="1" ht="15">
      <c r="A102" s="59" t="s">
        <v>543</v>
      </c>
      <c r="B102" s="59" t="s">
        <v>135</v>
      </c>
      <c r="C102" s="59" t="str">
        <f t="shared" si="58"/>
        <v>20401 GLENWOOD SCHOOL DISTRICT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4710.97</v>
      </c>
      <c r="J102" s="36">
        <v>19700.419999999998</v>
      </c>
      <c r="K102" s="36">
        <v>0</v>
      </c>
      <c r="L102" s="36">
        <v>0</v>
      </c>
      <c r="M102" s="36">
        <v>83172.460000000006</v>
      </c>
      <c r="N102" s="50">
        <v>5.3499999999999999E-2</v>
      </c>
      <c r="O102" s="53">
        <v>0.27979999999999999</v>
      </c>
      <c r="P102" s="36">
        <v>0</v>
      </c>
      <c r="Q102" s="69">
        <v>0</v>
      </c>
      <c r="R102" s="69">
        <v>0</v>
      </c>
      <c r="S102" s="70">
        <v>0</v>
      </c>
      <c r="T102" s="70">
        <v>0</v>
      </c>
      <c r="U102" s="70">
        <v>0</v>
      </c>
      <c r="V102" s="36">
        <v>0</v>
      </c>
      <c r="W102" s="70">
        <v>0</v>
      </c>
      <c r="X102" s="70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3921.41</v>
      </c>
      <c r="AD102" s="36">
        <v>0</v>
      </c>
      <c r="AE102" s="36">
        <v>0</v>
      </c>
      <c r="AF102" s="71">
        <f t="shared" si="52"/>
        <v>0</v>
      </c>
      <c r="AG102" s="71">
        <f t="shared" si="53"/>
        <v>0</v>
      </c>
      <c r="AH102" s="72">
        <f t="shared" si="54"/>
        <v>0</v>
      </c>
      <c r="AI102" s="36">
        <v>0</v>
      </c>
      <c r="AJ102" s="36">
        <v>0</v>
      </c>
      <c r="AK102" s="71">
        <f t="shared" si="55"/>
        <v>0</v>
      </c>
      <c r="AL102" s="71">
        <f t="shared" si="56"/>
        <v>0</v>
      </c>
      <c r="AM102" s="72">
        <f t="shared" si="57"/>
        <v>0</v>
      </c>
      <c r="AN102" s="70">
        <v>0</v>
      </c>
      <c r="AO102" s="70">
        <v>0</v>
      </c>
      <c r="AP102" s="3">
        <v>0</v>
      </c>
    </row>
    <row r="103" spans="1:42" s="3" customFormat="1" ht="15">
      <c r="A103" s="59" t="s">
        <v>546</v>
      </c>
      <c r="B103" s="59" t="s">
        <v>138</v>
      </c>
      <c r="C103" s="59" t="str">
        <f t="shared" si="58"/>
        <v>20404 GOLDENDALE SCHOOL DISTRICT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163242.75</v>
      </c>
      <c r="J103" s="36">
        <v>704074.87</v>
      </c>
      <c r="K103" s="36">
        <v>178850.58</v>
      </c>
      <c r="L103" s="36">
        <v>86793.82</v>
      </c>
      <c r="M103" s="36">
        <v>613280.27</v>
      </c>
      <c r="N103" s="50">
        <v>6.6299999999999998E-2</v>
      </c>
      <c r="O103" s="53">
        <v>9.0700000000000003E-2</v>
      </c>
      <c r="P103" s="36">
        <v>0</v>
      </c>
      <c r="Q103" s="69">
        <v>0</v>
      </c>
      <c r="R103" s="69">
        <v>0</v>
      </c>
      <c r="S103" s="70">
        <v>0</v>
      </c>
      <c r="T103" s="70">
        <v>0</v>
      </c>
      <c r="U103" s="70">
        <v>0</v>
      </c>
      <c r="V103" s="36">
        <v>0</v>
      </c>
      <c r="W103" s="70">
        <v>0</v>
      </c>
      <c r="X103" s="70">
        <v>0</v>
      </c>
      <c r="Y103" s="36">
        <v>0</v>
      </c>
      <c r="Z103" s="36">
        <v>7112.89</v>
      </c>
      <c r="AA103" s="36">
        <v>41170.31</v>
      </c>
      <c r="AB103" s="36">
        <v>199490.56</v>
      </c>
      <c r="AC103" s="36">
        <v>688046.92</v>
      </c>
      <c r="AD103" s="36">
        <v>75.59</v>
      </c>
      <c r="AE103" s="36">
        <v>649332.05000000005</v>
      </c>
      <c r="AF103" s="71">
        <f t="shared" si="52"/>
        <v>8590.1845482206645</v>
      </c>
      <c r="AG103" s="71">
        <f t="shared" si="53"/>
        <v>9102.3537504960968</v>
      </c>
      <c r="AH103" s="72">
        <f t="shared" si="54"/>
        <v>512.16999999999996</v>
      </c>
      <c r="AI103" s="36">
        <v>22.23</v>
      </c>
      <c r="AJ103" s="36">
        <v>185244.53</v>
      </c>
      <c r="AK103" s="71">
        <f t="shared" si="55"/>
        <v>8333.0872694556911</v>
      </c>
      <c r="AL103" s="71">
        <f t="shared" si="56"/>
        <v>8973.9343229869537</v>
      </c>
      <c r="AM103" s="72">
        <f t="shared" si="57"/>
        <v>640.85</v>
      </c>
      <c r="AN103" s="70">
        <v>0</v>
      </c>
      <c r="AO103" s="70">
        <v>0</v>
      </c>
      <c r="AP103" s="3">
        <v>0</v>
      </c>
    </row>
    <row r="104" spans="1:42" s="3" customFormat="1" ht="15">
      <c r="A104" s="59" t="s">
        <v>487</v>
      </c>
      <c r="B104" s="59" t="s">
        <v>79</v>
      </c>
      <c r="C104" s="59" t="str">
        <f t="shared" si="58"/>
        <v>13301 GRAND COULEE DAM SCHOOL DISTRICT</v>
      </c>
      <c r="D104" s="36">
        <v>0</v>
      </c>
      <c r="E104" s="36">
        <v>0</v>
      </c>
      <c r="F104" s="36">
        <v>15393.6</v>
      </c>
      <c r="G104" s="36">
        <v>955768.89</v>
      </c>
      <c r="H104" s="36">
        <v>147974.15</v>
      </c>
      <c r="I104" s="36">
        <v>217760.45</v>
      </c>
      <c r="J104" s="36">
        <v>348933.96</v>
      </c>
      <c r="K104" s="36">
        <v>0</v>
      </c>
      <c r="L104" s="36">
        <v>21724.33</v>
      </c>
      <c r="M104" s="36">
        <v>569285.42000000004</v>
      </c>
      <c r="N104" s="50">
        <v>6.2600000000000003E-2</v>
      </c>
      <c r="O104" s="53">
        <v>0.21970000000000001</v>
      </c>
      <c r="P104" s="36">
        <v>0</v>
      </c>
      <c r="Q104" s="69">
        <v>0</v>
      </c>
      <c r="R104" s="69">
        <v>0</v>
      </c>
      <c r="S104" s="70">
        <v>0</v>
      </c>
      <c r="T104" s="70">
        <v>0</v>
      </c>
      <c r="U104" s="70">
        <v>0</v>
      </c>
      <c r="V104" s="36">
        <v>0</v>
      </c>
      <c r="W104" s="70">
        <v>0</v>
      </c>
      <c r="X104" s="70">
        <v>0</v>
      </c>
      <c r="Y104" s="36">
        <v>0</v>
      </c>
      <c r="Z104" s="36">
        <v>0</v>
      </c>
      <c r="AA104" s="36">
        <v>0</v>
      </c>
      <c r="AB104" s="36">
        <v>107078.55</v>
      </c>
      <c r="AC104" s="36">
        <v>316991.27</v>
      </c>
      <c r="AD104" s="36">
        <v>34.78</v>
      </c>
      <c r="AE104" s="36">
        <v>298698.18</v>
      </c>
      <c r="AF104" s="71">
        <f t="shared" si="52"/>
        <v>8588.2167912593432</v>
      </c>
      <c r="AG104" s="71">
        <f t="shared" si="53"/>
        <v>9114.1825761932141</v>
      </c>
      <c r="AH104" s="72">
        <f t="shared" si="54"/>
        <v>525.97</v>
      </c>
      <c r="AI104" s="36">
        <v>11.92</v>
      </c>
      <c r="AJ104" s="36">
        <v>99278.6</v>
      </c>
      <c r="AK104" s="71">
        <f t="shared" si="55"/>
        <v>8328.741610738256</v>
      </c>
      <c r="AL104" s="71">
        <f t="shared" si="56"/>
        <v>8983.0998322147661</v>
      </c>
      <c r="AM104" s="72">
        <f t="shared" si="57"/>
        <v>654.36</v>
      </c>
      <c r="AN104" s="70">
        <v>57.38</v>
      </c>
      <c r="AO104" s="70">
        <v>0</v>
      </c>
      <c r="AP104" s="3">
        <v>0</v>
      </c>
    </row>
    <row r="105" spans="1:42" s="3" customFormat="1" ht="15">
      <c r="A105" s="59" t="s">
        <v>701</v>
      </c>
      <c r="B105" s="59" t="s">
        <v>298</v>
      </c>
      <c r="C105" s="59" t="str">
        <f t="shared" si="58"/>
        <v>39200 GRANDVIEW SCHOOL DISTRICT</v>
      </c>
      <c r="D105" s="36">
        <v>0</v>
      </c>
      <c r="E105" s="36">
        <v>0</v>
      </c>
      <c r="F105" s="36">
        <v>0</v>
      </c>
      <c r="G105" s="36">
        <v>4741342.88</v>
      </c>
      <c r="H105" s="36">
        <v>1392302.28</v>
      </c>
      <c r="I105" s="36">
        <v>1056008.8400000001</v>
      </c>
      <c r="J105" s="36">
        <v>1954361.22</v>
      </c>
      <c r="K105" s="36">
        <v>1747904.03</v>
      </c>
      <c r="L105" s="36">
        <v>103552.6</v>
      </c>
      <c r="M105" s="36">
        <v>1406258.47</v>
      </c>
      <c r="N105" s="50">
        <v>6.5299999999999997E-2</v>
      </c>
      <c r="O105" s="53">
        <v>0.17499999999999999</v>
      </c>
      <c r="P105" s="36">
        <v>0</v>
      </c>
      <c r="Q105" s="69">
        <v>0</v>
      </c>
      <c r="R105" s="69">
        <v>0</v>
      </c>
      <c r="S105" s="70">
        <v>0</v>
      </c>
      <c r="T105" s="70">
        <v>0</v>
      </c>
      <c r="U105" s="70">
        <v>0</v>
      </c>
      <c r="V105" s="36">
        <v>0</v>
      </c>
      <c r="W105" s="70">
        <v>0</v>
      </c>
      <c r="X105" s="70">
        <v>0</v>
      </c>
      <c r="Y105" s="36">
        <v>0</v>
      </c>
      <c r="Z105" s="36">
        <v>37289.410000000003</v>
      </c>
      <c r="AA105" s="36">
        <v>229121.31</v>
      </c>
      <c r="AB105" s="36">
        <v>403667.68</v>
      </c>
      <c r="AC105" s="36">
        <v>2574884.0299999998</v>
      </c>
      <c r="AD105" s="36">
        <v>280.18</v>
      </c>
      <c r="AE105" s="36">
        <v>2406759.7599999998</v>
      </c>
      <c r="AF105" s="71">
        <f t="shared" si="52"/>
        <v>8590.0483974587751</v>
      </c>
      <c r="AG105" s="71">
        <f t="shared" si="53"/>
        <v>9190.1064672710399</v>
      </c>
      <c r="AH105" s="72">
        <f t="shared" si="54"/>
        <v>600.05999999999995</v>
      </c>
      <c r="AI105" s="36">
        <v>44.98</v>
      </c>
      <c r="AJ105" s="36">
        <v>374780.33</v>
      </c>
      <c r="AK105" s="71">
        <f t="shared" si="55"/>
        <v>8332.1549577590049</v>
      </c>
      <c r="AL105" s="71">
        <f t="shared" si="56"/>
        <v>8974.3815028901736</v>
      </c>
      <c r="AM105" s="72">
        <f t="shared" si="57"/>
        <v>642.23</v>
      </c>
      <c r="AN105" s="70">
        <v>561.25</v>
      </c>
      <c r="AO105" s="70">
        <v>0</v>
      </c>
      <c r="AP105" s="3">
        <v>0</v>
      </c>
    </row>
    <row r="106" spans="1:42" s="3" customFormat="1" ht="15">
      <c r="A106" s="59" t="s">
        <v>705</v>
      </c>
      <c r="B106" s="59" t="s">
        <v>302</v>
      </c>
      <c r="C106" s="59" t="str">
        <f t="shared" si="58"/>
        <v>39204 GRANGER SCHOOL DISTRICT</v>
      </c>
      <c r="D106" s="36">
        <v>165812.44</v>
      </c>
      <c r="E106" s="36">
        <v>0</v>
      </c>
      <c r="F106" s="36">
        <v>0</v>
      </c>
      <c r="G106" s="36">
        <v>2010474.74</v>
      </c>
      <c r="H106" s="36">
        <v>441926.08</v>
      </c>
      <c r="I106" s="36">
        <v>440176.1</v>
      </c>
      <c r="J106" s="36">
        <v>872593.51</v>
      </c>
      <c r="K106" s="36">
        <v>1140806.82</v>
      </c>
      <c r="L106" s="36">
        <v>41586.57</v>
      </c>
      <c r="M106" s="36">
        <v>617944.21</v>
      </c>
      <c r="N106" s="50">
        <v>3.2199999999999999E-2</v>
      </c>
      <c r="O106" s="53">
        <v>0.15790000000000001</v>
      </c>
      <c r="P106" s="36">
        <v>0</v>
      </c>
      <c r="Q106" s="69">
        <v>0</v>
      </c>
      <c r="R106" s="69">
        <v>0</v>
      </c>
      <c r="S106" s="70">
        <v>0</v>
      </c>
      <c r="T106" s="70">
        <v>0</v>
      </c>
      <c r="U106" s="70">
        <v>0</v>
      </c>
      <c r="V106" s="36">
        <v>0</v>
      </c>
      <c r="W106" s="70">
        <v>0</v>
      </c>
      <c r="X106" s="70">
        <v>0</v>
      </c>
      <c r="Y106" s="36">
        <v>1669.09</v>
      </c>
      <c r="Z106" s="36">
        <v>0</v>
      </c>
      <c r="AA106" s="36">
        <v>0</v>
      </c>
      <c r="AB106" s="36">
        <v>206069.67</v>
      </c>
      <c r="AC106" s="36">
        <v>1307498.92</v>
      </c>
      <c r="AD106" s="36">
        <v>144.47999999999999</v>
      </c>
      <c r="AE106" s="36">
        <v>1241286.22</v>
      </c>
      <c r="AF106" s="71">
        <f t="shared" si="52"/>
        <v>8591.4051771871545</v>
      </c>
      <c r="AG106" s="71">
        <f t="shared" si="53"/>
        <v>9049.687984496124</v>
      </c>
      <c r="AH106" s="72">
        <f t="shared" si="54"/>
        <v>458.28</v>
      </c>
      <c r="AI106" s="36">
        <v>22.95</v>
      </c>
      <c r="AJ106" s="36">
        <v>191231.24</v>
      </c>
      <c r="AK106" s="71">
        <f t="shared" si="55"/>
        <v>8332.5159041394327</v>
      </c>
      <c r="AL106" s="71">
        <f t="shared" si="56"/>
        <v>8979.0705882352941</v>
      </c>
      <c r="AM106" s="72">
        <f t="shared" si="57"/>
        <v>646.54999999999995</v>
      </c>
      <c r="AN106" s="70">
        <v>8.4499999999999993</v>
      </c>
      <c r="AO106" s="70">
        <v>0</v>
      </c>
      <c r="AP106" s="3">
        <v>0</v>
      </c>
    </row>
    <row r="107" spans="1:42" s="3" customFormat="1" ht="15">
      <c r="A107" s="59" t="s">
        <v>635</v>
      </c>
      <c r="B107" s="59" t="s">
        <v>228</v>
      </c>
      <c r="C107" s="59" t="str">
        <f t="shared" si="58"/>
        <v>31332 GRANITE FALLS SCHOOL DISTRICT</v>
      </c>
      <c r="D107" s="36">
        <v>0</v>
      </c>
      <c r="E107" s="36">
        <v>55214.61</v>
      </c>
      <c r="F107" s="36">
        <v>0</v>
      </c>
      <c r="G107" s="36">
        <v>4881113.87</v>
      </c>
      <c r="H107" s="36">
        <v>854394.44</v>
      </c>
      <c r="I107" s="36">
        <v>88054.15</v>
      </c>
      <c r="J107" s="36">
        <v>676987.82</v>
      </c>
      <c r="K107" s="36">
        <v>131954.44</v>
      </c>
      <c r="L107" s="36">
        <v>73073.53</v>
      </c>
      <c r="M107" s="36">
        <v>1718149.46</v>
      </c>
      <c r="N107" s="50">
        <v>3.9300000000000002E-2</v>
      </c>
      <c r="O107" s="53">
        <v>0.15609999999999999</v>
      </c>
      <c r="P107" s="36">
        <v>0</v>
      </c>
      <c r="Q107" s="69">
        <v>0</v>
      </c>
      <c r="R107" s="69">
        <v>0</v>
      </c>
      <c r="S107" s="70">
        <v>0</v>
      </c>
      <c r="T107" s="70">
        <v>0</v>
      </c>
      <c r="U107" s="70">
        <v>0</v>
      </c>
      <c r="V107" s="36">
        <v>0</v>
      </c>
      <c r="W107" s="70">
        <v>0</v>
      </c>
      <c r="X107" s="70">
        <v>0</v>
      </c>
      <c r="Y107" s="36">
        <v>2569.0500000000002</v>
      </c>
      <c r="Z107" s="36">
        <v>40151.620000000003</v>
      </c>
      <c r="AA107" s="36">
        <v>0</v>
      </c>
      <c r="AB107" s="36">
        <v>595794.88</v>
      </c>
      <c r="AC107" s="36">
        <v>1042714.52</v>
      </c>
      <c r="AD107" s="36">
        <v>106.02</v>
      </c>
      <c r="AE107" s="36">
        <v>986771.87</v>
      </c>
      <c r="AF107" s="71">
        <f t="shared" si="52"/>
        <v>9307.4124693454069</v>
      </c>
      <c r="AG107" s="71">
        <f t="shared" si="53"/>
        <v>9835.0737596679883</v>
      </c>
      <c r="AH107" s="72">
        <f t="shared" si="54"/>
        <v>527.66</v>
      </c>
      <c r="AI107" s="36">
        <v>61.18</v>
      </c>
      <c r="AJ107" s="36">
        <v>553560.9</v>
      </c>
      <c r="AK107" s="71">
        <f t="shared" si="55"/>
        <v>9048.0696305982347</v>
      </c>
      <c r="AL107" s="71">
        <f t="shared" si="56"/>
        <v>9738.3929388689121</v>
      </c>
      <c r="AM107" s="72">
        <f t="shared" si="57"/>
        <v>690.32</v>
      </c>
      <c r="AN107" s="70">
        <v>0</v>
      </c>
      <c r="AO107" s="70">
        <v>0</v>
      </c>
      <c r="AP107" s="3">
        <v>0</v>
      </c>
    </row>
    <row r="108" spans="1:42" s="3" customFormat="1" ht="15">
      <c r="A108" s="59" t="s">
        <v>571</v>
      </c>
      <c r="B108" s="59" t="s">
        <v>163</v>
      </c>
      <c r="C108" s="59" t="str">
        <f t="shared" si="58"/>
        <v>23054 GRAPEVIEW SCHOOL DISTRICT</v>
      </c>
      <c r="D108" s="36">
        <v>0</v>
      </c>
      <c r="E108" s="36">
        <v>0</v>
      </c>
      <c r="F108" s="36">
        <v>0</v>
      </c>
      <c r="G108" s="36">
        <v>318001.51</v>
      </c>
      <c r="H108" s="36">
        <v>21071.79</v>
      </c>
      <c r="I108" s="36">
        <v>0</v>
      </c>
      <c r="J108" s="36">
        <v>55965.99</v>
      </c>
      <c r="K108" s="36">
        <v>0</v>
      </c>
      <c r="L108" s="36">
        <v>7138</v>
      </c>
      <c r="M108" s="36">
        <v>171440.88</v>
      </c>
      <c r="N108" s="50">
        <v>9.2499999999999999E-2</v>
      </c>
      <c r="O108" s="53">
        <v>0.28289999999999998</v>
      </c>
      <c r="P108" s="36">
        <v>0</v>
      </c>
      <c r="Q108" s="69">
        <v>0</v>
      </c>
      <c r="R108" s="69">
        <v>0</v>
      </c>
      <c r="S108" s="70">
        <v>0</v>
      </c>
      <c r="T108" s="70">
        <v>0</v>
      </c>
      <c r="U108" s="70">
        <v>0</v>
      </c>
      <c r="V108" s="36">
        <v>0</v>
      </c>
      <c r="W108" s="70">
        <v>0</v>
      </c>
      <c r="X108" s="70">
        <v>0</v>
      </c>
      <c r="Y108" s="36">
        <v>270.66000000000003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71">
        <f t="shared" si="52"/>
        <v>0</v>
      </c>
      <c r="AG108" s="71">
        <f t="shared" si="53"/>
        <v>0</v>
      </c>
      <c r="AH108" s="72">
        <f t="shared" si="54"/>
        <v>0</v>
      </c>
      <c r="AI108" s="36">
        <v>0</v>
      </c>
      <c r="AJ108" s="36">
        <v>0</v>
      </c>
      <c r="AK108" s="71">
        <f t="shared" si="55"/>
        <v>0</v>
      </c>
      <c r="AL108" s="71">
        <f t="shared" si="56"/>
        <v>0</v>
      </c>
      <c r="AM108" s="72">
        <f t="shared" si="57"/>
        <v>0</v>
      </c>
      <c r="AN108" s="70">
        <v>0</v>
      </c>
      <c r="AO108" s="70">
        <v>0</v>
      </c>
      <c r="AP108" s="3">
        <v>0</v>
      </c>
    </row>
    <row r="109" spans="1:42" s="3" customFormat="1" ht="15">
      <c r="A109" s="59" t="s">
        <v>639</v>
      </c>
      <c r="B109" s="59" t="s">
        <v>232</v>
      </c>
      <c r="C109" s="59" t="str">
        <f t="shared" si="58"/>
        <v>32312 GREAT NORTHERN SCHOOL DISTRICT</v>
      </c>
      <c r="D109" s="36">
        <v>0</v>
      </c>
      <c r="E109" s="36">
        <v>0</v>
      </c>
      <c r="F109" s="36">
        <v>0</v>
      </c>
      <c r="G109" s="36">
        <v>60015</v>
      </c>
      <c r="H109" s="36">
        <v>4301.6099999999997</v>
      </c>
      <c r="I109" s="36">
        <v>0</v>
      </c>
      <c r="J109" s="36">
        <v>8379.3700000000008</v>
      </c>
      <c r="K109" s="36">
        <v>0</v>
      </c>
      <c r="L109" s="36">
        <v>0</v>
      </c>
      <c r="M109" s="36">
        <v>126139.33</v>
      </c>
      <c r="N109" s="50">
        <v>9.5500000000000002E-2</v>
      </c>
      <c r="O109" s="53">
        <v>0.26529999999999998</v>
      </c>
      <c r="P109" s="36">
        <v>0</v>
      </c>
      <c r="Q109" s="69">
        <v>0</v>
      </c>
      <c r="R109" s="69">
        <v>0</v>
      </c>
      <c r="S109" s="70">
        <v>0</v>
      </c>
      <c r="T109" s="70">
        <v>0</v>
      </c>
      <c r="U109" s="70">
        <v>0</v>
      </c>
      <c r="V109" s="36">
        <v>0</v>
      </c>
      <c r="W109" s="70">
        <v>0</v>
      </c>
      <c r="X109" s="70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71">
        <f t="shared" si="52"/>
        <v>0</v>
      </c>
      <c r="AG109" s="71">
        <f t="shared" si="53"/>
        <v>0</v>
      </c>
      <c r="AH109" s="72">
        <f t="shared" si="54"/>
        <v>0</v>
      </c>
      <c r="AI109" s="36">
        <v>0</v>
      </c>
      <c r="AJ109" s="36">
        <v>0</v>
      </c>
      <c r="AK109" s="71">
        <f t="shared" si="55"/>
        <v>0</v>
      </c>
      <c r="AL109" s="71">
        <f t="shared" si="56"/>
        <v>0</v>
      </c>
      <c r="AM109" s="72">
        <f t="shared" si="57"/>
        <v>0</v>
      </c>
      <c r="AN109" s="70">
        <v>0</v>
      </c>
      <c r="AO109" s="70">
        <v>0</v>
      </c>
      <c r="AP109" s="3">
        <v>0</v>
      </c>
    </row>
    <row r="110" spans="1:42" s="3" customFormat="1" ht="15">
      <c r="A110" s="59" t="s">
        <v>448</v>
      </c>
      <c r="B110" s="59" t="s">
        <v>40</v>
      </c>
      <c r="C110" s="59" t="str">
        <f t="shared" si="58"/>
        <v>06103 GREEN MOUNTAIN SCHOOL DISTRICT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32483.03</v>
      </c>
      <c r="K110" s="36">
        <v>0</v>
      </c>
      <c r="L110" s="36">
        <v>5069</v>
      </c>
      <c r="M110" s="36">
        <v>164188.45000000001</v>
      </c>
      <c r="N110" s="50">
        <v>5.8500000000000003E-2</v>
      </c>
      <c r="O110" s="53">
        <v>0.31569999999999998</v>
      </c>
      <c r="P110" s="36">
        <v>0</v>
      </c>
      <c r="Q110" s="69">
        <v>0</v>
      </c>
      <c r="R110" s="69">
        <v>0</v>
      </c>
      <c r="S110" s="70">
        <v>0</v>
      </c>
      <c r="T110" s="70">
        <v>0</v>
      </c>
      <c r="U110" s="70">
        <v>0</v>
      </c>
      <c r="V110" s="36">
        <v>0</v>
      </c>
      <c r="W110" s="70">
        <v>0</v>
      </c>
      <c r="X110" s="70">
        <v>0</v>
      </c>
      <c r="Y110" s="36">
        <v>197.36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71">
        <f t="shared" si="52"/>
        <v>0</v>
      </c>
      <c r="AG110" s="71">
        <f t="shared" si="53"/>
        <v>0</v>
      </c>
      <c r="AH110" s="72">
        <f t="shared" si="54"/>
        <v>0</v>
      </c>
      <c r="AI110" s="36">
        <v>0</v>
      </c>
      <c r="AJ110" s="36">
        <v>0</v>
      </c>
      <c r="AK110" s="71">
        <f t="shared" si="55"/>
        <v>0</v>
      </c>
      <c r="AL110" s="71">
        <f t="shared" si="56"/>
        <v>0</v>
      </c>
      <c r="AM110" s="72">
        <f t="shared" si="57"/>
        <v>0</v>
      </c>
      <c r="AN110" s="70">
        <v>0</v>
      </c>
      <c r="AO110" s="70">
        <v>0</v>
      </c>
      <c r="AP110" s="3">
        <v>0</v>
      </c>
    </row>
    <row r="111" spans="1:42" s="3" customFormat="1" ht="15">
      <c r="A111" s="59" t="s">
        <v>665</v>
      </c>
      <c r="B111" s="59" t="s">
        <v>261</v>
      </c>
      <c r="C111" s="59" t="str">
        <f t="shared" si="58"/>
        <v>34324 GRIFFIN SCHOOL DISTRICT</v>
      </c>
      <c r="D111" s="36">
        <v>0</v>
      </c>
      <c r="E111" s="36">
        <v>0</v>
      </c>
      <c r="F111" s="36">
        <v>0</v>
      </c>
      <c r="G111" s="36">
        <v>856083.54</v>
      </c>
      <c r="H111" s="36">
        <v>115939.34</v>
      </c>
      <c r="I111" s="36">
        <v>0</v>
      </c>
      <c r="J111" s="36">
        <v>68276.429999999993</v>
      </c>
      <c r="K111" s="36">
        <v>0</v>
      </c>
      <c r="L111" s="36">
        <v>17276.009999999998</v>
      </c>
      <c r="M111" s="36">
        <v>772531.51</v>
      </c>
      <c r="N111" s="50">
        <v>3.95E-2</v>
      </c>
      <c r="O111" s="53">
        <v>0.2447</v>
      </c>
      <c r="P111" s="36">
        <v>0</v>
      </c>
      <c r="Q111" s="69">
        <v>0</v>
      </c>
      <c r="R111" s="69">
        <v>0</v>
      </c>
      <c r="S111" s="70">
        <v>0</v>
      </c>
      <c r="T111" s="70">
        <v>0</v>
      </c>
      <c r="U111" s="70">
        <v>0</v>
      </c>
      <c r="V111" s="36">
        <v>0</v>
      </c>
      <c r="W111" s="70">
        <v>0</v>
      </c>
      <c r="X111" s="70">
        <v>0</v>
      </c>
      <c r="Y111" s="36">
        <v>655.23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71">
        <f t="shared" si="52"/>
        <v>0</v>
      </c>
      <c r="AG111" s="71">
        <f t="shared" si="53"/>
        <v>0</v>
      </c>
      <c r="AH111" s="72">
        <f t="shared" si="54"/>
        <v>0</v>
      </c>
      <c r="AI111" s="36">
        <v>0</v>
      </c>
      <c r="AJ111" s="36">
        <v>0</v>
      </c>
      <c r="AK111" s="71">
        <f t="shared" si="55"/>
        <v>0</v>
      </c>
      <c r="AL111" s="71">
        <f t="shared" si="56"/>
        <v>0</v>
      </c>
      <c r="AM111" s="72">
        <f t="shared" si="57"/>
        <v>0</v>
      </c>
      <c r="AN111" s="70">
        <v>1401.6</v>
      </c>
      <c r="AO111" s="70">
        <v>891.36</v>
      </c>
      <c r="AP111" s="3">
        <v>0</v>
      </c>
    </row>
    <row r="112" spans="1:42" s="3" customFormat="1" ht="15">
      <c r="A112" s="59" t="s">
        <v>568</v>
      </c>
      <c r="B112" s="59" t="s">
        <v>160</v>
      </c>
      <c r="C112" s="59" t="str">
        <f t="shared" si="58"/>
        <v>22204 HARRINGTON SCHOOL DISTRICT</v>
      </c>
      <c r="D112" s="36">
        <v>0</v>
      </c>
      <c r="E112" s="36">
        <v>0</v>
      </c>
      <c r="F112" s="36">
        <v>0</v>
      </c>
      <c r="G112" s="36">
        <v>172487.1</v>
      </c>
      <c r="H112" s="36">
        <v>21584.560000000001</v>
      </c>
      <c r="I112" s="36">
        <v>35439.339999999997</v>
      </c>
      <c r="J112" s="36">
        <v>40150.31</v>
      </c>
      <c r="K112" s="36">
        <v>0</v>
      </c>
      <c r="L112" s="36">
        <v>0</v>
      </c>
      <c r="M112" s="36">
        <v>314225.69</v>
      </c>
      <c r="N112" s="50">
        <v>4.4699999999999997E-2</v>
      </c>
      <c r="O112" s="53">
        <v>0.17929999999999999</v>
      </c>
      <c r="P112" s="36">
        <v>0</v>
      </c>
      <c r="Q112" s="69">
        <v>0</v>
      </c>
      <c r="R112" s="69">
        <v>0</v>
      </c>
      <c r="S112" s="70">
        <v>0</v>
      </c>
      <c r="T112" s="70">
        <v>0</v>
      </c>
      <c r="U112" s="70">
        <v>0</v>
      </c>
      <c r="V112" s="36">
        <v>0</v>
      </c>
      <c r="W112" s="70">
        <v>0</v>
      </c>
      <c r="X112" s="70">
        <v>0</v>
      </c>
      <c r="Y112" s="36">
        <v>0</v>
      </c>
      <c r="Z112" s="36">
        <v>0</v>
      </c>
      <c r="AA112" s="36">
        <v>0</v>
      </c>
      <c r="AB112" s="36">
        <v>10998.96</v>
      </c>
      <c r="AC112" s="36">
        <v>56835.81</v>
      </c>
      <c r="AD112" s="36">
        <v>6.2</v>
      </c>
      <c r="AE112" s="36">
        <v>54364.639999999999</v>
      </c>
      <c r="AF112" s="71">
        <f t="shared" si="52"/>
        <v>8768.4903225806447</v>
      </c>
      <c r="AG112" s="71">
        <f t="shared" si="53"/>
        <v>9167.0661290322569</v>
      </c>
      <c r="AH112" s="72">
        <f t="shared" si="54"/>
        <v>398.58</v>
      </c>
      <c r="AI112" s="36">
        <v>1.2</v>
      </c>
      <c r="AJ112" s="36">
        <v>10111.49</v>
      </c>
      <c r="AK112" s="71">
        <f t="shared" si="55"/>
        <v>8426.2416666666668</v>
      </c>
      <c r="AL112" s="71">
        <f t="shared" si="56"/>
        <v>9165.7999999999993</v>
      </c>
      <c r="AM112" s="72">
        <f t="shared" si="57"/>
        <v>739.56</v>
      </c>
      <c r="AN112" s="70">
        <v>655.96</v>
      </c>
      <c r="AO112" s="70">
        <v>0</v>
      </c>
      <c r="AP112" s="3">
        <v>0</v>
      </c>
    </row>
    <row r="113" spans="1:42" s="3" customFormat="1" ht="15">
      <c r="A113" s="59" t="s">
        <v>704</v>
      </c>
      <c r="B113" s="59" t="s">
        <v>301</v>
      </c>
      <c r="C113" s="59" t="str">
        <f t="shared" si="58"/>
        <v>39203 HIGHLAND SCHOOL DISTRICT</v>
      </c>
      <c r="D113" s="36">
        <v>0</v>
      </c>
      <c r="E113" s="36">
        <v>0</v>
      </c>
      <c r="F113" s="36">
        <v>23757.84</v>
      </c>
      <c r="G113" s="36">
        <v>1432455.27</v>
      </c>
      <c r="H113" s="36">
        <v>227925.4</v>
      </c>
      <c r="I113" s="36">
        <v>314795.73</v>
      </c>
      <c r="J113" s="36">
        <v>552418.42000000004</v>
      </c>
      <c r="K113" s="36">
        <v>508029.02</v>
      </c>
      <c r="L113" s="36">
        <v>31655.439999999999</v>
      </c>
      <c r="M113" s="36">
        <v>802738.86</v>
      </c>
      <c r="N113" s="50">
        <v>5.4199999999999998E-2</v>
      </c>
      <c r="O113" s="53">
        <v>0.19869999999999999</v>
      </c>
      <c r="P113" s="36">
        <v>0</v>
      </c>
      <c r="Q113" s="69">
        <v>0</v>
      </c>
      <c r="R113" s="69">
        <v>0</v>
      </c>
      <c r="S113" s="70">
        <v>0</v>
      </c>
      <c r="T113" s="70">
        <v>0</v>
      </c>
      <c r="U113" s="70">
        <v>0</v>
      </c>
      <c r="V113" s="36">
        <v>0</v>
      </c>
      <c r="W113" s="70">
        <v>0</v>
      </c>
      <c r="X113" s="70">
        <v>0</v>
      </c>
      <c r="Y113" s="36">
        <v>1240.54</v>
      </c>
      <c r="Z113" s="36">
        <v>0</v>
      </c>
      <c r="AA113" s="36">
        <v>0</v>
      </c>
      <c r="AB113" s="36">
        <v>0</v>
      </c>
      <c r="AC113" s="36">
        <v>431066.2</v>
      </c>
      <c r="AD113" s="36">
        <v>47.41</v>
      </c>
      <c r="AE113" s="36">
        <v>407414.82</v>
      </c>
      <c r="AF113" s="71">
        <f t="shared" si="52"/>
        <v>8593.4364058215579</v>
      </c>
      <c r="AG113" s="71">
        <f t="shared" si="53"/>
        <v>9092.3054207973018</v>
      </c>
      <c r="AH113" s="72">
        <f t="shared" si="54"/>
        <v>498.87</v>
      </c>
      <c r="AI113" s="36">
        <v>0</v>
      </c>
      <c r="AJ113" s="36">
        <v>0</v>
      </c>
      <c r="AK113" s="71">
        <f t="shared" si="55"/>
        <v>0</v>
      </c>
      <c r="AL113" s="71">
        <f t="shared" si="56"/>
        <v>0</v>
      </c>
      <c r="AM113" s="72">
        <f t="shared" si="57"/>
        <v>0</v>
      </c>
      <c r="AN113" s="70">
        <v>18378.310000000001</v>
      </c>
      <c r="AO113" s="70">
        <v>0</v>
      </c>
      <c r="AP113" s="3">
        <v>0</v>
      </c>
    </row>
    <row r="114" spans="1:42" s="3" customFormat="1" ht="15">
      <c r="A114" s="59" t="s">
        <v>513</v>
      </c>
      <c r="B114" s="59" t="s">
        <v>105</v>
      </c>
      <c r="C114" s="59" t="str">
        <f t="shared" si="58"/>
        <v>17401 HIGHLINE SCHOOL DISTRICT</v>
      </c>
      <c r="D114" s="36">
        <v>0</v>
      </c>
      <c r="E114" s="36">
        <v>777878.77</v>
      </c>
      <c r="F114" s="36">
        <v>518919.7</v>
      </c>
      <c r="G114" s="36">
        <v>30391132.649999999</v>
      </c>
      <c r="H114" s="36">
        <v>5843398.9199999999</v>
      </c>
      <c r="I114" s="36">
        <v>5070697.7</v>
      </c>
      <c r="J114" s="36">
        <v>9648499.1099999994</v>
      </c>
      <c r="K114" s="36">
        <v>10838880.98</v>
      </c>
      <c r="L114" s="36">
        <v>606355.91</v>
      </c>
      <c r="M114" s="36">
        <v>7436985.8200000003</v>
      </c>
      <c r="N114" s="50">
        <v>3.85E-2</v>
      </c>
      <c r="O114" s="53">
        <v>0.1396</v>
      </c>
      <c r="P114" s="36">
        <v>0</v>
      </c>
      <c r="Q114" s="69">
        <v>0</v>
      </c>
      <c r="R114" s="69">
        <v>0</v>
      </c>
      <c r="S114" s="70">
        <v>0</v>
      </c>
      <c r="T114" s="70">
        <v>0</v>
      </c>
      <c r="U114" s="70">
        <v>0</v>
      </c>
      <c r="V114" s="36">
        <v>0</v>
      </c>
      <c r="W114" s="70">
        <v>0</v>
      </c>
      <c r="X114" s="70">
        <v>0</v>
      </c>
      <c r="Y114" s="36">
        <v>20727.16</v>
      </c>
      <c r="Z114" s="36">
        <v>110594.56</v>
      </c>
      <c r="AA114" s="36">
        <v>670204.73</v>
      </c>
      <c r="AB114" s="36">
        <v>1016121.93</v>
      </c>
      <c r="AC114" s="36">
        <v>8212790.7300000004</v>
      </c>
      <c r="AD114" s="36">
        <v>782.95</v>
      </c>
      <c r="AE114" s="36">
        <v>7568283.0499999998</v>
      </c>
      <c r="AF114" s="71">
        <f t="shared" si="52"/>
        <v>9666.36828660834</v>
      </c>
      <c r="AG114" s="71">
        <f t="shared" si="53"/>
        <v>10489.546880388276</v>
      </c>
      <c r="AH114" s="72">
        <f t="shared" si="54"/>
        <v>823.18</v>
      </c>
      <c r="AI114" s="36">
        <v>100.39</v>
      </c>
      <c r="AJ114" s="36">
        <v>943924.59</v>
      </c>
      <c r="AK114" s="71">
        <f t="shared" si="55"/>
        <v>9402.575854168741</v>
      </c>
      <c r="AL114" s="71">
        <f t="shared" si="56"/>
        <v>10121.744496463793</v>
      </c>
      <c r="AM114" s="72">
        <f t="shared" si="57"/>
        <v>719.17</v>
      </c>
      <c r="AN114" s="70">
        <v>0</v>
      </c>
      <c r="AO114" s="70">
        <v>0</v>
      </c>
      <c r="AP114" s="3">
        <v>0</v>
      </c>
    </row>
    <row r="115" spans="1:42" s="3" customFormat="1" ht="15">
      <c r="A115" s="59" t="s">
        <v>446</v>
      </c>
      <c r="B115" s="59" t="s">
        <v>38</v>
      </c>
      <c r="C115" s="59" t="str">
        <f t="shared" si="58"/>
        <v>06098 HOCKINSON SCHOOL DISTRICT</v>
      </c>
      <c r="D115" s="36">
        <v>0</v>
      </c>
      <c r="E115" s="36">
        <v>0</v>
      </c>
      <c r="F115" s="36">
        <v>0</v>
      </c>
      <c r="G115" s="36">
        <v>2243616.1</v>
      </c>
      <c r="H115" s="36">
        <v>342506.94</v>
      </c>
      <c r="I115" s="36">
        <v>0</v>
      </c>
      <c r="J115" s="36">
        <v>241763.76</v>
      </c>
      <c r="K115" s="36">
        <v>123097.23</v>
      </c>
      <c r="L115" s="36">
        <v>62727.9</v>
      </c>
      <c r="M115" s="36">
        <v>1673458.95</v>
      </c>
      <c r="N115" s="50">
        <v>5.3100000000000001E-2</v>
      </c>
      <c r="O115" s="53">
        <v>0.19239999999999999</v>
      </c>
      <c r="P115" s="36">
        <v>0</v>
      </c>
      <c r="Q115" s="69">
        <v>0</v>
      </c>
      <c r="R115" s="69">
        <v>0</v>
      </c>
      <c r="S115" s="70">
        <v>0</v>
      </c>
      <c r="T115" s="70">
        <v>0</v>
      </c>
      <c r="U115" s="70">
        <v>0</v>
      </c>
      <c r="V115" s="36">
        <v>0</v>
      </c>
      <c r="W115" s="70">
        <v>0</v>
      </c>
      <c r="X115" s="70">
        <v>0</v>
      </c>
      <c r="Y115" s="36">
        <v>2283.7199999999998</v>
      </c>
      <c r="Z115" s="36">
        <v>4549.74</v>
      </c>
      <c r="AA115" s="36">
        <v>11588.59</v>
      </c>
      <c r="AB115" s="36">
        <v>104579.1</v>
      </c>
      <c r="AC115" s="36">
        <v>527159.44999999995</v>
      </c>
      <c r="AD115" s="36">
        <v>54.54</v>
      </c>
      <c r="AE115" s="36">
        <v>487998.37</v>
      </c>
      <c r="AF115" s="71">
        <f t="shared" si="52"/>
        <v>8947.5315364869821</v>
      </c>
      <c r="AG115" s="71">
        <f t="shared" si="53"/>
        <v>9665.5564723138978</v>
      </c>
      <c r="AH115" s="72">
        <f t="shared" si="54"/>
        <v>718.02</v>
      </c>
      <c r="AI115" s="36">
        <v>11.17</v>
      </c>
      <c r="AJ115" s="36">
        <v>97185.12</v>
      </c>
      <c r="AK115" s="71">
        <f t="shared" si="55"/>
        <v>8700.5478961504032</v>
      </c>
      <c r="AL115" s="71">
        <f t="shared" si="56"/>
        <v>9362.4977618621306</v>
      </c>
      <c r="AM115" s="72">
        <f t="shared" si="57"/>
        <v>661.95</v>
      </c>
      <c r="AN115" s="70">
        <v>0</v>
      </c>
      <c r="AO115" s="70">
        <v>0</v>
      </c>
      <c r="AP115" s="3">
        <v>0</v>
      </c>
    </row>
    <row r="116" spans="1:42" s="3" customFormat="1" ht="15">
      <c r="A116" s="59" t="s">
        <v>576</v>
      </c>
      <c r="B116" s="59" t="s">
        <v>168</v>
      </c>
      <c r="C116" s="59" t="str">
        <f t="shared" si="58"/>
        <v>23404 HOOD CANAL SCHOOL DISTRICT</v>
      </c>
      <c r="D116" s="36">
        <v>0</v>
      </c>
      <c r="E116" s="36">
        <v>0</v>
      </c>
      <c r="F116" s="36">
        <v>0</v>
      </c>
      <c r="G116" s="36">
        <v>433888.11</v>
      </c>
      <c r="H116" s="36">
        <v>55287.83</v>
      </c>
      <c r="I116" s="36">
        <v>93621.49</v>
      </c>
      <c r="J116" s="36">
        <v>163759.99</v>
      </c>
      <c r="K116" s="36">
        <v>0</v>
      </c>
      <c r="L116" s="36">
        <v>9724.2099999999991</v>
      </c>
      <c r="M116" s="36">
        <v>568735.5</v>
      </c>
      <c r="N116" s="50">
        <v>7.1400000000000005E-2</v>
      </c>
      <c r="O116" s="53">
        <v>0.2225</v>
      </c>
      <c r="P116" s="36">
        <v>0</v>
      </c>
      <c r="Q116" s="69">
        <v>0</v>
      </c>
      <c r="R116" s="69">
        <v>0</v>
      </c>
      <c r="S116" s="70">
        <v>0</v>
      </c>
      <c r="T116" s="70">
        <v>0</v>
      </c>
      <c r="U116" s="70">
        <v>0</v>
      </c>
      <c r="V116" s="36">
        <v>0</v>
      </c>
      <c r="W116" s="70">
        <v>0</v>
      </c>
      <c r="X116" s="70">
        <v>0</v>
      </c>
      <c r="Y116" s="36">
        <v>390.21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71">
        <f t="shared" si="52"/>
        <v>0</v>
      </c>
      <c r="AG116" s="71">
        <f t="shared" si="53"/>
        <v>0</v>
      </c>
      <c r="AH116" s="72">
        <f t="shared" si="54"/>
        <v>0</v>
      </c>
      <c r="AI116" s="36">
        <v>0</v>
      </c>
      <c r="AJ116" s="36">
        <v>0</v>
      </c>
      <c r="AK116" s="71">
        <f t="shared" si="55"/>
        <v>0</v>
      </c>
      <c r="AL116" s="71">
        <f t="shared" si="56"/>
        <v>0</v>
      </c>
      <c r="AM116" s="72">
        <f t="shared" si="57"/>
        <v>0</v>
      </c>
      <c r="AN116" s="70">
        <v>1137.22</v>
      </c>
      <c r="AO116" s="70">
        <v>0</v>
      </c>
      <c r="AP116" s="3">
        <v>0</v>
      </c>
    </row>
    <row r="117" spans="1:42" s="3" customFormat="1" ht="15">
      <c r="A117" s="59" t="s">
        <v>489</v>
      </c>
      <c r="B117" s="59" t="s">
        <v>81</v>
      </c>
      <c r="C117" s="59" t="str">
        <f t="shared" si="58"/>
        <v>14028 HOQUIAM SCHOOL DISTRICT</v>
      </c>
      <c r="D117" s="36">
        <v>0</v>
      </c>
      <c r="E117" s="36">
        <v>45606.7</v>
      </c>
      <c r="F117" s="36">
        <v>45581.23</v>
      </c>
      <c r="G117" s="36">
        <v>2185702.2999999998</v>
      </c>
      <c r="H117" s="36">
        <v>328706.39</v>
      </c>
      <c r="I117" s="36">
        <v>475348.81</v>
      </c>
      <c r="J117" s="36">
        <v>793144.59</v>
      </c>
      <c r="K117" s="36">
        <v>176515.98</v>
      </c>
      <c r="L117" s="36">
        <v>48207.3</v>
      </c>
      <c r="M117" s="36">
        <v>1146351.1000000001</v>
      </c>
      <c r="N117" s="50">
        <v>4.0500000000000001E-2</v>
      </c>
      <c r="O117" s="53">
        <v>0.2011</v>
      </c>
      <c r="P117" s="36">
        <v>0</v>
      </c>
      <c r="Q117" s="69">
        <v>0</v>
      </c>
      <c r="R117" s="69">
        <v>0</v>
      </c>
      <c r="S117" s="70">
        <v>0</v>
      </c>
      <c r="T117" s="70">
        <v>0</v>
      </c>
      <c r="U117" s="70">
        <v>0</v>
      </c>
      <c r="V117" s="36">
        <v>0</v>
      </c>
      <c r="W117" s="70">
        <v>0</v>
      </c>
      <c r="X117" s="70">
        <v>0</v>
      </c>
      <c r="Y117" s="36">
        <v>0</v>
      </c>
      <c r="Z117" s="36">
        <v>14199.93</v>
      </c>
      <c r="AA117" s="36">
        <v>84124.78</v>
      </c>
      <c r="AB117" s="36">
        <v>115050.06</v>
      </c>
      <c r="AC117" s="36">
        <v>958111.18</v>
      </c>
      <c r="AD117" s="36">
        <v>104.74</v>
      </c>
      <c r="AE117" s="36">
        <v>899752.59</v>
      </c>
      <c r="AF117" s="71">
        <f t="shared" si="52"/>
        <v>8590.3436127553941</v>
      </c>
      <c r="AG117" s="71">
        <f t="shared" si="53"/>
        <v>9147.5193813251863</v>
      </c>
      <c r="AH117" s="72">
        <f t="shared" si="54"/>
        <v>557.17999999999995</v>
      </c>
      <c r="AI117" s="36">
        <v>12.81</v>
      </c>
      <c r="AJ117" s="36">
        <v>106835.94</v>
      </c>
      <c r="AK117" s="71">
        <f t="shared" si="55"/>
        <v>8340.042154566745</v>
      </c>
      <c r="AL117" s="71">
        <f t="shared" si="56"/>
        <v>8981.2693208430901</v>
      </c>
      <c r="AM117" s="72">
        <f t="shared" si="57"/>
        <v>641.23</v>
      </c>
      <c r="AN117" s="70">
        <v>1004.2</v>
      </c>
      <c r="AO117" s="70">
        <v>1120.02</v>
      </c>
      <c r="AP117" s="3">
        <v>0</v>
      </c>
    </row>
    <row r="118" spans="1:42" s="3" customFormat="1" ht="15">
      <c r="A118" s="59" t="s">
        <v>814</v>
      </c>
      <c r="B118" s="60" t="s">
        <v>798</v>
      </c>
      <c r="C118" s="60" t="str">
        <f>CONCATENATE(B118," ",A118," CHARTER")</f>
        <v>27902 IMPACT TACOMA CHARTER</v>
      </c>
      <c r="D118" s="36">
        <v>0</v>
      </c>
      <c r="E118" s="36">
        <v>0</v>
      </c>
      <c r="F118" s="36">
        <v>0</v>
      </c>
      <c r="G118" s="36">
        <v>303582.59999999998</v>
      </c>
      <c r="H118" s="36">
        <v>20407.16</v>
      </c>
      <c r="I118" s="36">
        <v>87024.960000000006</v>
      </c>
      <c r="J118" s="36">
        <v>103720.93</v>
      </c>
      <c r="K118" s="36">
        <v>39833.19</v>
      </c>
      <c r="L118" s="36">
        <v>10749.46</v>
      </c>
      <c r="M118" s="36">
        <v>252828.24</v>
      </c>
      <c r="N118" s="50">
        <v>0.08</v>
      </c>
      <c r="O118" s="53">
        <v>0.1</v>
      </c>
      <c r="P118" s="36">
        <v>0</v>
      </c>
      <c r="Q118" s="69">
        <v>0</v>
      </c>
      <c r="R118" s="69">
        <v>0</v>
      </c>
      <c r="S118" s="70">
        <v>0</v>
      </c>
      <c r="T118" s="70">
        <v>0</v>
      </c>
      <c r="U118" s="70">
        <v>0</v>
      </c>
      <c r="V118" s="36">
        <v>0</v>
      </c>
      <c r="W118" s="70">
        <v>0</v>
      </c>
      <c r="X118" s="70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71">
        <f t="shared" si="52"/>
        <v>0</v>
      </c>
      <c r="AG118" s="71">
        <f t="shared" si="53"/>
        <v>0</v>
      </c>
      <c r="AH118" s="72">
        <f t="shared" si="54"/>
        <v>0</v>
      </c>
      <c r="AI118" s="36">
        <v>0</v>
      </c>
      <c r="AJ118" s="36">
        <v>0</v>
      </c>
      <c r="AK118" s="71">
        <f t="shared" si="55"/>
        <v>0</v>
      </c>
      <c r="AL118" s="71">
        <f t="shared" si="56"/>
        <v>0</v>
      </c>
      <c r="AM118" s="72">
        <f t="shared" si="57"/>
        <v>0</v>
      </c>
      <c r="AN118" s="70">
        <v>0</v>
      </c>
      <c r="AO118" s="70">
        <v>0</v>
      </c>
      <c r="AP118" s="3">
        <v>0</v>
      </c>
    </row>
    <row r="119" spans="1:42" s="3" customFormat="1" ht="15">
      <c r="A119" s="59" t="s">
        <v>771</v>
      </c>
      <c r="B119" s="60" t="s">
        <v>744</v>
      </c>
      <c r="C119" s="60" t="str">
        <f>CONCATENATE(B119," ",A119," CHARTER")</f>
        <v>17911 IMPACT PUGET SOUND CHARTER</v>
      </c>
      <c r="D119" s="36">
        <v>0</v>
      </c>
      <c r="E119" s="36">
        <v>0</v>
      </c>
      <c r="F119" s="36">
        <v>0</v>
      </c>
      <c r="G119" s="36">
        <v>410113.06</v>
      </c>
      <c r="H119" s="36">
        <v>29706.26</v>
      </c>
      <c r="I119" s="36">
        <v>204514.83</v>
      </c>
      <c r="J119" s="36">
        <v>267414.82</v>
      </c>
      <c r="K119" s="36">
        <v>266031.7</v>
      </c>
      <c r="L119" s="36">
        <v>20487.43</v>
      </c>
      <c r="M119" s="36">
        <v>298354.83</v>
      </c>
      <c r="N119" s="50">
        <v>0.08</v>
      </c>
      <c r="O119" s="53">
        <v>0.1</v>
      </c>
      <c r="P119" s="36">
        <v>0</v>
      </c>
      <c r="Q119" s="69">
        <v>0</v>
      </c>
      <c r="R119" s="69">
        <v>0</v>
      </c>
      <c r="S119" s="70">
        <v>0</v>
      </c>
      <c r="T119" s="70">
        <v>0</v>
      </c>
      <c r="U119" s="70">
        <v>0</v>
      </c>
      <c r="V119" s="36">
        <v>0</v>
      </c>
      <c r="W119" s="70">
        <v>0</v>
      </c>
      <c r="X119" s="70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71">
        <f t="shared" si="52"/>
        <v>0</v>
      </c>
      <c r="AG119" s="71">
        <f t="shared" si="53"/>
        <v>0</v>
      </c>
      <c r="AH119" s="72">
        <f t="shared" si="54"/>
        <v>0</v>
      </c>
      <c r="AI119" s="36">
        <v>0</v>
      </c>
      <c r="AJ119" s="36">
        <v>0</v>
      </c>
      <c r="AK119" s="71">
        <f t="shared" si="55"/>
        <v>0</v>
      </c>
      <c r="AL119" s="71">
        <f t="shared" si="56"/>
        <v>0</v>
      </c>
      <c r="AM119" s="72">
        <f t="shared" si="57"/>
        <v>0</v>
      </c>
      <c r="AN119" s="70">
        <v>0</v>
      </c>
      <c r="AO119" s="70">
        <v>0</v>
      </c>
      <c r="AP119" s="3">
        <v>0</v>
      </c>
    </row>
    <row r="120" spans="1:42" s="3" customFormat="1" ht="15">
      <c r="A120" s="59" t="s">
        <v>773</v>
      </c>
      <c r="B120" s="60" t="s">
        <v>772</v>
      </c>
      <c r="C120" s="60" t="str">
        <f>CONCATENATE(B120," ",A120," CHARTER")</f>
        <v>17916 IMPACT SALISH SEA CHARTER</v>
      </c>
      <c r="D120" s="36">
        <v>0</v>
      </c>
      <c r="E120" s="36">
        <v>0</v>
      </c>
      <c r="F120" s="36">
        <v>0</v>
      </c>
      <c r="G120" s="36">
        <v>207938.98</v>
      </c>
      <c r="H120" s="36">
        <v>15038.96</v>
      </c>
      <c r="I120" s="36">
        <v>0</v>
      </c>
      <c r="J120" s="36">
        <v>125200.94</v>
      </c>
      <c r="K120" s="36">
        <v>104860.9</v>
      </c>
      <c r="L120" s="36">
        <v>11501.72</v>
      </c>
      <c r="M120" s="36">
        <v>105116.96</v>
      </c>
      <c r="N120" s="50">
        <v>0.08</v>
      </c>
      <c r="O120" s="53">
        <v>0.1</v>
      </c>
      <c r="P120" s="36">
        <v>0</v>
      </c>
      <c r="Q120" s="69">
        <v>0</v>
      </c>
      <c r="R120" s="69">
        <v>0</v>
      </c>
      <c r="S120" s="70">
        <v>0</v>
      </c>
      <c r="T120" s="70">
        <v>0</v>
      </c>
      <c r="U120" s="70">
        <v>0</v>
      </c>
      <c r="V120" s="36">
        <v>0</v>
      </c>
      <c r="W120" s="70">
        <v>0</v>
      </c>
      <c r="X120" s="70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71">
        <f t="shared" si="52"/>
        <v>0</v>
      </c>
      <c r="AG120" s="71">
        <f t="shared" si="53"/>
        <v>0</v>
      </c>
      <c r="AH120" s="72">
        <f t="shared" si="54"/>
        <v>0</v>
      </c>
      <c r="AI120" s="36">
        <v>0</v>
      </c>
      <c r="AJ120" s="36">
        <v>0</v>
      </c>
      <c r="AK120" s="71">
        <f t="shared" si="55"/>
        <v>0</v>
      </c>
      <c r="AL120" s="71">
        <f t="shared" si="56"/>
        <v>0</v>
      </c>
      <c r="AM120" s="72">
        <f t="shared" si="57"/>
        <v>0</v>
      </c>
      <c r="AN120" s="70">
        <v>0</v>
      </c>
      <c r="AO120" s="70">
        <v>0</v>
      </c>
      <c r="AP120" s="3">
        <v>0</v>
      </c>
    </row>
    <row r="121" spans="1:42" s="3" customFormat="1" ht="15">
      <c r="A121" s="59" t="s">
        <v>471</v>
      </c>
      <c r="B121" s="59" t="s">
        <v>63</v>
      </c>
      <c r="C121" s="59" t="str">
        <f t="shared" ref="C121:C146" si="59">CONCATENATE(B121," ",A121," SCHOOL DISTRICT")</f>
        <v>10070 INCHELIUM SCHOOL DISTRICT</v>
      </c>
      <c r="D121" s="36">
        <v>0</v>
      </c>
      <c r="E121" s="36">
        <v>0</v>
      </c>
      <c r="F121" s="36">
        <v>0</v>
      </c>
      <c r="G121" s="36">
        <v>256581.92</v>
      </c>
      <c r="H121" s="36">
        <v>35301.25</v>
      </c>
      <c r="I121" s="36">
        <v>66621.25</v>
      </c>
      <c r="J121" s="36">
        <v>119587.21</v>
      </c>
      <c r="K121" s="36">
        <v>0</v>
      </c>
      <c r="L121" s="36">
        <v>5896.6</v>
      </c>
      <c r="M121" s="36">
        <v>0</v>
      </c>
      <c r="N121" s="50">
        <v>9.6600000000000005E-2</v>
      </c>
      <c r="O121" s="53">
        <v>0.3281</v>
      </c>
      <c r="P121" s="36">
        <v>0</v>
      </c>
      <c r="Q121" s="69">
        <v>0</v>
      </c>
      <c r="R121" s="69">
        <v>0</v>
      </c>
      <c r="S121" s="70">
        <v>0</v>
      </c>
      <c r="T121" s="70">
        <v>0</v>
      </c>
      <c r="U121" s="70">
        <v>0</v>
      </c>
      <c r="V121" s="36">
        <v>0</v>
      </c>
      <c r="W121" s="70">
        <v>0</v>
      </c>
      <c r="X121" s="70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5069.13</v>
      </c>
      <c r="AD121" s="36">
        <v>0</v>
      </c>
      <c r="AE121" s="36">
        <v>0</v>
      </c>
      <c r="AF121" s="71">
        <f t="shared" si="52"/>
        <v>0</v>
      </c>
      <c r="AG121" s="71">
        <f t="shared" si="53"/>
        <v>0</v>
      </c>
      <c r="AH121" s="72">
        <f t="shared" si="54"/>
        <v>0</v>
      </c>
      <c r="AI121" s="36">
        <v>0</v>
      </c>
      <c r="AJ121" s="36">
        <v>0</v>
      </c>
      <c r="AK121" s="71">
        <f t="shared" si="55"/>
        <v>0</v>
      </c>
      <c r="AL121" s="71">
        <f t="shared" si="56"/>
        <v>0</v>
      </c>
      <c r="AM121" s="72">
        <f t="shared" si="57"/>
        <v>0</v>
      </c>
      <c r="AN121" s="70">
        <v>1506.17</v>
      </c>
      <c r="AO121" s="70">
        <v>0</v>
      </c>
      <c r="AP121" s="3">
        <v>0</v>
      </c>
    </row>
    <row r="122" spans="1:42" s="3" customFormat="1" ht="15">
      <c r="A122" s="59" t="s">
        <v>629</v>
      </c>
      <c r="B122" s="59" t="s">
        <v>222</v>
      </c>
      <c r="C122" s="59" t="str">
        <f t="shared" si="59"/>
        <v>31063 INDEX SCHOOL DISTRICT</v>
      </c>
      <c r="D122" s="36">
        <v>0</v>
      </c>
      <c r="E122" s="36">
        <v>0</v>
      </c>
      <c r="F122" s="36">
        <v>0</v>
      </c>
      <c r="G122" s="36">
        <v>27380.31</v>
      </c>
      <c r="H122" s="36">
        <v>3882.71</v>
      </c>
      <c r="I122" s="36">
        <v>0</v>
      </c>
      <c r="J122" s="36">
        <v>9034.1299999999992</v>
      </c>
      <c r="K122" s="36">
        <v>0</v>
      </c>
      <c r="L122" s="36">
        <v>0</v>
      </c>
      <c r="M122" s="36">
        <v>131266.28</v>
      </c>
      <c r="N122" s="50">
        <v>0.26629999999999998</v>
      </c>
      <c r="O122" s="53">
        <v>0.56259999999999999</v>
      </c>
      <c r="P122" s="36">
        <v>0</v>
      </c>
      <c r="Q122" s="69">
        <v>0</v>
      </c>
      <c r="R122" s="69">
        <v>0</v>
      </c>
      <c r="S122" s="70">
        <v>0</v>
      </c>
      <c r="T122" s="70">
        <v>0</v>
      </c>
      <c r="U122" s="70">
        <v>0</v>
      </c>
      <c r="V122" s="36">
        <v>0</v>
      </c>
      <c r="W122" s="70">
        <v>0</v>
      </c>
      <c r="X122" s="70">
        <v>0</v>
      </c>
      <c r="Y122" s="36">
        <v>23.68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71">
        <f t="shared" si="52"/>
        <v>0</v>
      </c>
      <c r="AG122" s="71">
        <f t="shared" si="53"/>
        <v>0</v>
      </c>
      <c r="AH122" s="72">
        <f t="shared" si="54"/>
        <v>0</v>
      </c>
      <c r="AI122" s="36">
        <v>0</v>
      </c>
      <c r="AJ122" s="36">
        <v>0</v>
      </c>
      <c r="AK122" s="71">
        <f t="shared" si="55"/>
        <v>0</v>
      </c>
      <c r="AL122" s="71">
        <f t="shared" si="56"/>
        <v>0</v>
      </c>
      <c r="AM122" s="72">
        <f t="shared" si="57"/>
        <v>0</v>
      </c>
      <c r="AN122" s="70">
        <v>0</v>
      </c>
      <c r="AO122" s="70">
        <v>0</v>
      </c>
      <c r="AP122" s="3">
        <v>0</v>
      </c>
    </row>
    <row r="123" spans="1:42" s="3" customFormat="1" ht="15">
      <c r="A123" s="59" t="s">
        <v>523</v>
      </c>
      <c r="B123" s="59" t="s">
        <v>115</v>
      </c>
      <c r="C123" s="59" t="str">
        <f t="shared" si="59"/>
        <v>17411 ISSAQUAH SCHOOL DISTRICT</v>
      </c>
      <c r="D123" s="36">
        <v>0</v>
      </c>
      <c r="E123" s="36">
        <v>0</v>
      </c>
      <c r="F123" s="36">
        <v>0</v>
      </c>
      <c r="G123" s="36">
        <v>24717168.059999999</v>
      </c>
      <c r="H123" s="36">
        <v>3749195.63</v>
      </c>
      <c r="I123" s="36">
        <v>0</v>
      </c>
      <c r="J123" s="36">
        <v>1493545.3</v>
      </c>
      <c r="K123" s="36">
        <v>2834183.83</v>
      </c>
      <c r="L123" s="36">
        <v>663025.81999999995</v>
      </c>
      <c r="M123" s="36">
        <v>12569307.98</v>
      </c>
      <c r="N123" s="50">
        <v>2.8899999999999999E-2</v>
      </c>
      <c r="O123" s="53">
        <v>0.12770000000000001</v>
      </c>
      <c r="P123" s="36">
        <v>0</v>
      </c>
      <c r="Q123" s="69">
        <v>0</v>
      </c>
      <c r="R123" s="69">
        <v>0</v>
      </c>
      <c r="S123" s="70">
        <v>2038044.8399999999</v>
      </c>
      <c r="T123" s="70">
        <v>115178.27000000031</v>
      </c>
      <c r="U123" s="70">
        <v>63205.5</v>
      </c>
      <c r="V123" s="36">
        <v>0</v>
      </c>
      <c r="W123" s="70">
        <v>0</v>
      </c>
      <c r="X123" s="70">
        <v>0</v>
      </c>
      <c r="Y123" s="36">
        <v>16998.78</v>
      </c>
      <c r="Z123" s="36">
        <v>0</v>
      </c>
      <c r="AA123" s="36">
        <v>22099.279999999999</v>
      </c>
      <c r="AB123" s="36">
        <v>826614.07</v>
      </c>
      <c r="AC123" s="36">
        <v>11150630.449999999</v>
      </c>
      <c r="AD123" s="36">
        <v>1023.23</v>
      </c>
      <c r="AE123" s="36">
        <v>9890857.9700000007</v>
      </c>
      <c r="AF123" s="71">
        <f t="shared" si="52"/>
        <v>9666.3095980375874</v>
      </c>
      <c r="AG123" s="71">
        <f t="shared" si="53"/>
        <v>10897.48194443087</v>
      </c>
      <c r="AH123" s="72">
        <f t="shared" si="54"/>
        <v>1231.17</v>
      </c>
      <c r="AI123" s="36">
        <v>81.66</v>
      </c>
      <c r="AJ123" s="36">
        <v>767995.61</v>
      </c>
      <c r="AK123" s="71">
        <f t="shared" si="55"/>
        <v>9404.795615968651</v>
      </c>
      <c r="AL123" s="71">
        <f t="shared" si="56"/>
        <v>10122.631276022532</v>
      </c>
      <c r="AM123" s="72">
        <f t="shared" si="57"/>
        <v>717.84</v>
      </c>
      <c r="AN123" s="70">
        <v>27274.33</v>
      </c>
      <c r="AO123" s="70">
        <v>0</v>
      </c>
      <c r="AP123" s="3">
        <v>0</v>
      </c>
    </row>
    <row r="124" spans="1:42" s="3" customFormat="1" ht="15">
      <c r="A124" s="59" t="s">
        <v>476</v>
      </c>
      <c r="B124" s="59" t="s">
        <v>68</v>
      </c>
      <c r="C124" s="59" t="str">
        <f t="shared" si="59"/>
        <v>11056 KAHLOTUS SCHOOL DISTRICT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12848.08</v>
      </c>
      <c r="J124" s="36">
        <v>19165.07</v>
      </c>
      <c r="K124" s="36">
        <v>0</v>
      </c>
      <c r="L124" s="36">
        <v>0</v>
      </c>
      <c r="M124" s="36">
        <v>88663.07</v>
      </c>
      <c r="N124" s="50">
        <v>6.7400000000000002E-2</v>
      </c>
      <c r="O124" s="53">
        <v>0.51029999999999998</v>
      </c>
      <c r="P124" s="36">
        <v>0</v>
      </c>
      <c r="Q124" s="69">
        <v>0</v>
      </c>
      <c r="R124" s="69">
        <v>0</v>
      </c>
      <c r="S124" s="70">
        <v>0</v>
      </c>
      <c r="T124" s="70">
        <v>0</v>
      </c>
      <c r="U124" s="70">
        <v>0</v>
      </c>
      <c r="V124" s="36">
        <v>0</v>
      </c>
      <c r="W124" s="70">
        <v>0</v>
      </c>
      <c r="X124" s="70">
        <v>0</v>
      </c>
      <c r="Y124" s="36">
        <v>0</v>
      </c>
      <c r="Z124" s="36">
        <v>0</v>
      </c>
      <c r="AA124" s="36">
        <v>0</v>
      </c>
      <c r="AB124" s="36">
        <v>2142.86</v>
      </c>
      <c r="AC124" s="36">
        <v>28568.18</v>
      </c>
      <c r="AD124" s="36">
        <v>3.13</v>
      </c>
      <c r="AE124" s="36">
        <v>27465.47</v>
      </c>
      <c r="AF124" s="71">
        <f t="shared" si="52"/>
        <v>8774.9105431309908</v>
      </c>
      <c r="AG124" s="71">
        <f t="shared" si="53"/>
        <v>9127.2140575079884</v>
      </c>
      <c r="AH124" s="72">
        <f t="shared" si="54"/>
        <v>352.3</v>
      </c>
      <c r="AI124" s="36">
        <v>0.23</v>
      </c>
      <c r="AJ124" s="36">
        <v>1986.5</v>
      </c>
      <c r="AK124" s="71">
        <f t="shared" si="55"/>
        <v>8636.95652173913</v>
      </c>
      <c r="AL124" s="71">
        <f t="shared" si="56"/>
        <v>9316.782608695652</v>
      </c>
      <c r="AM124" s="72">
        <f t="shared" si="57"/>
        <v>679.83</v>
      </c>
      <c r="AN124" s="70">
        <v>29.55</v>
      </c>
      <c r="AO124" s="70">
        <v>27.01</v>
      </c>
      <c r="AP124" s="3">
        <v>0</v>
      </c>
    </row>
    <row r="125" spans="1:42" s="3" customFormat="1" ht="15">
      <c r="A125" s="59" t="s">
        <v>459</v>
      </c>
      <c r="B125" s="59" t="s">
        <v>51</v>
      </c>
      <c r="C125" s="59" t="str">
        <f t="shared" si="59"/>
        <v>08402 KALAMA SCHOOL DISTRICT</v>
      </c>
      <c r="D125" s="36">
        <v>0</v>
      </c>
      <c r="E125" s="36">
        <v>20183.32</v>
      </c>
      <c r="F125" s="36">
        <v>0</v>
      </c>
      <c r="G125" s="36">
        <v>0</v>
      </c>
      <c r="H125" s="36">
        <v>0</v>
      </c>
      <c r="I125" s="36">
        <v>0</v>
      </c>
      <c r="J125" s="36">
        <v>210519</v>
      </c>
      <c r="K125" s="36">
        <v>0</v>
      </c>
      <c r="L125" s="36">
        <v>34241.67</v>
      </c>
      <c r="M125" s="36">
        <v>0</v>
      </c>
      <c r="N125" s="50">
        <v>3.6600000000000001E-2</v>
      </c>
      <c r="O125" s="53">
        <v>0.20050000000000001</v>
      </c>
      <c r="P125" s="36">
        <v>0</v>
      </c>
      <c r="Q125" s="69">
        <v>0</v>
      </c>
      <c r="R125" s="69">
        <v>0</v>
      </c>
      <c r="S125" s="70">
        <v>0</v>
      </c>
      <c r="T125" s="70">
        <v>0</v>
      </c>
      <c r="U125" s="70">
        <v>0</v>
      </c>
      <c r="V125" s="36">
        <v>0</v>
      </c>
      <c r="W125" s="70">
        <v>0</v>
      </c>
      <c r="X125" s="70">
        <v>0</v>
      </c>
      <c r="Y125" s="36">
        <v>1308.21</v>
      </c>
      <c r="Z125" s="36">
        <v>14675.85</v>
      </c>
      <c r="AA125" s="36">
        <v>2796.09</v>
      </c>
      <c r="AB125" s="36">
        <v>146995.85999999999</v>
      </c>
      <c r="AC125" s="36">
        <v>358683.58</v>
      </c>
      <c r="AD125" s="36">
        <v>38.049999999999997</v>
      </c>
      <c r="AE125" s="36">
        <v>326822.18</v>
      </c>
      <c r="AF125" s="71">
        <f t="shared" si="52"/>
        <v>8589.2819973718797</v>
      </c>
      <c r="AG125" s="71">
        <f t="shared" si="53"/>
        <v>9426.6381077529586</v>
      </c>
      <c r="AH125" s="72">
        <f t="shared" si="54"/>
        <v>837.36</v>
      </c>
      <c r="AI125" s="36">
        <v>16.37</v>
      </c>
      <c r="AJ125" s="36">
        <v>136359.71</v>
      </c>
      <c r="AK125" s="71">
        <f t="shared" si="55"/>
        <v>8329.8540012217454</v>
      </c>
      <c r="AL125" s="71">
        <f t="shared" si="56"/>
        <v>8979.5882712278544</v>
      </c>
      <c r="AM125" s="72">
        <f t="shared" si="57"/>
        <v>649.73</v>
      </c>
      <c r="AN125" s="70">
        <v>0</v>
      </c>
      <c r="AO125" s="70">
        <v>0</v>
      </c>
      <c r="AP125" s="3">
        <v>0</v>
      </c>
    </row>
    <row r="126" spans="1:42" s="3" customFormat="1" ht="15">
      <c r="A126" s="59" t="s">
        <v>468</v>
      </c>
      <c r="B126" s="59" t="s">
        <v>60</v>
      </c>
      <c r="C126" s="59" t="str">
        <f t="shared" si="59"/>
        <v>10003 KELLER SCHOOL DISTRICT</v>
      </c>
      <c r="D126" s="36">
        <v>0</v>
      </c>
      <c r="E126" s="36">
        <v>0</v>
      </c>
      <c r="F126" s="36">
        <v>0</v>
      </c>
      <c r="G126" s="36">
        <v>57355.15</v>
      </c>
      <c r="H126" s="36">
        <v>3043.78</v>
      </c>
      <c r="I126" s="36">
        <v>10344.9</v>
      </c>
      <c r="J126" s="36">
        <v>21207.07</v>
      </c>
      <c r="K126" s="36">
        <v>0</v>
      </c>
      <c r="L126" s="36">
        <v>1034.49</v>
      </c>
      <c r="M126" s="36">
        <v>154452.26999999999</v>
      </c>
      <c r="N126" s="50">
        <v>2.4299999999999999E-2</v>
      </c>
      <c r="O126" s="53">
        <v>0.25609999999999999</v>
      </c>
      <c r="P126" s="36">
        <v>0</v>
      </c>
      <c r="Q126" s="69">
        <v>0</v>
      </c>
      <c r="R126" s="69">
        <v>0</v>
      </c>
      <c r="S126" s="70">
        <v>0</v>
      </c>
      <c r="T126" s="70">
        <v>0</v>
      </c>
      <c r="U126" s="70">
        <v>0</v>
      </c>
      <c r="V126" s="36">
        <v>0</v>
      </c>
      <c r="W126" s="70">
        <v>0</v>
      </c>
      <c r="X126" s="70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71">
        <f t="shared" si="52"/>
        <v>0</v>
      </c>
      <c r="AG126" s="71">
        <f t="shared" si="53"/>
        <v>0</v>
      </c>
      <c r="AH126" s="72">
        <f t="shared" si="54"/>
        <v>0</v>
      </c>
      <c r="AI126" s="36">
        <v>0</v>
      </c>
      <c r="AJ126" s="36">
        <v>0</v>
      </c>
      <c r="AK126" s="71">
        <f t="shared" si="55"/>
        <v>0</v>
      </c>
      <c r="AL126" s="71">
        <f t="shared" si="56"/>
        <v>0</v>
      </c>
      <c r="AM126" s="72">
        <f t="shared" si="57"/>
        <v>0</v>
      </c>
      <c r="AN126" s="70">
        <v>230.99</v>
      </c>
      <c r="AO126" s="70">
        <v>0</v>
      </c>
      <c r="AP126" s="3">
        <v>0</v>
      </c>
    </row>
    <row r="127" spans="1:42" s="3" customFormat="1" ht="15">
      <c r="A127" s="59" t="s">
        <v>461</v>
      </c>
      <c r="B127" s="59" t="s">
        <v>53</v>
      </c>
      <c r="C127" s="59" t="str">
        <f t="shared" si="59"/>
        <v>08458 KELSO SCHOOL DISTRICT</v>
      </c>
      <c r="D127" s="36">
        <v>0</v>
      </c>
      <c r="E127" s="36">
        <v>179067</v>
      </c>
      <c r="F127" s="36">
        <v>49440.51</v>
      </c>
      <c r="G127" s="36">
        <v>7674268.6799999997</v>
      </c>
      <c r="H127" s="36">
        <v>1747894.31</v>
      </c>
      <c r="I127" s="36">
        <v>1381459.86</v>
      </c>
      <c r="J127" s="36">
        <v>1954775.01</v>
      </c>
      <c r="K127" s="36">
        <v>546093.13</v>
      </c>
      <c r="L127" s="36">
        <v>148346.07</v>
      </c>
      <c r="M127" s="36">
        <v>2787443.53</v>
      </c>
      <c r="N127" s="50">
        <v>5.2900000000000003E-2</v>
      </c>
      <c r="O127" s="53">
        <v>0.16020000000000001</v>
      </c>
      <c r="P127" s="36">
        <v>0</v>
      </c>
      <c r="Q127" s="69">
        <v>0</v>
      </c>
      <c r="R127" s="69">
        <v>0</v>
      </c>
      <c r="S127" s="70">
        <v>0</v>
      </c>
      <c r="T127" s="70">
        <v>0</v>
      </c>
      <c r="U127" s="70">
        <v>0</v>
      </c>
      <c r="V127" s="36">
        <v>0</v>
      </c>
      <c r="W127" s="70">
        <v>0</v>
      </c>
      <c r="X127" s="70">
        <v>0</v>
      </c>
      <c r="Y127" s="36">
        <v>4701.6499999999996</v>
      </c>
      <c r="Z127" s="36">
        <v>42053.78</v>
      </c>
      <c r="AA127" s="36">
        <v>184515.97</v>
      </c>
      <c r="AB127" s="36">
        <v>496634.08</v>
      </c>
      <c r="AC127" s="36">
        <v>3290509.83</v>
      </c>
      <c r="AD127" s="36">
        <v>358.16</v>
      </c>
      <c r="AE127" s="36">
        <v>3076543.76</v>
      </c>
      <c r="AF127" s="71">
        <f t="shared" si="52"/>
        <v>8589.8586106767907</v>
      </c>
      <c r="AG127" s="71">
        <f t="shared" si="53"/>
        <v>9187.2622012508364</v>
      </c>
      <c r="AH127" s="72">
        <f t="shared" si="54"/>
        <v>597.4</v>
      </c>
      <c r="AI127" s="36">
        <v>55.33</v>
      </c>
      <c r="AJ127" s="36">
        <v>461174.57</v>
      </c>
      <c r="AK127" s="71">
        <f t="shared" si="55"/>
        <v>8334.9822880896445</v>
      </c>
      <c r="AL127" s="71">
        <f t="shared" si="56"/>
        <v>8975.8554129766853</v>
      </c>
      <c r="AM127" s="72">
        <f t="shared" si="57"/>
        <v>640.87</v>
      </c>
      <c r="AN127" s="70">
        <v>0</v>
      </c>
      <c r="AO127" s="70">
        <v>0</v>
      </c>
      <c r="AP127" s="3">
        <v>0</v>
      </c>
    </row>
    <row r="128" spans="1:42" s="3" customFormat="1" ht="15">
      <c r="A128" s="59" t="s">
        <v>427</v>
      </c>
      <c r="B128" s="59" t="s">
        <v>19</v>
      </c>
      <c r="C128" s="59" t="str">
        <f t="shared" si="59"/>
        <v>03017 KENNEWICK SCHOOL DISTRICT</v>
      </c>
      <c r="D128" s="36">
        <v>0</v>
      </c>
      <c r="E128" s="36">
        <v>428651.51</v>
      </c>
      <c r="F128" s="36">
        <v>157216.51999999999</v>
      </c>
      <c r="G128" s="36">
        <v>25283235.109999999</v>
      </c>
      <c r="H128" s="36">
        <v>6090114.7800000003</v>
      </c>
      <c r="I128" s="36">
        <v>3807859.51</v>
      </c>
      <c r="J128" s="36">
        <v>7126301.1299999999</v>
      </c>
      <c r="K128" s="36">
        <v>4732231.9400000004</v>
      </c>
      <c r="L128" s="36">
        <v>553349.47</v>
      </c>
      <c r="M128" s="36">
        <v>9937524.9100000001</v>
      </c>
      <c r="N128" s="50">
        <v>4.99E-2</v>
      </c>
      <c r="O128" s="53">
        <v>0.1215</v>
      </c>
      <c r="P128" s="36">
        <v>161133.94</v>
      </c>
      <c r="Q128" s="69">
        <v>15357.420000000002</v>
      </c>
      <c r="R128" s="69">
        <v>6679.59</v>
      </c>
      <c r="S128" s="70">
        <v>401685.32</v>
      </c>
      <c r="T128" s="70">
        <v>202.95000000001164</v>
      </c>
      <c r="U128" s="70">
        <v>12688.39</v>
      </c>
      <c r="V128" s="36">
        <v>0</v>
      </c>
      <c r="W128" s="70">
        <v>0</v>
      </c>
      <c r="X128" s="70">
        <v>0</v>
      </c>
      <c r="Y128" s="36">
        <v>604.48</v>
      </c>
      <c r="Z128" s="36">
        <v>79836.27</v>
      </c>
      <c r="AA128" s="36">
        <v>129090.74</v>
      </c>
      <c r="AB128" s="36">
        <v>1363883.32</v>
      </c>
      <c r="AC128" s="36">
        <v>7973148.54</v>
      </c>
      <c r="AD128" s="36">
        <v>861.43</v>
      </c>
      <c r="AE128" s="36">
        <v>7399814.2000000002</v>
      </c>
      <c r="AF128" s="71">
        <f t="shared" si="52"/>
        <v>8590.1514922860824</v>
      </c>
      <c r="AG128" s="71">
        <f t="shared" si="53"/>
        <v>9255.7126406092193</v>
      </c>
      <c r="AH128" s="72">
        <f t="shared" si="54"/>
        <v>665.56</v>
      </c>
      <c r="AI128" s="36">
        <v>151.93</v>
      </c>
      <c r="AJ128" s="36">
        <v>1266435.18</v>
      </c>
      <c r="AK128" s="71">
        <f t="shared" si="55"/>
        <v>8335.6491805436708</v>
      </c>
      <c r="AL128" s="71">
        <f t="shared" si="56"/>
        <v>8977.0507470545654</v>
      </c>
      <c r="AM128" s="72">
        <f t="shared" si="57"/>
        <v>641.4</v>
      </c>
      <c r="AN128" s="70">
        <v>0</v>
      </c>
      <c r="AO128" s="70">
        <v>0</v>
      </c>
      <c r="AP128" s="3">
        <v>0</v>
      </c>
    </row>
    <row r="129" spans="1:42" s="3" customFormat="1" ht="15">
      <c r="A129" s="59" t="s">
        <v>526</v>
      </c>
      <c r="B129" s="59" t="s">
        <v>118</v>
      </c>
      <c r="C129" s="59" t="str">
        <f t="shared" si="59"/>
        <v>17415 KENT SCHOOL DISTRICT</v>
      </c>
      <c r="D129" s="36">
        <v>0</v>
      </c>
      <c r="E129" s="36">
        <v>946792.64</v>
      </c>
      <c r="F129" s="36">
        <v>382066.57</v>
      </c>
      <c r="G129" s="36">
        <v>39957478.579999998</v>
      </c>
      <c r="H129" s="36">
        <v>8062371.4199999999</v>
      </c>
      <c r="I129" s="36">
        <v>4044289.67</v>
      </c>
      <c r="J129" s="36">
        <v>9891952.0299999993</v>
      </c>
      <c r="K129" s="36">
        <v>11908532.91</v>
      </c>
      <c r="L129" s="36">
        <v>869337.77</v>
      </c>
      <c r="M129" s="36">
        <v>14895863.93</v>
      </c>
      <c r="N129" s="50">
        <v>4.2900000000000001E-2</v>
      </c>
      <c r="O129" s="53">
        <v>0.12180000000000001</v>
      </c>
      <c r="P129" s="36">
        <v>0</v>
      </c>
      <c r="Q129" s="69">
        <v>0</v>
      </c>
      <c r="R129" s="69">
        <v>0</v>
      </c>
      <c r="S129" s="70">
        <v>0</v>
      </c>
      <c r="T129" s="70">
        <v>0</v>
      </c>
      <c r="U129" s="70">
        <v>0</v>
      </c>
      <c r="V129" s="36">
        <v>0</v>
      </c>
      <c r="W129" s="70">
        <v>0</v>
      </c>
      <c r="X129" s="70">
        <v>0</v>
      </c>
      <c r="Y129" s="36">
        <v>28791.73</v>
      </c>
      <c r="Z129" s="36">
        <v>118037.92</v>
      </c>
      <c r="AA129" s="36">
        <v>1408888.71</v>
      </c>
      <c r="AB129" s="36">
        <v>1980817.39</v>
      </c>
      <c r="AC129" s="36">
        <v>14811309.83</v>
      </c>
      <c r="AD129" s="36">
        <v>1399.01</v>
      </c>
      <c r="AE129" s="36">
        <v>13523290.23</v>
      </c>
      <c r="AF129" s="71">
        <f t="shared" si="52"/>
        <v>9666.3284965797247</v>
      </c>
      <c r="AG129" s="71">
        <f t="shared" si="53"/>
        <v>10586.99353828779</v>
      </c>
      <c r="AH129" s="72">
        <f t="shared" si="54"/>
        <v>920.67</v>
      </c>
      <c r="AI129" s="36">
        <v>195.71</v>
      </c>
      <c r="AJ129" s="36">
        <v>1840232.88</v>
      </c>
      <c r="AK129" s="71">
        <f t="shared" si="55"/>
        <v>9402.8556537734385</v>
      </c>
      <c r="AL129" s="71">
        <f t="shared" si="56"/>
        <v>10121.186398242296</v>
      </c>
      <c r="AM129" s="72">
        <f t="shared" si="57"/>
        <v>718.33</v>
      </c>
      <c r="AN129" s="70">
        <v>0</v>
      </c>
      <c r="AO129" s="70">
        <v>0</v>
      </c>
      <c r="AP129" s="3">
        <v>0</v>
      </c>
    </row>
    <row r="130" spans="1:42" s="3" customFormat="1" ht="15">
      <c r="A130" s="59" t="s">
        <v>659</v>
      </c>
      <c r="B130" s="59" t="s">
        <v>255</v>
      </c>
      <c r="C130" s="59" t="str">
        <f t="shared" si="59"/>
        <v>33212 KETTLE FALLS SCHOOL DISTRICT</v>
      </c>
      <c r="D130" s="36">
        <v>25684.71</v>
      </c>
      <c r="E130" s="36">
        <v>0</v>
      </c>
      <c r="F130" s="36">
        <v>377.85</v>
      </c>
      <c r="G130" s="36">
        <v>1430106.54</v>
      </c>
      <c r="H130" s="36">
        <v>210656.41</v>
      </c>
      <c r="I130" s="36">
        <v>228267.86</v>
      </c>
      <c r="J130" s="36">
        <v>382873.29</v>
      </c>
      <c r="K130" s="36">
        <v>0</v>
      </c>
      <c r="L130" s="36">
        <v>33083.85</v>
      </c>
      <c r="M130" s="36">
        <v>896894.96</v>
      </c>
      <c r="N130" s="50">
        <v>4.7199999999999999E-2</v>
      </c>
      <c r="O130" s="53">
        <v>0.1646</v>
      </c>
      <c r="P130" s="36">
        <v>0</v>
      </c>
      <c r="Q130" s="69">
        <v>0</v>
      </c>
      <c r="R130" s="69">
        <v>0</v>
      </c>
      <c r="S130" s="70">
        <v>0</v>
      </c>
      <c r="T130" s="70">
        <v>0</v>
      </c>
      <c r="U130" s="70">
        <v>0</v>
      </c>
      <c r="V130" s="36">
        <v>0</v>
      </c>
      <c r="W130" s="70">
        <v>0</v>
      </c>
      <c r="X130" s="70">
        <v>0</v>
      </c>
      <c r="Y130" s="36">
        <v>0</v>
      </c>
      <c r="Z130" s="36">
        <v>0</v>
      </c>
      <c r="AA130" s="36">
        <v>47629.89</v>
      </c>
      <c r="AB130" s="36">
        <v>0</v>
      </c>
      <c r="AC130" s="36">
        <v>301549.42</v>
      </c>
      <c r="AD130" s="36">
        <v>31.86</v>
      </c>
      <c r="AE130" s="36">
        <v>279122.87</v>
      </c>
      <c r="AF130" s="71">
        <f t="shared" si="52"/>
        <v>8760.9187068424362</v>
      </c>
      <c r="AG130" s="71">
        <f t="shared" si="53"/>
        <v>9464.8279974890138</v>
      </c>
      <c r="AH130" s="72">
        <f t="shared" si="54"/>
        <v>703.91</v>
      </c>
      <c r="AI130" s="36">
        <v>0</v>
      </c>
      <c r="AJ130" s="36">
        <v>0</v>
      </c>
      <c r="AK130" s="71">
        <f t="shared" si="55"/>
        <v>0</v>
      </c>
      <c r="AL130" s="71">
        <f t="shared" si="56"/>
        <v>0</v>
      </c>
      <c r="AM130" s="72">
        <f t="shared" si="57"/>
        <v>0</v>
      </c>
      <c r="AN130" s="70">
        <v>0</v>
      </c>
      <c r="AO130" s="70">
        <v>0</v>
      </c>
      <c r="AP130" s="3">
        <v>0</v>
      </c>
    </row>
    <row r="131" spans="1:42" s="3" customFormat="1" ht="15">
      <c r="A131" s="59" t="s">
        <v>429</v>
      </c>
      <c r="B131" s="59" t="s">
        <v>21</v>
      </c>
      <c r="C131" s="59" t="str">
        <f t="shared" si="59"/>
        <v>03052 KIONA BENTON SCHOOL DISTRICT</v>
      </c>
      <c r="D131" s="36">
        <v>19007.64</v>
      </c>
      <c r="E131" s="36">
        <v>31191.96</v>
      </c>
      <c r="F131" s="36">
        <v>31070.639999999999</v>
      </c>
      <c r="G131" s="36">
        <v>1822287.16</v>
      </c>
      <c r="H131" s="36">
        <v>279504.71000000002</v>
      </c>
      <c r="I131" s="36">
        <v>424451.82</v>
      </c>
      <c r="J131" s="36">
        <v>652453.75</v>
      </c>
      <c r="K131" s="36">
        <v>551269.85</v>
      </c>
      <c r="L131" s="36">
        <v>41276.21</v>
      </c>
      <c r="M131" s="36">
        <v>769421.45</v>
      </c>
      <c r="N131" s="50">
        <v>6.5100000000000005E-2</v>
      </c>
      <c r="O131" s="53">
        <v>0.1988</v>
      </c>
      <c r="P131" s="36">
        <v>0</v>
      </c>
      <c r="Q131" s="69">
        <v>0</v>
      </c>
      <c r="R131" s="69">
        <v>0</v>
      </c>
      <c r="S131" s="70">
        <v>0</v>
      </c>
      <c r="T131" s="70">
        <v>0</v>
      </c>
      <c r="U131" s="70">
        <v>0</v>
      </c>
      <c r="V131" s="36">
        <v>0</v>
      </c>
      <c r="W131" s="70">
        <v>0</v>
      </c>
      <c r="X131" s="70">
        <v>0</v>
      </c>
      <c r="Y131" s="36">
        <v>1589.02</v>
      </c>
      <c r="Z131" s="36">
        <v>0</v>
      </c>
      <c r="AA131" s="36">
        <v>0</v>
      </c>
      <c r="AB131" s="36">
        <v>0</v>
      </c>
      <c r="AC131" s="36">
        <v>891229.64</v>
      </c>
      <c r="AD131" s="36">
        <v>97.52</v>
      </c>
      <c r="AE131" s="36">
        <v>837837.19</v>
      </c>
      <c r="AF131" s="71">
        <f t="shared" si="52"/>
        <v>8591.4396021328957</v>
      </c>
      <c r="AG131" s="71">
        <f t="shared" si="53"/>
        <v>9138.9421657095991</v>
      </c>
      <c r="AH131" s="72">
        <f t="shared" si="54"/>
        <v>547.5</v>
      </c>
      <c r="AI131" s="36">
        <v>0</v>
      </c>
      <c r="AJ131" s="36">
        <v>0</v>
      </c>
      <c r="AK131" s="71">
        <f t="shared" si="55"/>
        <v>0</v>
      </c>
      <c r="AL131" s="71">
        <f t="shared" si="56"/>
        <v>0</v>
      </c>
      <c r="AM131" s="72">
        <f t="shared" si="57"/>
        <v>0</v>
      </c>
      <c r="AN131" s="70">
        <v>0</v>
      </c>
      <c r="AO131" s="70">
        <v>0</v>
      </c>
      <c r="AP131" s="3">
        <v>0</v>
      </c>
    </row>
    <row r="132" spans="1:42" s="3" customFormat="1" ht="15">
      <c r="A132" s="59" t="s">
        <v>537</v>
      </c>
      <c r="B132" s="59" t="s">
        <v>129</v>
      </c>
      <c r="C132" s="59" t="str">
        <f t="shared" si="59"/>
        <v>19403 KITTITAS SCHOOL DISTRICT</v>
      </c>
      <c r="D132" s="36">
        <v>0</v>
      </c>
      <c r="E132" s="36">
        <v>17531.990000000002</v>
      </c>
      <c r="F132" s="36">
        <v>0</v>
      </c>
      <c r="G132" s="36">
        <v>779230.6</v>
      </c>
      <c r="H132" s="36">
        <v>123777.86</v>
      </c>
      <c r="I132" s="36">
        <v>0</v>
      </c>
      <c r="J132" s="36">
        <v>180829.1</v>
      </c>
      <c r="K132" s="36">
        <v>79376.37</v>
      </c>
      <c r="L132" s="36">
        <v>17689.8</v>
      </c>
      <c r="M132" s="36">
        <v>422870.85</v>
      </c>
      <c r="N132" s="50">
        <v>5.4800000000000001E-2</v>
      </c>
      <c r="O132" s="53">
        <v>0.28960000000000002</v>
      </c>
      <c r="P132" s="36">
        <v>0</v>
      </c>
      <c r="Q132" s="69">
        <v>0</v>
      </c>
      <c r="R132" s="69">
        <v>0</v>
      </c>
      <c r="S132" s="70">
        <v>185830.65000000002</v>
      </c>
      <c r="T132" s="70">
        <v>15478.109</v>
      </c>
      <c r="U132" s="70">
        <v>5710.79</v>
      </c>
      <c r="V132" s="36">
        <v>0</v>
      </c>
      <c r="W132" s="70">
        <v>0</v>
      </c>
      <c r="X132" s="70">
        <v>0</v>
      </c>
      <c r="Y132" s="36">
        <v>694.7</v>
      </c>
      <c r="Z132" s="36">
        <v>6453.33</v>
      </c>
      <c r="AA132" s="36">
        <v>0</v>
      </c>
      <c r="AB132" s="36">
        <v>201327.49</v>
      </c>
      <c r="AC132" s="36">
        <v>451106.7</v>
      </c>
      <c r="AD132" s="36">
        <v>50.19</v>
      </c>
      <c r="AE132" s="36">
        <v>431154.31</v>
      </c>
      <c r="AF132" s="71">
        <f t="shared" si="52"/>
        <v>8590.4425184299671</v>
      </c>
      <c r="AG132" s="71">
        <f t="shared" si="53"/>
        <v>8987.9796772265399</v>
      </c>
      <c r="AH132" s="72">
        <f t="shared" si="54"/>
        <v>397.54</v>
      </c>
      <c r="AI132" s="36">
        <v>22.42</v>
      </c>
      <c r="AJ132" s="36">
        <v>186925.56</v>
      </c>
      <c r="AK132" s="71">
        <f t="shared" si="55"/>
        <v>8337.4469223907217</v>
      </c>
      <c r="AL132" s="71">
        <f t="shared" si="56"/>
        <v>8979.8166815343429</v>
      </c>
      <c r="AM132" s="72">
        <f t="shared" si="57"/>
        <v>642.37</v>
      </c>
      <c r="AN132" s="70">
        <v>0</v>
      </c>
      <c r="AO132" s="70">
        <v>100000</v>
      </c>
      <c r="AP132" s="3">
        <v>0</v>
      </c>
    </row>
    <row r="133" spans="1:42" s="3" customFormat="1" ht="15">
      <c r="A133" s="59" t="s">
        <v>544</v>
      </c>
      <c r="B133" s="59" t="s">
        <v>136</v>
      </c>
      <c r="C133" s="59" t="str">
        <f t="shared" si="59"/>
        <v>20402 KLICKITAT SCHOOL DISTRICT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29764.76</v>
      </c>
      <c r="J133" s="36">
        <v>32441.45</v>
      </c>
      <c r="K133" s="36">
        <v>0</v>
      </c>
      <c r="L133" s="36">
        <v>0</v>
      </c>
      <c r="M133" s="36">
        <v>0</v>
      </c>
      <c r="N133" s="50">
        <v>7.8200000000000006E-2</v>
      </c>
      <c r="O133" s="53">
        <v>0.3866</v>
      </c>
      <c r="P133" s="36">
        <v>0</v>
      </c>
      <c r="Q133" s="69">
        <v>0</v>
      </c>
      <c r="R133" s="69">
        <v>0</v>
      </c>
      <c r="S133" s="70">
        <v>0</v>
      </c>
      <c r="T133" s="70">
        <v>0</v>
      </c>
      <c r="U133" s="70">
        <v>0</v>
      </c>
      <c r="V133" s="36">
        <v>0</v>
      </c>
      <c r="W133" s="70">
        <v>0</v>
      </c>
      <c r="X133" s="70">
        <v>0</v>
      </c>
      <c r="Y133" s="36">
        <v>117.29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71">
        <f t="shared" si="52"/>
        <v>0</v>
      </c>
      <c r="AG133" s="71">
        <f t="shared" si="53"/>
        <v>0</v>
      </c>
      <c r="AH133" s="72">
        <f t="shared" si="54"/>
        <v>0</v>
      </c>
      <c r="AI133" s="36">
        <v>0</v>
      </c>
      <c r="AJ133" s="36">
        <v>0</v>
      </c>
      <c r="AK133" s="71">
        <f t="shared" si="55"/>
        <v>0</v>
      </c>
      <c r="AL133" s="71">
        <f t="shared" si="56"/>
        <v>0</v>
      </c>
      <c r="AM133" s="72">
        <f t="shared" si="57"/>
        <v>0</v>
      </c>
      <c r="AN133" s="70">
        <v>0</v>
      </c>
      <c r="AO133" s="70">
        <v>0</v>
      </c>
      <c r="AP133" s="3">
        <v>0</v>
      </c>
    </row>
    <row r="134" spans="1:42" s="3" customFormat="1" ht="15">
      <c r="A134" s="59" t="s">
        <v>616</v>
      </c>
      <c r="B134" s="59" t="s">
        <v>209</v>
      </c>
      <c r="C134" s="59" t="str">
        <f t="shared" si="59"/>
        <v>29311 LA CONNER SCHOOL DISTRICT</v>
      </c>
      <c r="D134" s="36">
        <v>0</v>
      </c>
      <c r="E134" s="36">
        <v>7218.44</v>
      </c>
      <c r="F134" s="36">
        <v>0</v>
      </c>
      <c r="G134" s="36">
        <v>928323.99</v>
      </c>
      <c r="H134" s="36">
        <v>122988.25</v>
      </c>
      <c r="I134" s="36">
        <v>195365.59</v>
      </c>
      <c r="J134" s="36">
        <v>236302.69</v>
      </c>
      <c r="K134" s="36">
        <v>24424.62</v>
      </c>
      <c r="L134" s="36">
        <v>18050.09</v>
      </c>
      <c r="M134" s="36">
        <v>541310.43000000005</v>
      </c>
      <c r="N134" s="50">
        <v>6.5799999999999997E-2</v>
      </c>
      <c r="O134" s="53">
        <v>0.1973</v>
      </c>
      <c r="P134" s="36">
        <v>0</v>
      </c>
      <c r="Q134" s="69">
        <v>0</v>
      </c>
      <c r="R134" s="69">
        <v>0</v>
      </c>
      <c r="S134" s="70">
        <v>0</v>
      </c>
      <c r="T134" s="70">
        <v>0</v>
      </c>
      <c r="U134" s="70">
        <v>0</v>
      </c>
      <c r="V134" s="36">
        <v>0</v>
      </c>
      <c r="W134" s="70">
        <v>0</v>
      </c>
      <c r="X134" s="70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155508.56</v>
      </c>
      <c r="AD134" s="36">
        <v>15.18</v>
      </c>
      <c r="AE134" s="36">
        <v>144036.51</v>
      </c>
      <c r="AF134" s="71">
        <f t="shared" si="52"/>
        <v>9488.5711462450599</v>
      </c>
      <c r="AG134" s="71">
        <f t="shared" si="53"/>
        <v>10244.305665349144</v>
      </c>
      <c r="AH134" s="72">
        <f t="shared" si="54"/>
        <v>755.73</v>
      </c>
      <c r="AI134" s="36">
        <v>0</v>
      </c>
      <c r="AJ134" s="36">
        <v>0</v>
      </c>
      <c r="AK134" s="71">
        <f t="shared" si="55"/>
        <v>0</v>
      </c>
      <c r="AL134" s="71">
        <f t="shared" si="56"/>
        <v>0</v>
      </c>
      <c r="AM134" s="72">
        <f t="shared" si="57"/>
        <v>0</v>
      </c>
      <c r="AN134" s="70">
        <v>0</v>
      </c>
      <c r="AO134" s="70">
        <v>0</v>
      </c>
      <c r="AP134" s="3">
        <v>0</v>
      </c>
    </row>
    <row r="135" spans="1:42" s="3" customFormat="1" ht="15">
      <c r="A135" s="59" t="s">
        <v>447</v>
      </c>
      <c r="B135" s="59" t="s">
        <v>39</v>
      </c>
      <c r="C135" s="59" t="str">
        <f t="shared" si="59"/>
        <v>06101 LACENTER SCHOOL DISTRICT</v>
      </c>
      <c r="D135" s="36">
        <v>0</v>
      </c>
      <c r="E135" s="36">
        <v>0</v>
      </c>
      <c r="F135" s="36">
        <v>0</v>
      </c>
      <c r="G135" s="36">
        <v>2792625.68</v>
      </c>
      <c r="H135" s="36">
        <v>569076.97</v>
      </c>
      <c r="I135" s="36">
        <v>0</v>
      </c>
      <c r="J135" s="36">
        <v>306169.46000000002</v>
      </c>
      <c r="K135" s="36">
        <v>73419.679999999993</v>
      </c>
      <c r="L135" s="36">
        <v>55360.29</v>
      </c>
      <c r="M135" s="36">
        <v>0</v>
      </c>
      <c r="N135" s="50">
        <v>4.1000000000000002E-2</v>
      </c>
      <c r="O135" s="53">
        <v>0.18140000000000001</v>
      </c>
      <c r="P135" s="36">
        <v>0</v>
      </c>
      <c r="Q135" s="69">
        <v>0</v>
      </c>
      <c r="R135" s="69">
        <v>0</v>
      </c>
      <c r="S135" s="70">
        <v>0</v>
      </c>
      <c r="T135" s="70">
        <v>0</v>
      </c>
      <c r="U135" s="70">
        <v>0</v>
      </c>
      <c r="V135" s="36">
        <v>0</v>
      </c>
      <c r="W135" s="70">
        <v>0</v>
      </c>
      <c r="X135" s="70">
        <v>0</v>
      </c>
      <c r="Y135" s="36">
        <v>2001.78</v>
      </c>
      <c r="Z135" s="36">
        <v>0</v>
      </c>
      <c r="AA135" s="36">
        <v>0</v>
      </c>
      <c r="AB135" s="36">
        <v>0</v>
      </c>
      <c r="AC135" s="36">
        <v>489767.5</v>
      </c>
      <c r="AD135" s="36">
        <v>48.52</v>
      </c>
      <c r="AE135" s="36">
        <v>442565.57</v>
      </c>
      <c r="AF135" s="71">
        <f t="shared" ref="AF135:AF198" si="60">IFERROR(AE135/AD135,0)</f>
        <v>9121.3019373454244</v>
      </c>
      <c r="AG135" s="71">
        <f t="shared" ref="AG135:AG198" si="61">IFERROR(AC135/AD135,0)</f>
        <v>10094.136438582027</v>
      </c>
      <c r="AH135" s="72">
        <f t="shared" ref="AH135:AH198" si="62">ROUND(AG135-AF135,2)</f>
        <v>972.83</v>
      </c>
      <c r="AI135" s="36">
        <v>0</v>
      </c>
      <c r="AJ135" s="36">
        <v>0</v>
      </c>
      <c r="AK135" s="71">
        <f t="shared" ref="AK135:AK198" si="63">IFERROR(AJ135/AI135,0)</f>
        <v>0</v>
      </c>
      <c r="AL135" s="71">
        <f t="shared" ref="AL135:AL198" si="64">IFERROR(AB135/AI135,0)</f>
        <v>0</v>
      </c>
      <c r="AM135" s="72">
        <f t="shared" ref="AM135:AM198" si="65">ROUND(AL135-AK135,2)</f>
        <v>0</v>
      </c>
      <c r="AN135" s="70">
        <v>0</v>
      </c>
      <c r="AO135" s="70">
        <v>0</v>
      </c>
      <c r="AP135" s="3">
        <v>0</v>
      </c>
    </row>
    <row r="136" spans="1:42" s="3" customFormat="1" ht="15">
      <c r="A136" s="59" t="s">
        <v>683</v>
      </c>
      <c r="B136" s="59" t="s">
        <v>279</v>
      </c>
      <c r="C136" s="59" t="str">
        <f t="shared" si="59"/>
        <v>38126 LACROSSE JOINT SCHOOL DISTRICT</v>
      </c>
      <c r="D136" s="36">
        <v>0</v>
      </c>
      <c r="E136" s="36">
        <v>1777.1</v>
      </c>
      <c r="F136" s="36">
        <v>0</v>
      </c>
      <c r="G136" s="36">
        <v>118712.09</v>
      </c>
      <c r="H136" s="36">
        <v>22807.95</v>
      </c>
      <c r="I136" s="36">
        <v>0</v>
      </c>
      <c r="J136" s="36">
        <v>23340.71</v>
      </c>
      <c r="K136" s="36">
        <v>0</v>
      </c>
      <c r="L136" s="36">
        <v>2783.76</v>
      </c>
      <c r="M136" s="36">
        <v>303933.21000000002</v>
      </c>
      <c r="N136" s="50">
        <v>3.5200000000000002E-2</v>
      </c>
      <c r="O136" s="53">
        <v>0.26369999999999999</v>
      </c>
      <c r="P136" s="36">
        <v>0</v>
      </c>
      <c r="Q136" s="69">
        <v>0</v>
      </c>
      <c r="R136" s="69">
        <v>0</v>
      </c>
      <c r="S136" s="70">
        <v>0</v>
      </c>
      <c r="T136" s="70">
        <v>0</v>
      </c>
      <c r="U136" s="70">
        <v>0</v>
      </c>
      <c r="V136" s="36">
        <v>0</v>
      </c>
      <c r="W136" s="70">
        <v>0</v>
      </c>
      <c r="X136" s="70">
        <v>0</v>
      </c>
      <c r="Y136" s="36">
        <v>0</v>
      </c>
      <c r="Z136" s="36">
        <v>0</v>
      </c>
      <c r="AA136" s="36">
        <v>0</v>
      </c>
      <c r="AB136" s="36">
        <v>0</v>
      </c>
      <c r="AC136" s="36">
        <v>43544.04</v>
      </c>
      <c r="AD136" s="36">
        <v>4.74</v>
      </c>
      <c r="AE136" s="36">
        <v>41618.160000000003</v>
      </c>
      <c r="AF136" s="71">
        <f t="shared" si="60"/>
        <v>8780.2025316455693</v>
      </c>
      <c r="AG136" s="71">
        <f t="shared" si="61"/>
        <v>9186.5063291139231</v>
      </c>
      <c r="AH136" s="72">
        <f t="shared" si="62"/>
        <v>406.3</v>
      </c>
      <c r="AI136" s="36">
        <v>0</v>
      </c>
      <c r="AJ136" s="36">
        <v>0</v>
      </c>
      <c r="AK136" s="71">
        <f t="shared" si="63"/>
        <v>0</v>
      </c>
      <c r="AL136" s="71">
        <f t="shared" si="64"/>
        <v>0</v>
      </c>
      <c r="AM136" s="72">
        <f t="shared" si="65"/>
        <v>0</v>
      </c>
      <c r="AN136" s="70">
        <v>0</v>
      </c>
      <c r="AO136" s="70">
        <v>0</v>
      </c>
      <c r="AP136" s="3">
        <v>0</v>
      </c>
    </row>
    <row r="137" spans="1:42" s="3" customFormat="1" ht="15">
      <c r="A137" s="59" t="s">
        <v>436</v>
      </c>
      <c r="B137" s="59" t="s">
        <v>28</v>
      </c>
      <c r="C137" s="59" t="str">
        <f t="shared" si="59"/>
        <v>04129 LAKE CHELAN SCHOOL DISTRICT</v>
      </c>
      <c r="D137" s="36">
        <v>0</v>
      </c>
      <c r="E137" s="36">
        <v>47609.33</v>
      </c>
      <c r="F137" s="36">
        <v>27401.67</v>
      </c>
      <c r="G137" s="36">
        <v>1240016.18</v>
      </c>
      <c r="H137" s="36">
        <v>144401.81</v>
      </c>
      <c r="I137" s="36">
        <v>379968.71</v>
      </c>
      <c r="J137" s="36">
        <v>448555.49</v>
      </c>
      <c r="K137" s="36">
        <v>565074.43000000005</v>
      </c>
      <c r="L137" s="36">
        <v>37862.39</v>
      </c>
      <c r="M137" s="36">
        <v>878369.11</v>
      </c>
      <c r="N137" s="50">
        <v>2.6700000000000002E-2</v>
      </c>
      <c r="O137" s="53">
        <v>0.1764</v>
      </c>
      <c r="P137" s="36">
        <v>0</v>
      </c>
      <c r="Q137" s="69">
        <v>0</v>
      </c>
      <c r="R137" s="69">
        <v>0</v>
      </c>
      <c r="S137" s="70">
        <v>0</v>
      </c>
      <c r="T137" s="70">
        <v>0</v>
      </c>
      <c r="U137" s="70">
        <v>0</v>
      </c>
      <c r="V137" s="36">
        <v>0</v>
      </c>
      <c r="W137" s="70">
        <v>0</v>
      </c>
      <c r="X137" s="70">
        <v>0</v>
      </c>
      <c r="Y137" s="36">
        <v>1499.93</v>
      </c>
      <c r="Z137" s="36">
        <v>0</v>
      </c>
      <c r="AA137" s="36">
        <v>0</v>
      </c>
      <c r="AB137" s="36">
        <v>37628.03</v>
      </c>
      <c r="AC137" s="36">
        <v>1128488</v>
      </c>
      <c r="AD137" s="36">
        <v>124.31</v>
      </c>
      <c r="AE137" s="36">
        <v>1067687.67</v>
      </c>
      <c r="AF137" s="71">
        <f t="shared" si="60"/>
        <v>8588.9121550961299</v>
      </c>
      <c r="AG137" s="71">
        <f t="shared" si="61"/>
        <v>9078.0146408173114</v>
      </c>
      <c r="AH137" s="72">
        <f t="shared" si="62"/>
        <v>489.1</v>
      </c>
      <c r="AI137" s="36">
        <v>4.2</v>
      </c>
      <c r="AJ137" s="36">
        <v>35083.19</v>
      </c>
      <c r="AK137" s="71">
        <f t="shared" si="63"/>
        <v>8353.140476190476</v>
      </c>
      <c r="AL137" s="71">
        <f t="shared" si="64"/>
        <v>8959.0547619047611</v>
      </c>
      <c r="AM137" s="72">
        <f t="shared" si="65"/>
        <v>605.91</v>
      </c>
      <c r="AN137" s="70">
        <v>4293.97</v>
      </c>
      <c r="AO137" s="70">
        <v>0</v>
      </c>
      <c r="AP137" s="3">
        <v>0</v>
      </c>
    </row>
    <row r="138" spans="1:42" s="3" customFormat="1" ht="15">
      <c r="A138" s="59" t="s">
        <v>624</v>
      </c>
      <c r="B138" s="59" t="s">
        <v>217</v>
      </c>
      <c r="C138" s="59" t="str">
        <f t="shared" si="59"/>
        <v>31004 LAKE STEVENS SCHOOL DISTRICT</v>
      </c>
      <c r="D138" s="36">
        <v>0</v>
      </c>
      <c r="E138" s="36">
        <v>40505.57</v>
      </c>
      <c r="F138" s="36">
        <v>0</v>
      </c>
      <c r="G138" s="36">
        <v>17326352.48</v>
      </c>
      <c r="H138" s="36">
        <v>3474008.22</v>
      </c>
      <c r="I138" s="36">
        <v>0</v>
      </c>
      <c r="J138" s="36">
        <v>1684401.84</v>
      </c>
      <c r="K138" s="36">
        <v>1225179.95</v>
      </c>
      <c r="L138" s="36">
        <v>322646.99</v>
      </c>
      <c r="M138" s="36">
        <v>6011093.3300000001</v>
      </c>
      <c r="N138" s="50">
        <v>4.02E-2</v>
      </c>
      <c r="O138" s="53">
        <v>0.14499999999999999</v>
      </c>
      <c r="P138" s="36">
        <v>0</v>
      </c>
      <c r="Q138" s="69">
        <v>0</v>
      </c>
      <c r="R138" s="69">
        <v>0</v>
      </c>
      <c r="S138" s="70">
        <v>0</v>
      </c>
      <c r="T138" s="70">
        <v>0</v>
      </c>
      <c r="U138" s="70">
        <v>0</v>
      </c>
      <c r="V138" s="36">
        <v>0</v>
      </c>
      <c r="W138" s="70">
        <v>0</v>
      </c>
      <c r="X138" s="70">
        <v>0</v>
      </c>
      <c r="Y138" s="36">
        <v>10693.45</v>
      </c>
      <c r="Z138" s="36">
        <v>32094.27</v>
      </c>
      <c r="AA138" s="36">
        <v>361878.13</v>
      </c>
      <c r="AB138" s="36">
        <v>1285386.1100000001</v>
      </c>
      <c r="AC138" s="36">
        <v>4591132.3600000003</v>
      </c>
      <c r="AD138" s="36">
        <v>440.59</v>
      </c>
      <c r="AE138" s="36">
        <v>4258767.5</v>
      </c>
      <c r="AF138" s="71">
        <f t="shared" si="60"/>
        <v>9666.0557434349394</v>
      </c>
      <c r="AG138" s="71">
        <f t="shared" si="61"/>
        <v>10420.418892848227</v>
      </c>
      <c r="AH138" s="72">
        <f t="shared" si="62"/>
        <v>754.36</v>
      </c>
      <c r="AI138" s="36">
        <v>126.99</v>
      </c>
      <c r="AJ138" s="36">
        <v>1193890.1599999999</v>
      </c>
      <c r="AK138" s="71">
        <f t="shared" si="63"/>
        <v>9401.4501929285761</v>
      </c>
      <c r="AL138" s="71">
        <f t="shared" si="64"/>
        <v>10121.947476179228</v>
      </c>
      <c r="AM138" s="72">
        <f t="shared" si="65"/>
        <v>720.5</v>
      </c>
      <c r="AN138" s="70">
        <v>0</v>
      </c>
      <c r="AO138" s="70">
        <v>0</v>
      </c>
      <c r="AP138" s="3">
        <v>0</v>
      </c>
    </row>
    <row r="139" spans="1:42" s="3" customFormat="1" ht="15">
      <c r="A139" s="59" t="s">
        <v>525</v>
      </c>
      <c r="B139" s="59" t="s">
        <v>117</v>
      </c>
      <c r="C139" s="59" t="str">
        <f t="shared" si="59"/>
        <v>17414 LAKE WASHINGTON SCHOOL DISTRICT</v>
      </c>
      <c r="D139" s="36">
        <v>0</v>
      </c>
      <c r="E139" s="36">
        <v>214318.97</v>
      </c>
      <c r="F139" s="36">
        <v>0</v>
      </c>
      <c r="G139" s="36">
        <v>40970304.039999999</v>
      </c>
      <c r="H139" s="36">
        <v>5804046.1600000001</v>
      </c>
      <c r="I139" s="36">
        <v>0</v>
      </c>
      <c r="J139" s="36">
        <v>2292914.3199999998</v>
      </c>
      <c r="K139" s="36">
        <v>7263617.2800000003</v>
      </c>
      <c r="L139" s="36">
        <v>1055042.51</v>
      </c>
      <c r="M139" s="36">
        <v>14406249.310000001</v>
      </c>
      <c r="N139" s="50">
        <v>3.95E-2</v>
      </c>
      <c r="O139" s="53">
        <v>0.1172</v>
      </c>
      <c r="P139" s="36">
        <v>0</v>
      </c>
      <c r="Q139" s="69">
        <v>0</v>
      </c>
      <c r="R139" s="69">
        <v>0</v>
      </c>
      <c r="S139" s="70">
        <v>0</v>
      </c>
      <c r="T139" s="70">
        <v>0</v>
      </c>
      <c r="U139" s="70">
        <v>0</v>
      </c>
      <c r="V139" s="36">
        <v>0</v>
      </c>
      <c r="W139" s="70">
        <v>0</v>
      </c>
      <c r="X139" s="70">
        <v>0</v>
      </c>
      <c r="Y139" s="36">
        <v>12353.52</v>
      </c>
      <c r="Z139" s="36">
        <v>41846.230000000003</v>
      </c>
      <c r="AA139" s="36">
        <v>567082.74</v>
      </c>
      <c r="AB139" s="36">
        <v>3374327.06</v>
      </c>
      <c r="AC139" s="36">
        <v>17356367.66</v>
      </c>
      <c r="AD139" s="36">
        <v>1655.48</v>
      </c>
      <c r="AE139" s="36">
        <v>16002477.91</v>
      </c>
      <c r="AF139" s="71">
        <f t="shared" si="60"/>
        <v>9666.367404015753</v>
      </c>
      <c r="AG139" s="71">
        <f t="shared" si="61"/>
        <v>10484.190482518665</v>
      </c>
      <c r="AH139" s="72">
        <f t="shared" si="62"/>
        <v>817.82</v>
      </c>
      <c r="AI139" s="36">
        <v>333.38</v>
      </c>
      <c r="AJ139" s="36">
        <v>3134442.55</v>
      </c>
      <c r="AK139" s="71">
        <f t="shared" si="63"/>
        <v>9402.0113684084226</v>
      </c>
      <c r="AL139" s="71">
        <f t="shared" si="64"/>
        <v>10121.564161017457</v>
      </c>
      <c r="AM139" s="72">
        <f t="shared" si="65"/>
        <v>719.55</v>
      </c>
      <c r="AN139" s="70">
        <v>0</v>
      </c>
      <c r="AO139" s="70">
        <v>0</v>
      </c>
      <c r="AP139" s="3">
        <v>0</v>
      </c>
    </row>
    <row r="140" spans="1:42" s="3" customFormat="1" ht="15">
      <c r="A140" s="59" t="s">
        <v>632</v>
      </c>
      <c r="B140" s="59" t="s">
        <v>225</v>
      </c>
      <c r="C140" s="59" t="str">
        <f t="shared" si="59"/>
        <v>31306 LAKEWOOD SCHOOL DISTRICT</v>
      </c>
      <c r="D140" s="36">
        <v>0</v>
      </c>
      <c r="E140" s="36">
        <v>68138.45</v>
      </c>
      <c r="F140" s="36">
        <v>0</v>
      </c>
      <c r="G140" s="36">
        <v>4269902.21</v>
      </c>
      <c r="H140" s="36">
        <v>961222.34</v>
      </c>
      <c r="I140" s="36">
        <v>0</v>
      </c>
      <c r="J140" s="36">
        <v>812203.23</v>
      </c>
      <c r="K140" s="36">
        <v>464006.87</v>
      </c>
      <c r="L140" s="36">
        <v>85470.44</v>
      </c>
      <c r="M140" s="36">
        <v>2235720.9</v>
      </c>
      <c r="N140" s="50">
        <v>6.1100000000000002E-2</v>
      </c>
      <c r="O140" s="53">
        <v>0.1762</v>
      </c>
      <c r="P140" s="36">
        <v>0</v>
      </c>
      <c r="Q140" s="69">
        <v>0</v>
      </c>
      <c r="R140" s="69">
        <v>0</v>
      </c>
      <c r="S140" s="70">
        <v>0</v>
      </c>
      <c r="T140" s="70">
        <v>0</v>
      </c>
      <c r="U140" s="70">
        <v>0</v>
      </c>
      <c r="V140" s="36">
        <v>0</v>
      </c>
      <c r="W140" s="70">
        <v>0</v>
      </c>
      <c r="X140" s="70">
        <v>0</v>
      </c>
      <c r="Y140" s="36">
        <v>2987.45</v>
      </c>
      <c r="Z140" s="36">
        <v>0</v>
      </c>
      <c r="AA140" s="36">
        <v>107965.27</v>
      </c>
      <c r="AB140" s="36">
        <v>142388.54</v>
      </c>
      <c r="AC140" s="36">
        <v>985477.7</v>
      </c>
      <c r="AD140" s="36">
        <v>97.09</v>
      </c>
      <c r="AE140" s="36">
        <v>921080.54</v>
      </c>
      <c r="AF140" s="71">
        <f t="shared" si="60"/>
        <v>9486.8734164177567</v>
      </c>
      <c r="AG140" s="71">
        <f t="shared" si="61"/>
        <v>10150.146256051086</v>
      </c>
      <c r="AH140" s="72">
        <f t="shared" si="62"/>
        <v>663.27</v>
      </c>
      <c r="AI140" s="36">
        <v>14.33</v>
      </c>
      <c r="AJ140" s="36">
        <v>132413.47</v>
      </c>
      <c r="AK140" s="71">
        <f t="shared" si="63"/>
        <v>9240.2979762735522</v>
      </c>
      <c r="AL140" s="71">
        <f t="shared" si="64"/>
        <v>9936.3949755757167</v>
      </c>
      <c r="AM140" s="72">
        <f t="shared" si="65"/>
        <v>696.1</v>
      </c>
      <c r="AN140" s="70">
        <v>0</v>
      </c>
      <c r="AO140" s="70">
        <v>0</v>
      </c>
      <c r="AP140" s="3">
        <v>0</v>
      </c>
    </row>
    <row r="141" spans="1:42" s="3" customFormat="1" ht="15">
      <c r="A141" s="59" t="s">
        <v>684</v>
      </c>
      <c r="B141" s="59" t="s">
        <v>280</v>
      </c>
      <c r="C141" s="59" t="str">
        <f t="shared" si="59"/>
        <v>38264 LAMONT SCHOOL DISTRICT</v>
      </c>
      <c r="D141" s="36">
        <v>0</v>
      </c>
      <c r="E141" s="36">
        <v>0</v>
      </c>
      <c r="F141" s="36">
        <v>0</v>
      </c>
      <c r="G141" s="36">
        <v>31116.16</v>
      </c>
      <c r="H141" s="36">
        <v>11386.75</v>
      </c>
      <c r="I141" s="36">
        <v>10758.71</v>
      </c>
      <c r="J141" s="36">
        <v>13965.64</v>
      </c>
      <c r="K141" s="36">
        <v>0</v>
      </c>
      <c r="L141" s="36">
        <v>827.6</v>
      </c>
      <c r="M141" s="36">
        <v>73584.429999999993</v>
      </c>
      <c r="N141" s="50">
        <v>0.2198</v>
      </c>
      <c r="O141" s="53">
        <v>0.39319999999999999</v>
      </c>
      <c r="P141" s="36">
        <v>0</v>
      </c>
      <c r="Q141" s="69">
        <v>0</v>
      </c>
      <c r="R141" s="69">
        <v>0</v>
      </c>
      <c r="S141" s="70">
        <v>0</v>
      </c>
      <c r="T141" s="70">
        <v>0</v>
      </c>
      <c r="U141" s="70">
        <v>0</v>
      </c>
      <c r="V141" s="36">
        <v>0</v>
      </c>
      <c r="W141" s="70">
        <v>0</v>
      </c>
      <c r="X141" s="70">
        <v>0</v>
      </c>
      <c r="Y141" s="36">
        <v>31.58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71">
        <f t="shared" si="60"/>
        <v>0</v>
      </c>
      <c r="AG141" s="71">
        <f t="shared" si="61"/>
        <v>0</v>
      </c>
      <c r="AH141" s="72">
        <f t="shared" si="62"/>
        <v>0</v>
      </c>
      <c r="AI141" s="36">
        <v>0</v>
      </c>
      <c r="AJ141" s="36">
        <v>0</v>
      </c>
      <c r="AK141" s="71">
        <f t="shared" si="63"/>
        <v>0</v>
      </c>
      <c r="AL141" s="71">
        <f t="shared" si="64"/>
        <v>0</v>
      </c>
      <c r="AM141" s="72">
        <f t="shared" si="65"/>
        <v>0</v>
      </c>
      <c r="AN141" s="70">
        <v>0</v>
      </c>
      <c r="AO141" s="70">
        <v>0</v>
      </c>
      <c r="AP141" s="3">
        <v>0</v>
      </c>
    </row>
    <row r="142" spans="1:42" s="3" customFormat="1" ht="15">
      <c r="A142" s="59" t="s">
        <v>647</v>
      </c>
      <c r="B142" s="59" t="s">
        <v>240</v>
      </c>
      <c r="C142" s="59" t="str">
        <f t="shared" si="59"/>
        <v>32362 LIBERTY SCHOOL DISTRICT</v>
      </c>
      <c r="D142" s="36">
        <v>0</v>
      </c>
      <c r="E142" s="36">
        <v>8835.9</v>
      </c>
      <c r="F142" s="36">
        <v>0</v>
      </c>
      <c r="G142" s="36">
        <v>621161.89</v>
      </c>
      <c r="H142" s="36">
        <v>101100.07</v>
      </c>
      <c r="I142" s="36">
        <v>0</v>
      </c>
      <c r="J142" s="36">
        <v>112242.32</v>
      </c>
      <c r="K142" s="36">
        <v>0</v>
      </c>
      <c r="L142" s="36">
        <v>17172.560000000001</v>
      </c>
      <c r="M142" s="36">
        <v>638295.44999999995</v>
      </c>
      <c r="N142" s="50">
        <v>2.3699999999999999E-2</v>
      </c>
      <c r="O142" s="53">
        <v>0.2276</v>
      </c>
      <c r="P142" s="36">
        <v>0</v>
      </c>
      <c r="Q142" s="69">
        <v>0</v>
      </c>
      <c r="R142" s="69">
        <v>0</v>
      </c>
      <c r="S142" s="70">
        <v>0</v>
      </c>
      <c r="T142" s="70">
        <v>0</v>
      </c>
      <c r="U142" s="70">
        <v>0</v>
      </c>
      <c r="V142" s="36">
        <v>0</v>
      </c>
      <c r="W142" s="70">
        <v>0</v>
      </c>
      <c r="X142" s="70">
        <v>0</v>
      </c>
      <c r="Y142" s="36">
        <v>0</v>
      </c>
      <c r="Z142" s="36">
        <v>0</v>
      </c>
      <c r="AA142" s="36">
        <v>0</v>
      </c>
      <c r="AB142" s="36">
        <v>0</v>
      </c>
      <c r="AC142" s="36">
        <v>257003.66</v>
      </c>
      <c r="AD142" s="36">
        <v>27.46</v>
      </c>
      <c r="AE142" s="36">
        <v>236040.01</v>
      </c>
      <c r="AF142" s="71">
        <f t="shared" si="60"/>
        <v>8595.776037873271</v>
      </c>
      <c r="AG142" s="71">
        <f t="shared" si="61"/>
        <v>9359.2010196649662</v>
      </c>
      <c r="AH142" s="72">
        <f t="shared" si="62"/>
        <v>763.42</v>
      </c>
      <c r="AI142" s="36">
        <v>0</v>
      </c>
      <c r="AJ142" s="36">
        <v>0</v>
      </c>
      <c r="AK142" s="71">
        <f t="shared" si="63"/>
        <v>0</v>
      </c>
      <c r="AL142" s="71">
        <f t="shared" si="64"/>
        <v>0</v>
      </c>
      <c r="AM142" s="72">
        <f t="shared" si="65"/>
        <v>0</v>
      </c>
      <c r="AN142" s="70">
        <v>0</v>
      </c>
      <c r="AO142" s="70">
        <v>0</v>
      </c>
      <c r="AP142" s="3">
        <v>0</v>
      </c>
    </row>
    <row r="143" spans="1:42" s="3" customFormat="1" ht="15">
      <c r="A143" s="59" t="s">
        <v>423</v>
      </c>
      <c r="B143" s="59" t="s">
        <v>15</v>
      </c>
      <c r="C143" s="59" t="str">
        <f t="shared" si="59"/>
        <v>01158 LIND SCHOOL DISTRICT</v>
      </c>
      <c r="D143" s="36">
        <v>0</v>
      </c>
      <c r="E143" s="36">
        <v>0</v>
      </c>
      <c r="F143" s="36">
        <v>5635.28</v>
      </c>
      <c r="G143" s="36">
        <v>228319.97</v>
      </c>
      <c r="H143" s="36">
        <v>24909.16</v>
      </c>
      <c r="I143" s="36">
        <v>58448.77</v>
      </c>
      <c r="J143" s="36">
        <v>84000.71</v>
      </c>
      <c r="K143" s="36">
        <v>50853.66</v>
      </c>
      <c r="L143" s="36">
        <v>6000.05</v>
      </c>
      <c r="M143" s="36">
        <v>920831.32</v>
      </c>
      <c r="N143" s="50">
        <v>5.4899999999999997E-2</v>
      </c>
      <c r="O143" s="53">
        <v>0.1925</v>
      </c>
      <c r="P143" s="36">
        <v>0</v>
      </c>
      <c r="Q143" s="69">
        <v>0</v>
      </c>
      <c r="R143" s="69">
        <v>0</v>
      </c>
      <c r="S143" s="70">
        <v>0</v>
      </c>
      <c r="T143" s="70">
        <v>0</v>
      </c>
      <c r="U143" s="70">
        <v>0</v>
      </c>
      <c r="V143" s="36">
        <v>0</v>
      </c>
      <c r="W143" s="70">
        <v>0</v>
      </c>
      <c r="X143" s="70">
        <v>0</v>
      </c>
      <c r="Y143" s="36">
        <v>0</v>
      </c>
      <c r="Z143" s="36">
        <v>0</v>
      </c>
      <c r="AA143" s="36">
        <v>0</v>
      </c>
      <c r="AB143" s="36">
        <v>55183.89</v>
      </c>
      <c r="AC143" s="36">
        <v>115242.35</v>
      </c>
      <c r="AD143" s="36">
        <v>12.82</v>
      </c>
      <c r="AE143" s="36">
        <v>110185.25</v>
      </c>
      <c r="AF143" s="71">
        <f t="shared" si="60"/>
        <v>8594.7932917316684</v>
      </c>
      <c r="AG143" s="71">
        <f t="shared" si="61"/>
        <v>8989.26287051482</v>
      </c>
      <c r="AH143" s="72">
        <f t="shared" si="62"/>
        <v>394.47</v>
      </c>
      <c r="AI143" s="36">
        <v>6.14</v>
      </c>
      <c r="AJ143" s="36">
        <v>51047.95</v>
      </c>
      <c r="AK143" s="71">
        <f t="shared" si="63"/>
        <v>8313.998371335505</v>
      </c>
      <c r="AL143" s="71">
        <f t="shared" si="64"/>
        <v>8987.6042345276874</v>
      </c>
      <c r="AM143" s="72">
        <f t="shared" si="65"/>
        <v>673.61</v>
      </c>
      <c r="AN143" s="70">
        <v>18.350000000000001</v>
      </c>
      <c r="AO143" s="70">
        <v>0</v>
      </c>
      <c r="AP143" s="3">
        <v>0</v>
      </c>
    </row>
    <row r="144" spans="1:42" s="3" customFormat="1" ht="15">
      <c r="A144" s="59" t="s">
        <v>456</v>
      </c>
      <c r="B144" s="59" t="s">
        <v>48</v>
      </c>
      <c r="C144" s="59" t="str">
        <f t="shared" si="59"/>
        <v>08122 LONGVIEW SCHOOL DISTRICT</v>
      </c>
      <c r="D144" s="36">
        <v>0</v>
      </c>
      <c r="E144" s="36">
        <v>53566.3</v>
      </c>
      <c r="F144" s="36">
        <v>104973.14</v>
      </c>
      <c r="G144" s="36">
        <v>9819688.8399999999</v>
      </c>
      <c r="H144" s="36">
        <v>2284365.62</v>
      </c>
      <c r="I144" s="36">
        <v>1312252.3700000001</v>
      </c>
      <c r="J144" s="36">
        <v>2562745.62</v>
      </c>
      <c r="K144" s="36">
        <v>661300.5</v>
      </c>
      <c r="L144" s="36">
        <v>183932.57</v>
      </c>
      <c r="M144" s="36">
        <v>3097423.34</v>
      </c>
      <c r="N144" s="50">
        <v>5.8799999999999998E-2</v>
      </c>
      <c r="O144" s="53">
        <v>0.17710000000000001</v>
      </c>
      <c r="P144" s="36">
        <v>0</v>
      </c>
      <c r="Q144" s="69">
        <v>0</v>
      </c>
      <c r="R144" s="69">
        <v>0</v>
      </c>
      <c r="S144" s="70">
        <v>0</v>
      </c>
      <c r="T144" s="70">
        <v>0</v>
      </c>
      <c r="U144" s="70">
        <v>0</v>
      </c>
      <c r="V144" s="36">
        <v>0</v>
      </c>
      <c r="W144" s="70">
        <v>0</v>
      </c>
      <c r="X144" s="70">
        <v>0</v>
      </c>
      <c r="Y144" s="36">
        <v>466.89</v>
      </c>
      <c r="Z144" s="36">
        <v>0</v>
      </c>
      <c r="AA144" s="36">
        <v>281512.78000000003</v>
      </c>
      <c r="AB144" s="36">
        <v>377787.55</v>
      </c>
      <c r="AC144" s="36">
        <v>3020750.56</v>
      </c>
      <c r="AD144" s="36">
        <v>323.70999999999998</v>
      </c>
      <c r="AE144" s="36">
        <v>2780683.16</v>
      </c>
      <c r="AF144" s="71">
        <f t="shared" si="60"/>
        <v>8590.0440517747375</v>
      </c>
      <c r="AG144" s="71">
        <f t="shared" si="61"/>
        <v>9331.6566062216189</v>
      </c>
      <c r="AH144" s="72">
        <f t="shared" si="62"/>
        <v>741.61</v>
      </c>
      <c r="AI144" s="36">
        <v>42.09</v>
      </c>
      <c r="AJ144" s="36">
        <v>350859.77</v>
      </c>
      <c r="AK144" s="71">
        <f t="shared" si="63"/>
        <v>8335.9413162271321</v>
      </c>
      <c r="AL144" s="71">
        <f t="shared" si="64"/>
        <v>8975.7080066524104</v>
      </c>
      <c r="AM144" s="72">
        <f t="shared" si="65"/>
        <v>639.77</v>
      </c>
      <c r="AN144" s="70">
        <v>0</v>
      </c>
      <c r="AO144" s="70">
        <v>541.85</v>
      </c>
      <c r="AP144" s="3">
        <v>0</v>
      </c>
    </row>
    <row r="145" spans="1:42" s="3" customFormat="1" ht="15">
      <c r="A145" s="59" t="s">
        <v>655</v>
      </c>
      <c r="B145" s="59" t="s">
        <v>249</v>
      </c>
      <c r="C145" s="59" t="str">
        <f t="shared" si="59"/>
        <v>33183 LOON LAKE SCHOOL DISTRICT</v>
      </c>
      <c r="D145" s="36">
        <v>0</v>
      </c>
      <c r="E145" s="36">
        <v>0</v>
      </c>
      <c r="F145" s="36">
        <v>0</v>
      </c>
      <c r="G145" s="36">
        <v>154291.24</v>
      </c>
      <c r="H145" s="36">
        <v>23661.919999999998</v>
      </c>
      <c r="I145" s="36">
        <v>31758.89</v>
      </c>
      <c r="J145" s="36">
        <v>86897.27</v>
      </c>
      <c r="K145" s="36">
        <v>0</v>
      </c>
      <c r="L145" s="36">
        <v>6827.64</v>
      </c>
      <c r="M145" s="36">
        <v>0</v>
      </c>
      <c r="N145" s="50">
        <v>0.14829999999999999</v>
      </c>
      <c r="O145" s="53">
        <v>0.29470000000000002</v>
      </c>
      <c r="P145" s="36">
        <v>0</v>
      </c>
      <c r="Q145" s="69">
        <v>0</v>
      </c>
      <c r="R145" s="69">
        <v>0</v>
      </c>
      <c r="S145" s="70">
        <v>0</v>
      </c>
      <c r="T145" s="70">
        <v>0</v>
      </c>
      <c r="U145" s="70">
        <v>0</v>
      </c>
      <c r="V145" s="36">
        <v>0</v>
      </c>
      <c r="W145" s="70">
        <v>0</v>
      </c>
      <c r="X145" s="70">
        <v>0</v>
      </c>
      <c r="Y145" s="36">
        <v>277.43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71">
        <f t="shared" si="60"/>
        <v>0</v>
      </c>
      <c r="AG145" s="71">
        <f t="shared" si="61"/>
        <v>0</v>
      </c>
      <c r="AH145" s="72">
        <f t="shared" si="62"/>
        <v>0</v>
      </c>
      <c r="AI145" s="36">
        <v>0</v>
      </c>
      <c r="AJ145" s="36">
        <v>0</v>
      </c>
      <c r="AK145" s="71">
        <f t="shared" si="63"/>
        <v>0</v>
      </c>
      <c r="AL145" s="71">
        <f t="shared" si="64"/>
        <v>0</v>
      </c>
      <c r="AM145" s="72">
        <f t="shared" si="65"/>
        <v>0</v>
      </c>
      <c r="AN145" s="70">
        <v>0</v>
      </c>
      <c r="AO145" s="70">
        <v>0</v>
      </c>
      <c r="AP145" s="3">
        <v>0</v>
      </c>
    </row>
    <row r="146" spans="1:42" s="3" customFormat="1" ht="15">
      <c r="A146" s="59" t="s">
        <v>610</v>
      </c>
      <c r="B146" s="59" t="s">
        <v>203</v>
      </c>
      <c r="C146" s="59" t="str">
        <f t="shared" si="59"/>
        <v>28144 LOPEZ SCHOOL DISTRICT</v>
      </c>
      <c r="D146" s="36">
        <v>0</v>
      </c>
      <c r="E146" s="36">
        <v>2575.7800000000002</v>
      </c>
      <c r="F146" s="36">
        <v>0</v>
      </c>
      <c r="G146" s="36">
        <v>461671.42</v>
      </c>
      <c r="H146" s="36">
        <v>43388.97</v>
      </c>
      <c r="I146" s="36">
        <v>0</v>
      </c>
      <c r="J146" s="36">
        <v>77876.47</v>
      </c>
      <c r="K146" s="36">
        <v>39496.57</v>
      </c>
      <c r="L146" s="36">
        <v>7433.14</v>
      </c>
      <c r="M146" s="36">
        <v>255019.5</v>
      </c>
      <c r="N146" s="50">
        <v>0.111</v>
      </c>
      <c r="O146" s="53">
        <v>0.29070000000000001</v>
      </c>
      <c r="P146" s="36">
        <v>0</v>
      </c>
      <c r="Q146" s="69">
        <v>0</v>
      </c>
      <c r="R146" s="69">
        <v>0</v>
      </c>
      <c r="S146" s="70">
        <v>0</v>
      </c>
      <c r="T146" s="70">
        <v>0</v>
      </c>
      <c r="U146" s="70">
        <v>0</v>
      </c>
      <c r="V146" s="36">
        <v>0</v>
      </c>
      <c r="W146" s="70">
        <v>0</v>
      </c>
      <c r="X146" s="70">
        <v>0</v>
      </c>
      <c r="Y146" s="36">
        <v>0</v>
      </c>
      <c r="Z146" s="36">
        <v>0</v>
      </c>
      <c r="AA146" s="36">
        <v>2897</v>
      </c>
      <c r="AB146" s="36">
        <v>14187.5</v>
      </c>
      <c r="AC146" s="36">
        <v>26710.34</v>
      </c>
      <c r="AD146" s="36">
        <v>2.17</v>
      </c>
      <c r="AE146" s="36">
        <v>20246.93</v>
      </c>
      <c r="AF146" s="71">
        <f t="shared" si="60"/>
        <v>9330.382488479263</v>
      </c>
      <c r="AG146" s="71">
        <f t="shared" si="61"/>
        <v>12308.912442396313</v>
      </c>
      <c r="AH146" s="72">
        <f t="shared" si="62"/>
        <v>2978.53</v>
      </c>
      <c r="AI146" s="36">
        <v>1.45</v>
      </c>
      <c r="AJ146" s="36">
        <v>13213.63</v>
      </c>
      <c r="AK146" s="71">
        <f t="shared" si="63"/>
        <v>9112.8482758620685</v>
      </c>
      <c r="AL146" s="71">
        <f t="shared" si="64"/>
        <v>9784.4827586206902</v>
      </c>
      <c r="AM146" s="72">
        <f t="shared" si="65"/>
        <v>671.63</v>
      </c>
      <c r="AN146" s="70">
        <v>0</v>
      </c>
      <c r="AO146" s="70">
        <v>0</v>
      </c>
      <c r="AP146" s="3">
        <v>0</v>
      </c>
    </row>
    <row r="147" spans="1:42" s="3" customFormat="1" ht="15">
      <c r="A147" s="59" t="s">
        <v>774</v>
      </c>
      <c r="B147" s="63" t="s">
        <v>775</v>
      </c>
      <c r="C147" s="60" t="str">
        <f>CONCATENATE(B147," ",A147," CHARTER")</f>
        <v>32903 LUMEN CHARTER</v>
      </c>
      <c r="D147" s="36">
        <v>0</v>
      </c>
      <c r="E147" s="36">
        <v>0</v>
      </c>
      <c r="F147" s="36">
        <v>0</v>
      </c>
      <c r="G147" s="36">
        <v>42658.04</v>
      </c>
      <c r="H147" s="36">
        <v>8099.3</v>
      </c>
      <c r="I147" s="36">
        <v>11360.81</v>
      </c>
      <c r="J147" s="36">
        <v>21659.88</v>
      </c>
      <c r="K147" s="36">
        <v>0</v>
      </c>
      <c r="L147" s="36">
        <v>0</v>
      </c>
      <c r="M147" s="36">
        <v>10493.66</v>
      </c>
      <c r="N147" s="50">
        <v>0.08</v>
      </c>
      <c r="O147" s="53">
        <v>0.1</v>
      </c>
      <c r="P147" s="36">
        <v>0</v>
      </c>
      <c r="Q147" s="69">
        <v>0</v>
      </c>
      <c r="R147" s="69">
        <v>0</v>
      </c>
      <c r="S147" s="70">
        <v>0</v>
      </c>
      <c r="T147" s="70">
        <v>0</v>
      </c>
      <c r="U147" s="70">
        <v>0</v>
      </c>
      <c r="V147" s="36">
        <v>0</v>
      </c>
      <c r="W147" s="70">
        <v>0</v>
      </c>
      <c r="X147" s="70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71">
        <f t="shared" si="60"/>
        <v>0</v>
      </c>
      <c r="AG147" s="71">
        <f t="shared" si="61"/>
        <v>0</v>
      </c>
      <c r="AH147" s="72">
        <f t="shared" si="62"/>
        <v>0</v>
      </c>
      <c r="AI147" s="36">
        <v>0</v>
      </c>
      <c r="AJ147" s="36">
        <v>0</v>
      </c>
      <c r="AK147" s="71">
        <f t="shared" si="63"/>
        <v>0</v>
      </c>
      <c r="AL147" s="71">
        <f t="shared" si="64"/>
        <v>0</v>
      </c>
      <c r="AM147" s="72">
        <f t="shared" si="65"/>
        <v>0</v>
      </c>
      <c r="AN147" s="70">
        <v>0</v>
      </c>
      <c r="AO147" s="70">
        <v>0</v>
      </c>
      <c r="AP147" s="3">
        <v>0</v>
      </c>
    </row>
    <row r="148" spans="1:42" s="3" customFormat="1" ht="15">
      <c r="A148" s="59" t="s">
        <v>799</v>
      </c>
      <c r="B148" s="59" t="s">
        <v>414</v>
      </c>
      <c r="C148" s="62" t="str">
        <f>CONCATENATE(B148," ",A148," TRIBAL COMPACT")</f>
        <v>37903 LUMMI TRIBAL COMPACT</v>
      </c>
      <c r="D148" s="36">
        <v>0</v>
      </c>
      <c r="E148" s="36">
        <v>0</v>
      </c>
      <c r="F148" s="36">
        <v>0</v>
      </c>
      <c r="G148" s="36">
        <v>674440.47</v>
      </c>
      <c r="H148" s="36">
        <v>176807.67</v>
      </c>
      <c r="I148" s="36">
        <v>128820.24</v>
      </c>
      <c r="J148" s="36">
        <v>260766.1</v>
      </c>
      <c r="K148" s="36">
        <v>0</v>
      </c>
      <c r="L148" s="36">
        <v>0</v>
      </c>
      <c r="M148" s="36">
        <v>592159.91</v>
      </c>
      <c r="N148" s="50">
        <v>0.08</v>
      </c>
      <c r="O148" s="53">
        <v>0.1</v>
      </c>
      <c r="P148" s="36">
        <v>0</v>
      </c>
      <c r="Q148" s="69">
        <v>0</v>
      </c>
      <c r="R148" s="69">
        <v>0</v>
      </c>
      <c r="S148" s="70">
        <v>0</v>
      </c>
      <c r="T148" s="70">
        <v>0</v>
      </c>
      <c r="U148" s="70">
        <v>0</v>
      </c>
      <c r="V148" s="36">
        <v>0</v>
      </c>
      <c r="W148" s="70">
        <v>0</v>
      </c>
      <c r="X148" s="70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71">
        <f t="shared" si="60"/>
        <v>0</v>
      </c>
      <c r="AG148" s="71">
        <f t="shared" si="61"/>
        <v>0</v>
      </c>
      <c r="AH148" s="72">
        <f t="shared" si="62"/>
        <v>0</v>
      </c>
      <c r="AI148" s="36">
        <v>0</v>
      </c>
      <c r="AJ148" s="36">
        <v>0</v>
      </c>
      <c r="AK148" s="71">
        <f t="shared" si="63"/>
        <v>0</v>
      </c>
      <c r="AL148" s="71">
        <f t="shared" si="64"/>
        <v>0</v>
      </c>
      <c r="AM148" s="72">
        <f t="shared" si="65"/>
        <v>0</v>
      </c>
      <c r="AN148" s="70">
        <v>0</v>
      </c>
      <c r="AO148" s="70">
        <v>0</v>
      </c>
      <c r="AP148" s="3">
        <v>0</v>
      </c>
    </row>
    <row r="149" spans="1:42" s="3" customFormat="1" ht="15">
      <c r="A149" s="59" t="s">
        <v>548</v>
      </c>
      <c r="B149" s="59" t="s">
        <v>140</v>
      </c>
      <c r="C149" s="59" t="str">
        <f t="shared" ref="C149:C172" si="66">CONCATENATE(B149," ",A149," SCHOOL DISTRICT")</f>
        <v>20406 LYLE SCHOOL DISTRICT</v>
      </c>
      <c r="D149" s="36">
        <v>0</v>
      </c>
      <c r="E149" s="36">
        <v>8100.72</v>
      </c>
      <c r="F149" s="36">
        <v>5987.49</v>
      </c>
      <c r="G149" s="36">
        <v>0</v>
      </c>
      <c r="H149" s="36">
        <v>0</v>
      </c>
      <c r="I149" s="36">
        <v>62276.38</v>
      </c>
      <c r="J149" s="36">
        <v>120414.79</v>
      </c>
      <c r="K149" s="36">
        <v>0</v>
      </c>
      <c r="L149" s="36">
        <v>6103.51</v>
      </c>
      <c r="M149" s="36">
        <v>0</v>
      </c>
      <c r="N149" s="50">
        <v>2.98E-2</v>
      </c>
      <c r="O149" s="53">
        <v>0.20580000000000001</v>
      </c>
      <c r="P149" s="36">
        <v>0</v>
      </c>
      <c r="Q149" s="69">
        <v>0</v>
      </c>
      <c r="R149" s="69">
        <v>0</v>
      </c>
      <c r="S149" s="70">
        <v>0</v>
      </c>
      <c r="T149" s="70">
        <v>0</v>
      </c>
      <c r="U149" s="70">
        <v>0</v>
      </c>
      <c r="V149" s="36">
        <v>0</v>
      </c>
      <c r="W149" s="70">
        <v>0</v>
      </c>
      <c r="X149" s="70">
        <v>0</v>
      </c>
      <c r="Y149" s="36">
        <v>0</v>
      </c>
      <c r="Z149" s="36">
        <v>0</v>
      </c>
      <c r="AA149" s="36">
        <v>0</v>
      </c>
      <c r="AB149" s="36">
        <v>0</v>
      </c>
      <c r="AC149" s="36">
        <v>3347.54</v>
      </c>
      <c r="AD149" s="36">
        <v>0</v>
      </c>
      <c r="AE149" s="36">
        <v>0</v>
      </c>
      <c r="AF149" s="71">
        <f t="shared" si="60"/>
        <v>0</v>
      </c>
      <c r="AG149" s="71">
        <f t="shared" si="61"/>
        <v>0</v>
      </c>
      <c r="AH149" s="72">
        <f t="shared" si="62"/>
        <v>0</v>
      </c>
      <c r="AI149" s="36">
        <v>0</v>
      </c>
      <c r="AJ149" s="36">
        <v>0</v>
      </c>
      <c r="AK149" s="71">
        <f t="shared" si="63"/>
        <v>0</v>
      </c>
      <c r="AL149" s="71">
        <f t="shared" si="64"/>
        <v>0</v>
      </c>
      <c r="AM149" s="72">
        <f t="shared" si="65"/>
        <v>0</v>
      </c>
      <c r="AN149" s="70">
        <v>0</v>
      </c>
      <c r="AO149" s="70">
        <v>0</v>
      </c>
      <c r="AP149" s="3">
        <v>0</v>
      </c>
    </row>
    <row r="150" spans="1:42" s="3" customFormat="1" ht="15">
      <c r="A150" s="59" t="s">
        <v>679</v>
      </c>
      <c r="B150" s="59" t="s">
        <v>275</v>
      </c>
      <c r="C150" s="59" t="str">
        <f t="shared" si="66"/>
        <v>37504 LYNDEN SCHOOL DISTRICT</v>
      </c>
      <c r="D150" s="36">
        <v>0</v>
      </c>
      <c r="E150" s="36">
        <v>11527.19</v>
      </c>
      <c r="F150" s="36">
        <v>0</v>
      </c>
      <c r="G150" s="36">
        <v>5127087.3899999997</v>
      </c>
      <c r="H150" s="36">
        <v>798301.06</v>
      </c>
      <c r="I150" s="36">
        <v>0</v>
      </c>
      <c r="J150" s="36">
        <v>556492.26</v>
      </c>
      <c r="K150" s="36">
        <v>674790.78</v>
      </c>
      <c r="L150" s="36">
        <v>107813.57</v>
      </c>
      <c r="M150" s="36">
        <v>1763535.5</v>
      </c>
      <c r="N150" s="50">
        <v>4.4200000000000003E-2</v>
      </c>
      <c r="O150" s="53">
        <v>0.13500000000000001</v>
      </c>
      <c r="P150" s="36">
        <v>0</v>
      </c>
      <c r="Q150" s="69">
        <v>0</v>
      </c>
      <c r="R150" s="69">
        <v>0</v>
      </c>
      <c r="S150" s="70">
        <v>0</v>
      </c>
      <c r="T150" s="70">
        <v>0</v>
      </c>
      <c r="U150" s="70">
        <v>0</v>
      </c>
      <c r="V150" s="36">
        <v>0</v>
      </c>
      <c r="W150" s="70">
        <v>0</v>
      </c>
      <c r="X150" s="70">
        <v>0</v>
      </c>
      <c r="Y150" s="36">
        <v>0</v>
      </c>
      <c r="Z150" s="36">
        <v>3305.7</v>
      </c>
      <c r="AA150" s="36">
        <v>11120.06</v>
      </c>
      <c r="AB150" s="36">
        <v>157517.03</v>
      </c>
      <c r="AC150" s="36">
        <v>1903702.38</v>
      </c>
      <c r="AD150" s="36">
        <v>190.07</v>
      </c>
      <c r="AE150" s="36">
        <v>1700816.91</v>
      </c>
      <c r="AF150" s="71">
        <f t="shared" si="60"/>
        <v>8948.3711790393008</v>
      </c>
      <c r="AG150" s="71">
        <f t="shared" si="61"/>
        <v>10015.796180354606</v>
      </c>
      <c r="AH150" s="72">
        <f t="shared" si="62"/>
        <v>1067.43</v>
      </c>
      <c r="AI150" s="36">
        <v>16.829999999999998</v>
      </c>
      <c r="AJ150" s="36">
        <v>146387.93</v>
      </c>
      <c r="AK150" s="71">
        <f t="shared" si="63"/>
        <v>8698.0350564468208</v>
      </c>
      <c r="AL150" s="71">
        <f t="shared" si="64"/>
        <v>9359.3006535947716</v>
      </c>
      <c r="AM150" s="72">
        <f t="shared" si="65"/>
        <v>661.27</v>
      </c>
      <c r="AN150" s="70">
        <v>0</v>
      </c>
      <c r="AO150" s="70">
        <v>0</v>
      </c>
      <c r="AP150" s="3">
        <v>0</v>
      </c>
    </row>
    <row r="151" spans="1:42" s="3" customFormat="1" ht="15">
      <c r="A151" s="59" t="s">
        <v>700</v>
      </c>
      <c r="B151" s="59" t="s">
        <v>297</v>
      </c>
      <c r="C151" s="59" t="str">
        <f t="shared" si="66"/>
        <v>39120 MABTON SCHOOL DISTRICT</v>
      </c>
      <c r="D151" s="36">
        <v>0</v>
      </c>
      <c r="E151" s="36">
        <v>52194.86</v>
      </c>
      <c r="F151" s="36">
        <v>24057.57</v>
      </c>
      <c r="G151" s="36">
        <v>799983.34</v>
      </c>
      <c r="H151" s="36">
        <v>164359.63</v>
      </c>
      <c r="I151" s="36">
        <v>243105.48</v>
      </c>
      <c r="J151" s="36">
        <v>527280.29</v>
      </c>
      <c r="K151" s="36">
        <v>514423.79</v>
      </c>
      <c r="L151" s="36">
        <v>22862.26</v>
      </c>
      <c r="M151" s="36">
        <v>242069.35</v>
      </c>
      <c r="N151" s="50">
        <v>6.93E-2</v>
      </c>
      <c r="O151" s="53">
        <v>0.22120000000000001</v>
      </c>
      <c r="P151" s="36">
        <v>0</v>
      </c>
      <c r="Q151" s="69">
        <v>0</v>
      </c>
      <c r="R151" s="69">
        <v>0</v>
      </c>
      <c r="S151" s="70">
        <v>0</v>
      </c>
      <c r="T151" s="70">
        <v>0</v>
      </c>
      <c r="U151" s="70">
        <v>0</v>
      </c>
      <c r="V151" s="36">
        <v>0</v>
      </c>
      <c r="W151" s="70">
        <v>0</v>
      </c>
      <c r="X151" s="70">
        <v>0</v>
      </c>
      <c r="Y151" s="36">
        <v>0</v>
      </c>
      <c r="Z151" s="36">
        <v>0</v>
      </c>
      <c r="AA151" s="36">
        <v>7879.06</v>
      </c>
      <c r="AB151" s="36">
        <v>0</v>
      </c>
      <c r="AC151" s="36">
        <v>721445.33</v>
      </c>
      <c r="AD151" s="36">
        <v>78.27</v>
      </c>
      <c r="AE151" s="36">
        <v>672370.57</v>
      </c>
      <c r="AF151" s="71">
        <f t="shared" si="60"/>
        <v>8590.3995145010849</v>
      </c>
      <c r="AG151" s="71">
        <f t="shared" si="61"/>
        <v>9217.3927430688636</v>
      </c>
      <c r="AH151" s="72">
        <f t="shared" si="62"/>
        <v>626.99</v>
      </c>
      <c r="AI151" s="36">
        <v>0</v>
      </c>
      <c r="AJ151" s="36">
        <v>0</v>
      </c>
      <c r="AK151" s="71">
        <f t="shared" si="63"/>
        <v>0</v>
      </c>
      <c r="AL151" s="71">
        <f t="shared" si="64"/>
        <v>0</v>
      </c>
      <c r="AM151" s="72">
        <f t="shared" si="65"/>
        <v>0</v>
      </c>
      <c r="AN151" s="70">
        <v>2009.51</v>
      </c>
      <c r="AO151" s="70">
        <v>0</v>
      </c>
      <c r="AP151" s="3">
        <v>0</v>
      </c>
    </row>
    <row r="152" spans="1:42" s="3" customFormat="1" ht="15">
      <c r="A152" s="59" t="s">
        <v>466</v>
      </c>
      <c r="B152" s="59" t="s">
        <v>58</v>
      </c>
      <c r="C152" s="59" t="str">
        <f t="shared" si="66"/>
        <v>09207 MANSFIELD SCHOOL DISTRICT</v>
      </c>
      <c r="D152" s="36">
        <v>0</v>
      </c>
      <c r="E152" s="36">
        <v>3316.3</v>
      </c>
      <c r="F152" s="36">
        <v>2252.0500000000002</v>
      </c>
      <c r="G152" s="36">
        <v>100465.26</v>
      </c>
      <c r="H152" s="36">
        <v>14548.86</v>
      </c>
      <c r="I152" s="36">
        <v>27207.119999999999</v>
      </c>
      <c r="J152" s="36">
        <v>38793.43</v>
      </c>
      <c r="K152" s="36">
        <v>0</v>
      </c>
      <c r="L152" s="36">
        <v>0</v>
      </c>
      <c r="M152" s="36">
        <v>138287.07999999999</v>
      </c>
      <c r="N152" s="50">
        <v>2.4199999999999999E-2</v>
      </c>
      <c r="O152" s="53">
        <v>0.31080000000000002</v>
      </c>
      <c r="P152" s="36">
        <v>0</v>
      </c>
      <c r="Q152" s="69">
        <v>0</v>
      </c>
      <c r="R152" s="69">
        <v>0</v>
      </c>
      <c r="S152" s="70">
        <v>0</v>
      </c>
      <c r="T152" s="70">
        <v>0</v>
      </c>
      <c r="U152" s="70">
        <v>0</v>
      </c>
      <c r="V152" s="36">
        <v>0</v>
      </c>
      <c r="W152" s="70">
        <v>0</v>
      </c>
      <c r="X152" s="70">
        <v>0</v>
      </c>
      <c r="Y152" s="36">
        <v>116.16</v>
      </c>
      <c r="Z152" s="36">
        <v>0</v>
      </c>
      <c r="AA152" s="36">
        <v>0</v>
      </c>
      <c r="AB152" s="36">
        <v>584.17999999999995</v>
      </c>
      <c r="AC152" s="36">
        <v>29679.74</v>
      </c>
      <c r="AD152" s="36">
        <v>3.3</v>
      </c>
      <c r="AE152" s="36">
        <v>28358.67</v>
      </c>
      <c r="AF152" s="71">
        <f t="shared" si="60"/>
        <v>8593.5363636363636</v>
      </c>
      <c r="AG152" s="71">
        <f t="shared" si="61"/>
        <v>8993.8606060606071</v>
      </c>
      <c r="AH152" s="72">
        <f t="shared" si="62"/>
        <v>400.32</v>
      </c>
      <c r="AI152" s="36">
        <v>7.0000000000000007E-2</v>
      </c>
      <c r="AJ152" s="36">
        <v>494.49</v>
      </c>
      <c r="AK152" s="71">
        <f t="shared" si="63"/>
        <v>7064.1428571428569</v>
      </c>
      <c r="AL152" s="71">
        <f t="shared" si="64"/>
        <v>8345.4285714285706</v>
      </c>
      <c r="AM152" s="72">
        <f t="shared" si="65"/>
        <v>1281.29</v>
      </c>
      <c r="AN152" s="70">
        <v>0</v>
      </c>
      <c r="AO152" s="70">
        <v>0</v>
      </c>
      <c r="AP152" s="3">
        <v>0</v>
      </c>
    </row>
    <row r="153" spans="1:42" s="3" customFormat="1" ht="15">
      <c r="A153" s="59" t="s">
        <v>433</v>
      </c>
      <c r="B153" s="59" t="s">
        <v>25</v>
      </c>
      <c r="C153" s="59" t="str">
        <f t="shared" si="66"/>
        <v>04019 MANSON SCHOOL DISTRICT</v>
      </c>
      <c r="D153" s="36">
        <v>0</v>
      </c>
      <c r="E153" s="36">
        <v>24397.01</v>
      </c>
      <c r="F153" s="36">
        <v>15161.28</v>
      </c>
      <c r="G153" s="36">
        <v>787058.63</v>
      </c>
      <c r="H153" s="36">
        <v>109742.91</v>
      </c>
      <c r="I153" s="36">
        <v>181760.16</v>
      </c>
      <c r="J153" s="36">
        <v>260795.29</v>
      </c>
      <c r="K153" s="36">
        <v>362167.34</v>
      </c>
      <c r="L153" s="36">
        <v>18310.5</v>
      </c>
      <c r="M153" s="36">
        <v>339323.09</v>
      </c>
      <c r="N153" s="50">
        <v>3.9699999999999999E-2</v>
      </c>
      <c r="O153" s="53">
        <v>0.17560000000000001</v>
      </c>
      <c r="P153" s="36">
        <v>0</v>
      </c>
      <c r="Q153" s="69">
        <v>0</v>
      </c>
      <c r="R153" s="69">
        <v>0</v>
      </c>
      <c r="S153" s="70">
        <v>0</v>
      </c>
      <c r="T153" s="70">
        <v>0</v>
      </c>
      <c r="U153" s="70">
        <v>0</v>
      </c>
      <c r="V153" s="36">
        <v>0</v>
      </c>
      <c r="W153" s="70">
        <v>0</v>
      </c>
      <c r="X153" s="70">
        <v>0</v>
      </c>
      <c r="Y153" s="36">
        <v>727.41</v>
      </c>
      <c r="Z153" s="36">
        <v>6633.66</v>
      </c>
      <c r="AA153" s="36">
        <v>30710.23</v>
      </c>
      <c r="AB153" s="36">
        <v>50025.4</v>
      </c>
      <c r="AC153" s="36">
        <v>425300.35</v>
      </c>
      <c r="AD153" s="36">
        <v>47.32</v>
      </c>
      <c r="AE153" s="36">
        <v>406439.66</v>
      </c>
      <c r="AF153" s="71">
        <f t="shared" si="60"/>
        <v>8589.1728655959414</v>
      </c>
      <c r="AG153" s="71">
        <f t="shared" si="61"/>
        <v>8987.7504226542678</v>
      </c>
      <c r="AH153" s="72">
        <f t="shared" si="62"/>
        <v>398.58</v>
      </c>
      <c r="AI153" s="36">
        <v>5.57</v>
      </c>
      <c r="AJ153" s="36">
        <v>46313.37</v>
      </c>
      <c r="AK153" s="71">
        <f t="shared" si="63"/>
        <v>8314.788150807899</v>
      </c>
      <c r="AL153" s="71">
        <f t="shared" si="64"/>
        <v>8981.2208258527826</v>
      </c>
      <c r="AM153" s="72">
        <f t="shared" si="65"/>
        <v>666.43</v>
      </c>
      <c r="AN153" s="70">
        <v>0</v>
      </c>
      <c r="AO153" s="70">
        <v>0</v>
      </c>
      <c r="AP153" s="3">
        <v>0</v>
      </c>
    </row>
    <row r="154" spans="1:42" s="3" customFormat="1" ht="15">
      <c r="A154" s="59" t="s">
        <v>573</v>
      </c>
      <c r="B154" s="59" t="s">
        <v>165</v>
      </c>
      <c r="C154" s="59" t="str">
        <f t="shared" si="66"/>
        <v>23311 MARY M KNIGHT SCHOOL DISTRICT</v>
      </c>
      <c r="D154" s="36">
        <v>49960.98</v>
      </c>
      <c r="E154" s="36">
        <v>24400</v>
      </c>
      <c r="F154" s="36">
        <v>4490.62</v>
      </c>
      <c r="G154" s="36">
        <v>1226283.81</v>
      </c>
      <c r="H154" s="36">
        <v>219420.9</v>
      </c>
      <c r="I154" s="36">
        <v>50896.98</v>
      </c>
      <c r="J154" s="36">
        <v>192622.3</v>
      </c>
      <c r="K154" s="36">
        <v>0</v>
      </c>
      <c r="L154" s="36">
        <v>29896.799999999999</v>
      </c>
      <c r="M154" s="36">
        <v>290009.3</v>
      </c>
      <c r="N154" s="50">
        <v>2.5000000000000001E-3</v>
      </c>
      <c r="O154" s="53">
        <v>3.8899999999999997E-2</v>
      </c>
      <c r="P154" s="36">
        <v>0</v>
      </c>
      <c r="Q154" s="69">
        <v>0</v>
      </c>
      <c r="R154" s="69">
        <v>0</v>
      </c>
      <c r="S154" s="70">
        <v>0</v>
      </c>
      <c r="T154" s="70">
        <v>0</v>
      </c>
      <c r="U154" s="70">
        <v>0</v>
      </c>
      <c r="V154" s="36">
        <v>0</v>
      </c>
      <c r="W154" s="70">
        <v>0</v>
      </c>
      <c r="X154" s="70">
        <v>0</v>
      </c>
      <c r="Y154" s="36">
        <v>206.38</v>
      </c>
      <c r="Z154" s="36">
        <v>0</v>
      </c>
      <c r="AA154" s="36">
        <v>0</v>
      </c>
      <c r="AB154" s="36">
        <v>49473.54</v>
      </c>
      <c r="AC154" s="36">
        <v>163287.6</v>
      </c>
      <c r="AD154" s="36">
        <v>17.11</v>
      </c>
      <c r="AE154" s="36">
        <v>146934.63</v>
      </c>
      <c r="AF154" s="71">
        <f t="shared" si="60"/>
        <v>8587.6464056107543</v>
      </c>
      <c r="AG154" s="71">
        <f t="shared" si="61"/>
        <v>9543.4015195791944</v>
      </c>
      <c r="AH154" s="72">
        <f t="shared" si="62"/>
        <v>955.76</v>
      </c>
      <c r="AI154" s="36">
        <v>5.52</v>
      </c>
      <c r="AJ154" s="36">
        <v>45951.69</v>
      </c>
      <c r="AK154" s="71">
        <f t="shared" si="63"/>
        <v>8324.5815217391319</v>
      </c>
      <c r="AL154" s="71">
        <f t="shared" si="64"/>
        <v>8962.5978260869579</v>
      </c>
      <c r="AM154" s="72">
        <f t="shared" si="65"/>
        <v>638.02</v>
      </c>
      <c r="AN154" s="70">
        <v>0</v>
      </c>
      <c r="AO154" s="70">
        <v>0</v>
      </c>
      <c r="AP154" s="3">
        <v>0</v>
      </c>
    </row>
    <row r="155" spans="1:42" s="3" customFormat="1" ht="15">
      <c r="A155" s="59" t="s">
        <v>657</v>
      </c>
      <c r="B155" s="59" t="s">
        <v>253</v>
      </c>
      <c r="C155" s="59" t="str">
        <f t="shared" si="66"/>
        <v>33207 MARY WALKER SCHOOL DISTRICT</v>
      </c>
      <c r="D155" s="36">
        <v>0</v>
      </c>
      <c r="E155" s="36">
        <v>20613.79</v>
      </c>
      <c r="F155" s="36">
        <v>6186.33</v>
      </c>
      <c r="G155" s="36">
        <v>661109.02</v>
      </c>
      <c r="H155" s="36">
        <v>114093.32</v>
      </c>
      <c r="I155" s="36">
        <v>139966.69</v>
      </c>
      <c r="J155" s="36">
        <v>238967.53</v>
      </c>
      <c r="K155" s="36">
        <v>0</v>
      </c>
      <c r="L155" s="36">
        <v>0</v>
      </c>
      <c r="M155" s="36">
        <v>365581.98</v>
      </c>
      <c r="N155" s="50">
        <v>7.3899999999999993E-2</v>
      </c>
      <c r="O155" s="53">
        <v>0.24879999999999999</v>
      </c>
      <c r="P155" s="36">
        <v>0</v>
      </c>
      <c r="Q155" s="69">
        <v>0</v>
      </c>
      <c r="R155" s="69">
        <v>0</v>
      </c>
      <c r="S155" s="70">
        <v>0</v>
      </c>
      <c r="T155" s="70">
        <v>0</v>
      </c>
      <c r="U155" s="70">
        <v>0</v>
      </c>
      <c r="V155" s="36">
        <v>0</v>
      </c>
      <c r="W155" s="70">
        <v>0</v>
      </c>
      <c r="X155" s="70">
        <v>0</v>
      </c>
      <c r="Y155" s="36">
        <v>596.59</v>
      </c>
      <c r="Z155" s="36">
        <v>0</v>
      </c>
      <c r="AA155" s="36">
        <v>26725.01</v>
      </c>
      <c r="AB155" s="36">
        <v>0</v>
      </c>
      <c r="AC155" s="36">
        <v>258918.96</v>
      </c>
      <c r="AD155" s="36">
        <v>28.63</v>
      </c>
      <c r="AE155" s="36">
        <v>246028.26</v>
      </c>
      <c r="AF155" s="71">
        <f t="shared" si="60"/>
        <v>8593.3726859937142</v>
      </c>
      <c r="AG155" s="71">
        <f t="shared" si="61"/>
        <v>9043.6241704505755</v>
      </c>
      <c r="AH155" s="72">
        <f t="shared" si="62"/>
        <v>450.25</v>
      </c>
      <c r="AI155" s="36">
        <v>0</v>
      </c>
      <c r="AJ155" s="36">
        <v>0</v>
      </c>
      <c r="AK155" s="71">
        <f t="shared" si="63"/>
        <v>0</v>
      </c>
      <c r="AL155" s="71">
        <f t="shared" si="64"/>
        <v>0</v>
      </c>
      <c r="AM155" s="72">
        <f t="shared" si="65"/>
        <v>0</v>
      </c>
      <c r="AN155" s="70">
        <v>0</v>
      </c>
      <c r="AO155" s="70">
        <v>0</v>
      </c>
      <c r="AP155" s="3">
        <v>0</v>
      </c>
    </row>
    <row r="156" spans="1:42" s="3" customFormat="1" ht="15">
      <c r="A156" s="59" t="s">
        <v>628</v>
      </c>
      <c r="B156" s="59" t="s">
        <v>221</v>
      </c>
      <c r="C156" s="59" t="str">
        <f t="shared" si="66"/>
        <v>31025 MARYSVILLE SCHOOL DISTRICT</v>
      </c>
      <c r="D156" s="36">
        <v>0</v>
      </c>
      <c r="E156" s="36">
        <v>188869.86</v>
      </c>
      <c r="F156" s="36">
        <v>110903.9</v>
      </c>
      <c r="G156" s="36">
        <v>18373590.949999999</v>
      </c>
      <c r="H156" s="36">
        <v>4367511.05</v>
      </c>
      <c r="I156" s="36">
        <v>2174578.4500000002</v>
      </c>
      <c r="J156" s="36">
        <v>3727798.58</v>
      </c>
      <c r="K156" s="36">
        <v>2041905.96</v>
      </c>
      <c r="L156" s="36">
        <v>331578.44</v>
      </c>
      <c r="M156" s="36">
        <v>7824006.8799999999</v>
      </c>
      <c r="N156" s="50">
        <v>4.53E-2</v>
      </c>
      <c r="O156" s="53">
        <v>0.14349999999999999</v>
      </c>
      <c r="P156" s="36">
        <v>0</v>
      </c>
      <c r="Q156" s="69">
        <v>0</v>
      </c>
      <c r="R156" s="69">
        <v>0</v>
      </c>
      <c r="S156" s="70">
        <v>0</v>
      </c>
      <c r="T156" s="70">
        <v>0</v>
      </c>
      <c r="U156" s="70">
        <v>0</v>
      </c>
      <c r="V156" s="36">
        <v>0</v>
      </c>
      <c r="W156" s="70">
        <v>0</v>
      </c>
      <c r="X156" s="70">
        <v>0</v>
      </c>
      <c r="Y156" s="36">
        <v>11348.68</v>
      </c>
      <c r="Z156" s="36">
        <v>174797.36</v>
      </c>
      <c r="AA156" s="36">
        <v>538073.44999999995</v>
      </c>
      <c r="AB156" s="36">
        <v>1915722.84</v>
      </c>
      <c r="AC156" s="36">
        <v>5683696.8300000001</v>
      </c>
      <c r="AD156" s="36">
        <v>559.16</v>
      </c>
      <c r="AE156" s="36">
        <v>5304630.42</v>
      </c>
      <c r="AF156" s="71">
        <f t="shared" si="60"/>
        <v>9486.7844981758353</v>
      </c>
      <c r="AG156" s="71">
        <f t="shared" si="61"/>
        <v>10164.705683525288</v>
      </c>
      <c r="AH156" s="72">
        <f t="shared" si="62"/>
        <v>677.92</v>
      </c>
      <c r="AI156" s="36">
        <v>192.92</v>
      </c>
      <c r="AJ156" s="36">
        <v>1779417.26</v>
      </c>
      <c r="AK156" s="71">
        <f t="shared" si="63"/>
        <v>9223.6018038565217</v>
      </c>
      <c r="AL156" s="71">
        <f t="shared" si="64"/>
        <v>9930.1411984242186</v>
      </c>
      <c r="AM156" s="72">
        <f t="shared" si="65"/>
        <v>706.54</v>
      </c>
      <c r="AN156" s="70">
        <v>0</v>
      </c>
      <c r="AO156" s="70">
        <v>0</v>
      </c>
      <c r="AP156" s="3">
        <v>0</v>
      </c>
    </row>
    <row r="157" spans="1:42" s="3" customFormat="1" ht="15">
      <c r="A157" s="59" t="s">
        <v>491</v>
      </c>
      <c r="B157" s="59" t="s">
        <v>83</v>
      </c>
      <c r="C157" s="59" t="str">
        <f t="shared" si="66"/>
        <v>14065 MC CLEARY SCHOOL DISTRICT</v>
      </c>
      <c r="D157" s="36">
        <v>0</v>
      </c>
      <c r="E157" s="36">
        <v>0</v>
      </c>
      <c r="F157" s="36">
        <v>0</v>
      </c>
      <c r="G157" s="36">
        <v>457186.85</v>
      </c>
      <c r="H157" s="36">
        <v>72099.240000000005</v>
      </c>
      <c r="I157" s="36">
        <v>87207.63</v>
      </c>
      <c r="J157" s="36">
        <v>99931.87</v>
      </c>
      <c r="K157" s="36">
        <v>9135.3799999999992</v>
      </c>
      <c r="L157" s="36">
        <v>9103.5300000000007</v>
      </c>
      <c r="M157" s="36">
        <v>170659.65</v>
      </c>
      <c r="N157" s="50">
        <v>4.6600000000000003E-2</v>
      </c>
      <c r="O157" s="53">
        <v>0.24809999999999999</v>
      </c>
      <c r="P157" s="36">
        <v>0</v>
      </c>
      <c r="Q157" s="69">
        <v>0</v>
      </c>
      <c r="R157" s="69">
        <v>0</v>
      </c>
      <c r="S157" s="70">
        <v>0</v>
      </c>
      <c r="T157" s="70">
        <v>0</v>
      </c>
      <c r="U157" s="70">
        <v>0</v>
      </c>
      <c r="V157" s="36">
        <v>0</v>
      </c>
      <c r="W157" s="70">
        <v>0</v>
      </c>
      <c r="X157" s="70">
        <v>0</v>
      </c>
      <c r="Y157" s="36">
        <v>374.42</v>
      </c>
      <c r="Z157" s="36">
        <v>0</v>
      </c>
      <c r="AA157" s="36">
        <v>0</v>
      </c>
      <c r="AB157" s="36">
        <v>0</v>
      </c>
      <c r="AC157" s="36">
        <v>0</v>
      </c>
      <c r="AD157" s="36">
        <v>0</v>
      </c>
      <c r="AE157" s="36">
        <v>0</v>
      </c>
      <c r="AF157" s="71">
        <f t="shared" si="60"/>
        <v>0</v>
      </c>
      <c r="AG157" s="71">
        <f t="shared" si="61"/>
        <v>0</v>
      </c>
      <c r="AH157" s="72">
        <f t="shared" si="62"/>
        <v>0</v>
      </c>
      <c r="AI157" s="36">
        <v>0</v>
      </c>
      <c r="AJ157" s="36">
        <v>0</v>
      </c>
      <c r="AK157" s="71">
        <f t="shared" si="63"/>
        <v>0</v>
      </c>
      <c r="AL157" s="71">
        <f t="shared" si="64"/>
        <v>0</v>
      </c>
      <c r="AM157" s="72">
        <f t="shared" si="65"/>
        <v>0</v>
      </c>
      <c r="AN157" s="70">
        <v>0</v>
      </c>
      <c r="AO157" s="70">
        <v>0</v>
      </c>
      <c r="AP157" s="3">
        <v>0</v>
      </c>
    </row>
    <row r="158" spans="1:42" s="3" customFormat="1" ht="15">
      <c r="A158" s="59" t="s">
        <v>642</v>
      </c>
      <c r="B158" s="59" t="s">
        <v>235</v>
      </c>
      <c r="C158" s="59" t="str">
        <f t="shared" si="66"/>
        <v>32354 MEAD SCHOOL DISTRICT</v>
      </c>
      <c r="D158" s="36">
        <v>0</v>
      </c>
      <c r="E158" s="36">
        <v>0</v>
      </c>
      <c r="F158" s="36">
        <v>6667.68</v>
      </c>
      <c r="G158" s="36">
        <v>14365448.67</v>
      </c>
      <c r="H158" s="36">
        <v>3925161.9</v>
      </c>
      <c r="I158" s="36">
        <v>114032.89</v>
      </c>
      <c r="J158" s="36">
        <v>1848203.36</v>
      </c>
      <c r="K158" s="36">
        <v>563716.69999999995</v>
      </c>
      <c r="L158" s="36">
        <v>312263.23</v>
      </c>
      <c r="M158" s="36">
        <v>6052222.96</v>
      </c>
      <c r="N158" s="50">
        <v>4.1200000000000001E-2</v>
      </c>
      <c r="O158" s="53">
        <v>0.14230000000000001</v>
      </c>
      <c r="P158" s="36">
        <v>0</v>
      </c>
      <c r="Q158" s="69">
        <v>0</v>
      </c>
      <c r="R158" s="69">
        <v>0</v>
      </c>
      <c r="S158" s="70">
        <v>0</v>
      </c>
      <c r="T158" s="70">
        <v>0</v>
      </c>
      <c r="U158" s="70">
        <v>0</v>
      </c>
      <c r="V158" s="36">
        <v>0</v>
      </c>
      <c r="W158" s="70">
        <v>0</v>
      </c>
      <c r="X158" s="70">
        <v>0</v>
      </c>
      <c r="Y158" s="36">
        <v>11164.86</v>
      </c>
      <c r="Z158" s="36">
        <v>222012.69</v>
      </c>
      <c r="AA158" s="36">
        <v>0</v>
      </c>
      <c r="AB158" s="36">
        <v>3098686.35</v>
      </c>
      <c r="AC158" s="36">
        <v>3503053.44</v>
      </c>
      <c r="AD158" s="36">
        <v>362.69</v>
      </c>
      <c r="AE158" s="36">
        <v>3180645.07</v>
      </c>
      <c r="AF158" s="71">
        <f t="shared" si="60"/>
        <v>8769.5968182194156</v>
      </c>
      <c r="AG158" s="71">
        <f t="shared" si="61"/>
        <v>9658.5332928947591</v>
      </c>
      <c r="AH158" s="72">
        <f t="shared" si="62"/>
        <v>888.94</v>
      </c>
      <c r="AI158" s="36">
        <v>338.02</v>
      </c>
      <c r="AJ158" s="36">
        <v>2877586.26</v>
      </c>
      <c r="AK158" s="71">
        <f t="shared" si="63"/>
        <v>8513.0650849062185</v>
      </c>
      <c r="AL158" s="71">
        <f t="shared" si="64"/>
        <v>9167.1686586592514</v>
      </c>
      <c r="AM158" s="72">
        <f t="shared" si="65"/>
        <v>654.1</v>
      </c>
      <c r="AN158" s="70">
        <v>0</v>
      </c>
      <c r="AO158" s="70">
        <v>0</v>
      </c>
      <c r="AP158" s="3">
        <v>0</v>
      </c>
    </row>
    <row r="159" spans="1:42" s="3" customFormat="1" ht="15">
      <c r="A159" s="59" t="s">
        <v>641</v>
      </c>
      <c r="B159" s="59" t="s">
        <v>234</v>
      </c>
      <c r="C159" s="59" t="str">
        <f t="shared" si="66"/>
        <v>32326 MEDICAL LAKE SCHOOL DISTRICT</v>
      </c>
      <c r="D159" s="36">
        <v>0</v>
      </c>
      <c r="E159" s="36">
        <v>0</v>
      </c>
      <c r="F159" s="36">
        <v>0</v>
      </c>
      <c r="G159" s="36">
        <v>2485974.71</v>
      </c>
      <c r="H159" s="36">
        <v>305381.07</v>
      </c>
      <c r="I159" s="36">
        <v>0</v>
      </c>
      <c r="J159" s="36">
        <v>409451.7</v>
      </c>
      <c r="K159" s="36">
        <v>28218.19</v>
      </c>
      <c r="L159" s="36">
        <v>52345.27</v>
      </c>
      <c r="M159" s="36">
        <v>1328668.0900000001</v>
      </c>
      <c r="N159" s="50">
        <v>4.6899999999999997E-2</v>
      </c>
      <c r="O159" s="53">
        <v>0.1925</v>
      </c>
      <c r="P159" s="36">
        <v>0</v>
      </c>
      <c r="Q159" s="69">
        <v>0</v>
      </c>
      <c r="R159" s="69">
        <v>0</v>
      </c>
      <c r="S159" s="70">
        <v>0</v>
      </c>
      <c r="T159" s="70">
        <v>0</v>
      </c>
      <c r="U159" s="70">
        <v>0</v>
      </c>
      <c r="V159" s="36">
        <v>215988.68</v>
      </c>
      <c r="W159" s="70">
        <v>0</v>
      </c>
      <c r="X159" s="70">
        <v>8685.42</v>
      </c>
      <c r="Y159" s="36">
        <v>0</v>
      </c>
      <c r="Z159" s="36">
        <v>0</v>
      </c>
      <c r="AA159" s="36">
        <v>0</v>
      </c>
      <c r="AB159" s="36">
        <v>32307.87</v>
      </c>
      <c r="AC159" s="36">
        <v>1011400.08</v>
      </c>
      <c r="AD159" s="36">
        <v>112.11</v>
      </c>
      <c r="AE159" s="36">
        <v>962967.8</v>
      </c>
      <c r="AF159" s="71">
        <f t="shared" si="60"/>
        <v>8589.4906787976106</v>
      </c>
      <c r="AG159" s="71">
        <f t="shared" si="61"/>
        <v>9021.4974578538931</v>
      </c>
      <c r="AH159" s="72">
        <f t="shared" si="62"/>
        <v>432.01</v>
      </c>
      <c r="AI159" s="36">
        <v>3.59</v>
      </c>
      <c r="AJ159" s="36">
        <v>29856.06</v>
      </c>
      <c r="AK159" s="71">
        <f t="shared" si="63"/>
        <v>8316.451253481895</v>
      </c>
      <c r="AL159" s="71">
        <f t="shared" si="64"/>
        <v>8999.4066852367687</v>
      </c>
      <c r="AM159" s="72">
        <f t="shared" si="65"/>
        <v>682.96</v>
      </c>
      <c r="AN159" s="70">
        <v>0</v>
      </c>
      <c r="AO159" s="70">
        <v>0</v>
      </c>
      <c r="AP159" s="3">
        <v>0</v>
      </c>
    </row>
    <row r="160" spans="1:42" s="3" customFormat="1" ht="15">
      <c r="A160" s="59" t="s">
        <v>512</v>
      </c>
      <c r="B160" s="59" t="s">
        <v>104</v>
      </c>
      <c r="C160" s="59" t="str">
        <f t="shared" si="66"/>
        <v>17400 MERCER ISLAND SCHOOL DISTRICT</v>
      </c>
      <c r="D160" s="36">
        <v>0</v>
      </c>
      <c r="E160" s="36">
        <v>0</v>
      </c>
      <c r="F160" s="36">
        <v>0</v>
      </c>
      <c r="G160" s="36">
        <v>6459285.2800000003</v>
      </c>
      <c r="H160" s="36">
        <v>817842.24</v>
      </c>
      <c r="I160" s="36">
        <v>0</v>
      </c>
      <c r="J160" s="36">
        <v>97045.69</v>
      </c>
      <c r="K160" s="36">
        <v>358431.56</v>
      </c>
      <c r="L160" s="36">
        <v>137301.68</v>
      </c>
      <c r="M160" s="36">
        <v>1823270.79</v>
      </c>
      <c r="N160" s="50">
        <v>3.8800000000000001E-2</v>
      </c>
      <c r="O160" s="53">
        <v>0.15590000000000001</v>
      </c>
      <c r="P160" s="36">
        <v>0</v>
      </c>
      <c r="Q160" s="69">
        <v>0</v>
      </c>
      <c r="R160" s="69">
        <v>0</v>
      </c>
      <c r="S160" s="70">
        <v>0</v>
      </c>
      <c r="T160" s="70">
        <v>0</v>
      </c>
      <c r="U160" s="70">
        <v>0</v>
      </c>
      <c r="V160" s="36">
        <v>0</v>
      </c>
      <c r="W160" s="70">
        <v>0</v>
      </c>
      <c r="X160" s="70">
        <v>0</v>
      </c>
      <c r="Y160" s="36">
        <v>0</v>
      </c>
      <c r="Z160" s="36">
        <v>5966.32</v>
      </c>
      <c r="AA160" s="36">
        <v>220034.68</v>
      </c>
      <c r="AB160" s="36">
        <v>169164.42</v>
      </c>
      <c r="AC160" s="36">
        <v>3056600.29</v>
      </c>
      <c r="AD160" s="36">
        <v>297.77999999999997</v>
      </c>
      <c r="AE160" s="36">
        <v>2878371.6</v>
      </c>
      <c r="AF160" s="71">
        <f t="shared" si="60"/>
        <v>9666.1011484988921</v>
      </c>
      <c r="AG160" s="71">
        <f t="shared" si="61"/>
        <v>10264.625864732354</v>
      </c>
      <c r="AH160" s="72">
        <f t="shared" si="62"/>
        <v>598.52</v>
      </c>
      <c r="AI160" s="36">
        <v>16.72</v>
      </c>
      <c r="AJ160" s="36">
        <v>157132.64000000001</v>
      </c>
      <c r="AK160" s="71">
        <f t="shared" si="63"/>
        <v>9397.8851674641155</v>
      </c>
      <c r="AL160" s="71">
        <f t="shared" si="64"/>
        <v>10117.489234449762</v>
      </c>
      <c r="AM160" s="72">
        <f t="shared" si="65"/>
        <v>719.6</v>
      </c>
      <c r="AN160" s="70">
        <v>0</v>
      </c>
      <c r="AO160" s="70">
        <v>0</v>
      </c>
      <c r="AP160" s="3">
        <v>0</v>
      </c>
    </row>
    <row r="161" spans="1:42" s="3" customFormat="1" ht="15">
      <c r="A161" s="59" t="s">
        <v>680</v>
      </c>
      <c r="B161" s="59" t="s">
        <v>276</v>
      </c>
      <c r="C161" s="59" t="str">
        <f t="shared" si="66"/>
        <v>37505 MERIDIAN SCHOOL DISTRICT</v>
      </c>
      <c r="D161" s="36">
        <v>0</v>
      </c>
      <c r="E161" s="36">
        <v>0</v>
      </c>
      <c r="F161" s="36">
        <v>0</v>
      </c>
      <c r="G161" s="36">
        <v>2245612.8199999998</v>
      </c>
      <c r="H161" s="36">
        <v>341193.16</v>
      </c>
      <c r="I161" s="36">
        <v>0</v>
      </c>
      <c r="J161" s="36">
        <v>295997.27</v>
      </c>
      <c r="K161" s="36">
        <v>363521.49</v>
      </c>
      <c r="L161" s="36">
        <v>55649.23</v>
      </c>
      <c r="M161" s="36">
        <v>1183581.05</v>
      </c>
      <c r="N161" s="50">
        <v>6.1400000000000003E-2</v>
      </c>
      <c r="O161" s="53">
        <v>0.2218</v>
      </c>
      <c r="P161" s="36">
        <v>0</v>
      </c>
      <c r="Q161" s="69">
        <v>0</v>
      </c>
      <c r="R161" s="69">
        <v>0</v>
      </c>
      <c r="S161" s="70">
        <v>0</v>
      </c>
      <c r="T161" s="70">
        <v>0</v>
      </c>
      <c r="U161" s="70">
        <v>0</v>
      </c>
      <c r="V161" s="36">
        <v>0</v>
      </c>
      <c r="W161" s="70">
        <v>0</v>
      </c>
      <c r="X161" s="70">
        <v>0</v>
      </c>
      <c r="Y161" s="36">
        <v>2045.76</v>
      </c>
      <c r="Z161" s="36">
        <v>0</v>
      </c>
      <c r="AA161" s="36">
        <v>0</v>
      </c>
      <c r="AB161" s="36">
        <v>0</v>
      </c>
      <c r="AC161" s="36">
        <v>575064.55000000005</v>
      </c>
      <c r="AD161" s="36">
        <v>58.18</v>
      </c>
      <c r="AE161" s="36">
        <v>520666.49</v>
      </c>
      <c r="AF161" s="71">
        <f t="shared" si="60"/>
        <v>8949.2349604675146</v>
      </c>
      <c r="AG161" s="71">
        <f t="shared" si="61"/>
        <v>9884.2308353386052</v>
      </c>
      <c r="AH161" s="72">
        <f t="shared" si="62"/>
        <v>935</v>
      </c>
      <c r="AI161" s="36">
        <v>0</v>
      </c>
      <c r="AJ161" s="36">
        <v>0</v>
      </c>
      <c r="AK161" s="71">
        <f t="shared" si="63"/>
        <v>0</v>
      </c>
      <c r="AL161" s="71">
        <f t="shared" si="64"/>
        <v>0</v>
      </c>
      <c r="AM161" s="72">
        <f t="shared" si="65"/>
        <v>0</v>
      </c>
      <c r="AN161" s="70">
        <v>0</v>
      </c>
      <c r="AO161" s="70">
        <v>0</v>
      </c>
      <c r="AP161" s="3">
        <v>0</v>
      </c>
    </row>
    <row r="162" spans="1:42" s="3" customFormat="1" ht="15">
      <c r="A162" s="59" t="s">
        <v>582</v>
      </c>
      <c r="B162" s="59" t="s">
        <v>174</v>
      </c>
      <c r="C162" s="59" t="str">
        <f t="shared" si="66"/>
        <v>24350 METHOW VALLEY SCHOOL DISTRICT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10965.61</v>
      </c>
      <c r="J162" s="36">
        <v>146690.87</v>
      </c>
      <c r="K162" s="36">
        <v>52376.22</v>
      </c>
      <c r="L162" s="36">
        <v>21931.23</v>
      </c>
      <c r="M162" s="36">
        <v>744486.74</v>
      </c>
      <c r="N162" s="50">
        <v>4.2299999999999997E-2</v>
      </c>
      <c r="O162" s="53">
        <v>0.2024</v>
      </c>
      <c r="P162" s="36">
        <v>0</v>
      </c>
      <c r="Q162" s="69">
        <v>0</v>
      </c>
      <c r="R162" s="69">
        <v>0</v>
      </c>
      <c r="S162" s="70">
        <v>0</v>
      </c>
      <c r="T162" s="70">
        <v>0</v>
      </c>
      <c r="U162" s="70">
        <v>0</v>
      </c>
      <c r="V162" s="36">
        <v>0</v>
      </c>
      <c r="W162" s="70">
        <v>0</v>
      </c>
      <c r="X162" s="70">
        <v>0</v>
      </c>
      <c r="Y162" s="36">
        <v>0</v>
      </c>
      <c r="Z162" s="36">
        <v>0</v>
      </c>
      <c r="AA162" s="36">
        <v>0</v>
      </c>
      <c r="AB162" s="36">
        <v>23144.7</v>
      </c>
      <c r="AC162" s="36">
        <v>382833.41</v>
      </c>
      <c r="AD162" s="36">
        <v>41.89</v>
      </c>
      <c r="AE162" s="36">
        <v>359832.63</v>
      </c>
      <c r="AF162" s="71">
        <f t="shared" si="60"/>
        <v>8589.94103604679</v>
      </c>
      <c r="AG162" s="71">
        <f t="shared" si="61"/>
        <v>9139.0167104320826</v>
      </c>
      <c r="AH162" s="72">
        <f t="shared" si="62"/>
        <v>549.08000000000004</v>
      </c>
      <c r="AI162" s="36">
        <v>2.57</v>
      </c>
      <c r="AJ162" s="36">
        <v>21428.16</v>
      </c>
      <c r="AK162" s="71">
        <f t="shared" si="63"/>
        <v>8337.8054474708169</v>
      </c>
      <c r="AL162" s="71">
        <f t="shared" si="64"/>
        <v>9005.7198443579782</v>
      </c>
      <c r="AM162" s="72">
        <f t="shared" si="65"/>
        <v>667.91</v>
      </c>
      <c r="AN162" s="70">
        <v>0</v>
      </c>
      <c r="AO162" s="70">
        <v>0</v>
      </c>
      <c r="AP162" s="3">
        <v>0</v>
      </c>
    </row>
    <row r="163" spans="1:42" s="3" customFormat="1" ht="15">
      <c r="A163" s="59" t="s">
        <v>621</v>
      </c>
      <c r="B163" s="59" t="s">
        <v>214</v>
      </c>
      <c r="C163" s="59" t="str">
        <f t="shared" si="66"/>
        <v>30031 MILL A SCHOOL DISTRICT</v>
      </c>
      <c r="D163" s="36">
        <v>0</v>
      </c>
      <c r="E163" s="36">
        <v>1320.77</v>
      </c>
      <c r="F163" s="36">
        <v>958.78</v>
      </c>
      <c r="G163" s="36">
        <v>0</v>
      </c>
      <c r="H163" s="36">
        <v>0</v>
      </c>
      <c r="I163" s="36">
        <v>14275.97</v>
      </c>
      <c r="J163" s="36">
        <v>17896.71</v>
      </c>
      <c r="K163" s="36">
        <v>0</v>
      </c>
      <c r="L163" s="36">
        <v>0</v>
      </c>
      <c r="M163" s="36">
        <v>135989.26999999999</v>
      </c>
      <c r="N163" s="50">
        <v>8.8300000000000003E-2</v>
      </c>
      <c r="O163" s="53">
        <v>0.28349999999999997</v>
      </c>
      <c r="P163" s="36">
        <v>0</v>
      </c>
      <c r="Q163" s="69">
        <v>0</v>
      </c>
      <c r="R163" s="69">
        <v>0</v>
      </c>
      <c r="S163" s="70">
        <v>0</v>
      </c>
      <c r="T163" s="70">
        <v>0</v>
      </c>
      <c r="U163" s="70">
        <v>0</v>
      </c>
      <c r="V163" s="36">
        <v>0</v>
      </c>
      <c r="W163" s="70">
        <v>0</v>
      </c>
      <c r="X163" s="70">
        <v>0</v>
      </c>
      <c r="Y163" s="36">
        <v>0</v>
      </c>
      <c r="Z163" s="36">
        <v>0</v>
      </c>
      <c r="AA163" s="36">
        <v>0</v>
      </c>
      <c r="AB163" s="36">
        <v>0</v>
      </c>
      <c r="AC163" s="36">
        <v>0</v>
      </c>
      <c r="AD163" s="36">
        <v>0</v>
      </c>
      <c r="AE163" s="36">
        <v>0</v>
      </c>
      <c r="AF163" s="71">
        <f t="shared" si="60"/>
        <v>0</v>
      </c>
      <c r="AG163" s="71">
        <f t="shared" si="61"/>
        <v>0</v>
      </c>
      <c r="AH163" s="72">
        <f t="shared" si="62"/>
        <v>0</v>
      </c>
      <c r="AI163" s="36">
        <v>0</v>
      </c>
      <c r="AJ163" s="36">
        <v>0</v>
      </c>
      <c r="AK163" s="71">
        <f t="shared" si="63"/>
        <v>0</v>
      </c>
      <c r="AL163" s="71">
        <f t="shared" si="64"/>
        <v>0</v>
      </c>
      <c r="AM163" s="72">
        <f t="shared" si="65"/>
        <v>0</v>
      </c>
      <c r="AN163" s="70">
        <v>0</v>
      </c>
      <c r="AO163" s="70">
        <v>0</v>
      </c>
      <c r="AP163" s="3">
        <v>0</v>
      </c>
    </row>
    <row r="164" spans="1:42" s="3" customFormat="1" ht="15">
      <c r="A164" s="59" t="s">
        <v>630</v>
      </c>
      <c r="B164" s="59" t="s">
        <v>223</v>
      </c>
      <c r="C164" s="59" t="str">
        <f t="shared" si="66"/>
        <v>31103 MONROE SCHOOL DISTRICT</v>
      </c>
      <c r="D164" s="36">
        <v>0</v>
      </c>
      <c r="E164" s="36">
        <v>104977.36</v>
      </c>
      <c r="F164" s="36">
        <v>17631.150000000001</v>
      </c>
      <c r="G164" s="36">
        <v>9393463.6699999999</v>
      </c>
      <c r="H164" s="36">
        <v>1432325.77</v>
      </c>
      <c r="I164" s="36">
        <v>194450.82</v>
      </c>
      <c r="J164" s="36">
        <v>1385956.36</v>
      </c>
      <c r="K164" s="36">
        <v>1420089.61</v>
      </c>
      <c r="L164" s="36">
        <v>189538.64</v>
      </c>
      <c r="M164" s="36">
        <v>3553986.26</v>
      </c>
      <c r="N164" s="50">
        <v>5.0799999999999998E-2</v>
      </c>
      <c r="O164" s="53">
        <v>0.17780000000000001</v>
      </c>
      <c r="P164" s="36">
        <v>0</v>
      </c>
      <c r="Q164" s="69">
        <v>0</v>
      </c>
      <c r="R164" s="69">
        <v>0</v>
      </c>
      <c r="S164" s="70">
        <v>0</v>
      </c>
      <c r="T164" s="70">
        <v>0</v>
      </c>
      <c r="U164" s="70">
        <v>0</v>
      </c>
      <c r="V164" s="36">
        <v>0</v>
      </c>
      <c r="W164" s="70">
        <v>0</v>
      </c>
      <c r="X164" s="70">
        <v>0</v>
      </c>
      <c r="Y164" s="36">
        <v>6501.56</v>
      </c>
      <c r="Z164" s="36">
        <v>78939.78</v>
      </c>
      <c r="AA164" s="36">
        <v>190322.36</v>
      </c>
      <c r="AB164" s="36">
        <v>743348.51</v>
      </c>
      <c r="AC164" s="36">
        <v>3273841.01</v>
      </c>
      <c r="AD164" s="36">
        <v>314.86</v>
      </c>
      <c r="AE164" s="36">
        <v>3043664.33</v>
      </c>
      <c r="AF164" s="71">
        <f t="shared" si="60"/>
        <v>9666.7227656736322</v>
      </c>
      <c r="AG164" s="71">
        <f t="shared" si="61"/>
        <v>10397.76729340024</v>
      </c>
      <c r="AH164" s="72">
        <f t="shared" si="62"/>
        <v>731.04</v>
      </c>
      <c r="AI164" s="36">
        <v>73.44</v>
      </c>
      <c r="AJ164" s="36">
        <v>690467.95</v>
      </c>
      <c r="AK164" s="71">
        <f t="shared" si="63"/>
        <v>9401.7967047930288</v>
      </c>
      <c r="AL164" s="71">
        <f t="shared" si="64"/>
        <v>10121.847903050109</v>
      </c>
      <c r="AM164" s="72">
        <f t="shared" si="65"/>
        <v>720.05</v>
      </c>
      <c r="AN164" s="70">
        <v>0</v>
      </c>
      <c r="AO164" s="70">
        <v>0</v>
      </c>
      <c r="AP164" s="3">
        <v>0</v>
      </c>
    </row>
    <row r="165" spans="1:42" s="3" customFormat="1" ht="15">
      <c r="A165" s="59" t="s">
        <v>492</v>
      </c>
      <c r="B165" s="59" t="s">
        <v>84</v>
      </c>
      <c r="C165" s="59" t="str">
        <f t="shared" si="66"/>
        <v>14066 MONTESANO SCHOOL DISTRICT</v>
      </c>
      <c r="D165" s="36">
        <v>0</v>
      </c>
      <c r="E165" s="36">
        <v>0</v>
      </c>
      <c r="F165" s="36">
        <v>0</v>
      </c>
      <c r="G165" s="36">
        <v>2076912.91</v>
      </c>
      <c r="H165" s="36">
        <v>516859.76</v>
      </c>
      <c r="I165" s="36">
        <v>0</v>
      </c>
      <c r="J165" s="36">
        <v>318739.89</v>
      </c>
      <c r="K165" s="36">
        <v>41601.61</v>
      </c>
      <c r="L165" s="36">
        <v>43469.4</v>
      </c>
      <c r="M165" s="36">
        <v>494781.72</v>
      </c>
      <c r="N165" s="50">
        <v>1.84E-2</v>
      </c>
      <c r="O165" s="53">
        <v>0.12670000000000001</v>
      </c>
      <c r="P165" s="36">
        <v>0</v>
      </c>
      <c r="Q165" s="69">
        <v>0</v>
      </c>
      <c r="R165" s="69">
        <v>0</v>
      </c>
      <c r="S165" s="70">
        <v>0</v>
      </c>
      <c r="T165" s="70">
        <v>0</v>
      </c>
      <c r="U165" s="70">
        <v>0</v>
      </c>
      <c r="V165" s="36">
        <v>0</v>
      </c>
      <c r="W165" s="70">
        <v>0</v>
      </c>
      <c r="X165" s="70">
        <v>0</v>
      </c>
      <c r="Y165" s="36">
        <v>0</v>
      </c>
      <c r="Z165" s="36">
        <v>0</v>
      </c>
      <c r="AA165" s="36">
        <v>22909.42</v>
      </c>
      <c r="AB165" s="36">
        <v>259144.8</v>
      </c>
      <c r="AC165" s="36">
        <v>1109718.5900000001</v>
      </c>
      <c r="AD165" s="36">
        <v>117.54</v>
      </c>
      <c r="AE165" s="36">
        <v>1029995.1</v>
      </c>
      <c r="AF165" s="71">
        <f t="shared" si="60"/>
        <v>8762.9326186830003</v>
      </c>
      <c r="AG165" s="71">
        <f t="shared" si="61"/>
        <v>9441.1995065509618</v>
      </c>
      <c r="AH165" s="72">
        <f t="shared" si="62"/>
        <v>678.27</v>
      </c>
      <c r="AI165" s="36">
        <v>28.26</v>
      </c>
      <c r="AJ165" s="36">
        <v>240541.34</v>
      </c>
      <c r="AK165" s="71">
        <f t="shared" si="63"/>
        <v>8511.7246992215132</v>
      </c>
      <c r="AL165" s="71">
        <f t="shared" si="64"/>
        <v>9170.0212314225046</v>
      </c>
      <c r="AM165" s="72">
        <f t="shared" si="65"/>
        <v>658.3</v>
      </c>
      <c r="AN165" s="70">
        <v>2314.9</v>
      </c>
      <c r="AO165" s="70">
        <v>0</v>
      </c>
      <c r="AP165" s="3">
        <v>0</v>
      </c>
    </row>
    <row r="166" spans="1:42" s="3" customFormat="1" ht="15">
      <c r="A166" s="59" t="s">
        <v>552</v>
      </c>
      <c r="B166" s="59" t="s">
        <v>144</v>
      </c>
      <c r="C166" s="59" t="str">
        <f t="shared" si="66"/>
        <v>21214 MORTON SCHOOL DISTRICT</v>
      </c>
      <c r="D166" s="36">
        <v>0</v>
      </c>
      <c r="E166" s="36">
        <v>1541.26</v>
      </c>
      <c r="F166" s="36">
        <v>3621.92</v>
      </c>
      <c r="G166" s="36">
        <v>457436.72</v>
      </c>
      <c r="H166" s="36">
        <v>72596.39</v>
      </c>
      <c r="I166" s="36">
        <v>119069.97</v>
      </c>
      <c r="J166" s="36">
        <v>141104.63</v>
      </c>
      <c r="K166" s="36">
        <v>0</v>
      </c>
      <c r="L166" s="36">
        <v>12310.43</v>
      </c>
      <c r="M166" s="36">
        <v>373069.1</v>
      </c>
      <c r="N166" s="50">
        <v>3.3399999999999999E-2</v>
      </c>
      <c r="O166" s="53">
        <v>0.25280000000000002</v>
      </c>
      <c r="P166" s="36">
        <v>0</v>
      </c>
      <c r="Q166" s="69">
        <v>0</v>
      </c>
      <c r="R166" s="69">
        <v>0</v>
      </c>
      <c r="S166" s="70">
        <v>0</v>
      </c>
      <c r="T166" s="70">
        <v>0</v>
      </c>
      <c r="U166" s="70">
        <v>0</v>
      </c>
      <c r="V166" s="36">
        <v>0</v>
      </c>
      <c r="W166" s="70">
        <v>0</v>
      </c>
      <c r="X166" s="70">
        <v>0</v>
      </c>
      <c r="Y166" s="36">
        <v>527.79</v>
      </c>
      <c r="Z166" s="36">
        <v>19164.41</v>
      </c>
      <c r="AA166" s="36">
        <v>227.11</v>
      </c>
      <c r="AB166" s="36">
        <v>302393.5</v>
      </c>
      <c r="AC166" s="36">
        <v>695916.75</v>
      </c>
      <c r="AD166" s="36">
        <v>75.510000000000005</v>
      </c>
      <c r="AE166" s="36">
        <v>648704.15</v>
      </c>
      <c r="AF166" s="71">
        <f t="shared" si="60"/>
        <v>8590.970070189378</v>
      </c>
      <c r="AG166" s="71">
        <f t="shared" si="61"/>
        <v>9216.219705999205</v>
      </c>
      <c r="AH166" s="72">
        <f t="shared" si="62"/>
        <v>625.25</v>
      </c>
      <c r="AI166" s="36">
        <v>33.69</v>
      </c>
      <c r="AJ166" s="36">
        <v>280942.71000000002</v>
      </c>
      <c r="AK166" s="71">
        <f t="shared" si="63"/>
        <v>8339.0534283170091</v>
      </c>
      <c r="AL166" s="71">
        <f t="shared" si="64"/>
        <v>8975.7643217571986</v>
      </c>
      <c r="AM166" s="72">
        <f t="shared" si="65"/>
        <v>636.71</v>
      </c>
      <c r="AN166" s="70">
        <v>0</v>
      </c>
      <c r="AO166" s="70">
        <v>0</v>
      </c>
      <c r="AP166" s="3">
        <v>0</v>
      </c>
    </row>
    <row r="167" spans="1:42" s="3" customFormat="1" ht="15">
      <c r="A167" s="59" t="s">
        <v>484</v>
      </c>
      <c r="B167" s="59" t="s">
        <v>76</v>
      </c>
      <c r="C167" s="59" t="str">
        <f t="shared" si="66"/>
        <v>13161 MOSES LAKE SCHOOL DISTRICT</v>
      </c>
      <c r="D167" s="36">
        <v>0</v>
      </c>
      <c r="E167" s="36">
        <v>336149.46</v>
      </c>
      <c r="F167" s="36">
        <v>51324.46</v>
      </c>
      <c r="G167" s="36">
        <v>12234372.130000001</v>
      </c>
      <c r="H167" s="36">
        <v>2422932.33</v>
      </c>
      <c r="I167" s="36">
        <v>2294779.0699999998</v>
      </c>
      <c r="J167" s="36">
        <v>3583435.62</v>
      </c>
      <c r="K167" s="36">
        <v>2066613.98</v>
      </c>
      <c r="L167" s="36">
        <v>260343.24</v>
      </c>
      <c r="M167" s="36">
        <v>4939349.07</v>
      </c>
      <c r="N167" s="50">
        <v>4.1500000000000002E-2</v>
      </c>
      <c r="O167" s="53">
        <v>0.1512</v>
      </c>
      <c r="P167" s="36">
        <v>0</v>
      </c>
      <c r="Q167" s="69">
        <v>0</v>
      </c>
      <c r="R167" s="69">
        <v>0</v>
      </c>
      <c r="S167" s="70">
        <v>0</v>
      </c>
      <c r="T167" s="70">
        <v>0</v>
      </c>
      <c r="U167" s="70">
        <v>0</v>
      </c>
      <c r="V167" s="36">
        <v>0</v>
      </c>
      <c r="W167" s="70">
        <v>0</v>
      </c>
      <c r="X167" s="70">
        <v>0</v>
      </c>
      <c r="Y167" s="36">
        <v>700.34</v>
      </c>
      <c r="Z167" s="36">
        <v>0</v>
      </c>
      <c r="AA167" s="36">
        <v>243685.22</v>
      </c>
      <c r="AB167" s="36">
        <v>359433.23</v>
      </c>
      <c r="AC167" s="36">
        <v>3416366.07</v>
      </c>
      <c r="AD167" s="36">
        <v>358.45</v>
      </c>
      <c r="AE167" s="36">
        <v>3143424.07</v>
      </c>
      <c r="AF167" s="71">
        <f t="shared" si="60"/>
        <v>8769.491058725067</v>
      </c>
      <c r="AG167" s="71">
        <f t="shared" si="61"/>
        <v>9530.9417491979348</v>
      </c>
      <c r="AH167" s="72">
        <f t="shared" si="62"/>
        <v>761.45</v>
      </c>
      <c r="AI167" s="36">
        <v>39.19</v>
      </c>
      <c r="AJ167" s="36">
        <v>333665.8</v>
      </c>
      <c r="AK167" s="71">
        <f t="shared" si="63"/>
        <v>8514.054605766778</v>
      </c>
      <c r="AL167" s="71">
        <f t="shared" si="64"/>
        <v>9171.5547333503437</v>
      </c>
      <c r="AM167" s="72">
        <f t="shared" si="65"/>
        <v>657.5</v>
      </c>
      <c r="AN167" s="70">
        <v>3154.9</v>
      </c>
      <c r="AO167" s="70">
        <v>0</v>
      </c>
      <c r="AP167" s="3">
        <v>0</v>
      </c>
    </row>
    <row r="168" spans="1:42" s="3" customFormat="1" ht="15">
      <c r="A168" s="59" t="s">
        <v>551</v>
      </c>
      <c r="B168" s="59" t="s">
        <v>143</v>
      </c>
      <c r="C168" s="59" t="str">
        <f t="shared" si="66"/>
        <v>21206 MOSSYROCK SCHOOL DISTRICT</v>
      </c>
      <c r="D168" s="36">
        <v>0</v>
      </c>
      <c r="E168" s="36">
        <v>18923.14</v>
      </c>
      <c r="F168" s="36">
        <v>13583</v>
      </c>
      <c r="G168" s="36">
        <v>812704.33</v>
      </c>
      <c r="H168" s="36">
        <v>265098.13</v>
      </c>
      <c r="I168" s="36">
        <v>174622.14</v>
      </c>
      <c r="J168" s="36">
        <v>212174.2</v>
      </c>
      <c r="K168" s="36">
        <v>94703.5</v>
      </c>
      <c r="L168" s="36">
        <v>17793.27</v>
      </c>
      <c r="M168" s="36">
        <v>485288.9</v>
      </c>
      <c r="N168" s="50">
        <v>3.7699999999999997E-2</v>
      </c>
      <c r="O168" s="53">
        <v>0.1946</v>
      </c>
      <c r="P168" s="36">
        <v>0</v>
      </c>
      <c r="Q168" s="69">
        <v>0</v>
      </c>
      <c r="R168" s="69">
        <v>0</v>
      </c>
      <c r="S168" s="70">
        <v>0</v>
      </c>
      <c r="T168" s="70">
        <v>0</v>
      </c>
      <c r="U168" s="70">
        <v>0</v>
      </c>
      <c r="V168" s="36">
        <v>0</v>
      </c>
      <c r="W168" s="70">
        <v>0</v>
      </c>
      <c r="X168" s="70">
        <v>0</v>
      </c>
      <c r="Y168" s="36">
        <v>667.64</v>
      </c>
      <c r="Z168" s="36">
        <v>0</v>
      </c>
      <c r="AA168" s="36">
        <v>23522.28</v>
      </c>
      <c r="AB168" s="36">
        <v>151776.39000000001</v>
      </c>
      <c r="AC168" s="36">
        <v>415679.43</v>
      </c>
      <c r="AD168" s="36">
        <v>45.11</v>
      </c>
      <c r="AE168" s="36">
        <v>387503.62</v>
      </c>
      <c r="AF168" s="71">
        <f t="shared" si="60"/>
        <v>8590.1933052538243</v>
      </c>
      <c r="AG168" s="71">
        <f t="shared" si="61"/>
        <v>9214.7956107293285</v>
      </c>
      <c r="AH168" s="72">
        <f t="shared" si="62"/>
        <v>624.6</v>
      </c>
      <c r="AI168" s="36">
        <v>16.899999999999999</v>
      </c>
      <c r="AJ168" s="36">
        <v>140892.25</v>
      </c>
      <c r="AK168" s="71">
        <f t="shared" si="63"/>
        <v>8336.8195266272196</v>
      </c>
      <c r="AL168" s="71">
        <f t="shared" si="64"/>
        <v>8980.8514792899423</v>
      </c>
      <c r="AM168" s="72">
        <f t="shared" si="65"/>
        <v>644.03</v>
      </c>
      <c r="AN168" s="70">
        <v>0</v>
      </c>
      <c r="AO168" s="70">
        <v>0</v>
      </c>
      <c r="AP168" s="3">
        <v>0</v>
      </c>
    </row>
    <row r="169" spans="1:42" s="3" customFormat="1" ht="15">
      <c r="A169" s="59" t="s">
        <v>708</v>
      </c>
      <c r="B169" s="59" t="s">
        <v>306</v>
      </c>
      <c r="C169" s="59" t="str">
        <f t="shared" si="66"/>
        <v>39209 MOUNT ADAMS SCHOOL DISTRICT</v>
      </c>
      <c r="D169" s="36">
        <v>0</v>
      </c>
      <c r="E169" s="36">
        <v>0</v>
      </c>
      <c r="F169" s="36">
        <v>0</v>
      </c>
      <c r="G169" s="36">
        <v>1157083.1200000001</v>
      </c>
      <c r="H169" s="36">
        <v>209619.33</v>
      </c>
      <c r="I169" s="36">
        <v>255726.28</v>
      </c>
      <c r="J169" s="36">
        <v>555108.11</v>
      </c>
      <c r="K169" s="36">
        <v>207271.8</v>
      </c>
      <c r="L169" s="36">
        <v>26379.52</v>
      </c>
      <c r="M169" s="36">
        <v>830582.64</v>
      </c>
      <c r="N169" s="50">
        <v>6.8000000000000005E-2</v>
      </c>
      <c r="O169" s="53">
        <v>0.30109999999999998</v>
      </c>
      <c r="P169" s="36">
        <v>0</v>
      </c>
      <c r="Q169" s="69">
        <v>0</v>
      </c>
      <c r="R169" s="69">
        <v>0</v>
      </c>
      <c r="S169" s="70">
        <v>0</v>
      </c>
      <c r="T169" s="70">
        <v>0</v>
      </c>
      <c r="U169" s="70">
        <v>0</v>
      </c>
      <c r="V169" s="36">
        <v>0</v>
      </c>
      <c r="W169" s="70">
        <v>0</v>
      </c>
      <c r="X169" s="70">
        <v>0</v>
      </c>
      <c r="Y169" s="36">
        <v>1005.97</v>
      </c>
      <c r="Z169" s="36">
        <v>0</v>
      </c>
      <c r="AA169" s="36">
        <v>0</v>
      </c>
      <c r="AB169" s="36">
        <v>0</v>
      </c>
      <c r="AC169" s="36">
        <v>309714.34999999998</v>
      </c>
      <c r="AD169" s="36">
        <v>34.47</v>
      </c>
      <c r="AE169" s="36">
        <v>295997.31</v>
      </c>
      <c r="AF169" s="71">
        <f t="shared" si="60"/>
        <v>8587.0992167101831</v>
      </c>
      <c r="AG169" s="71">
        <f t="shared" si="61"/>
        <v>8985.0406150275594</v>
      </c>
      <c r="AH169" s="72">
        <f t="shared" si="62"/>
        <v>397.94</v>
      </c>
      <c r="AI169" s="36">
        <v>0</v>
      </c>
      <c r="AJ169" s="36">
        <v>0</v>
      </c>
      <c r="AK169" s="71">
        <f t="shared" si="63"/>
        <v>0</v>
      </c>
      <c r="AL169" s="71">
        <f t="shared" si="64"/>
        <v>0</v>
      </c>
      <c r="AM169" s="72">
        <f t="shared" si="65"/>
        <v>0</v>
      </c>
      <c r="AN169" s="70">
        <v>4437.63</v>
      </c>
      <c r="AO169" s="70">
        <v>0</v>
      </c>
      <c r="AP169" s="3">
        <v>0</v>
      </c>
    </row>
    <row r="170" spans="1:42" s="3" customFormat="1" ht="15">
      <c r="A170" s="59" t="s">
        <v>682</v>
      </c>
      <c r="B170" s="59" t="s">
        <v>278</v>
      </c>
      <c r="C170" s="59" t="str">
        <f t="shared" si="66"/>
        <v>37507 MOUNT BAKER SCHOOL DISTRICT</v>
      </c>
      <c r="D170" s="36">
        <v>0</v>
      </c>
      <c r="E170" s="36">
        <v>62404.37</v>
      </c>
      <c r="F170" s="36">
        <v>24334.46</v>
      </c>
      <c r="G170" s="36">
        <v>2886064.96</v>
      </c>
      <c r="H170" s="36">
        <v>547967.03</v>
      </c>
      <c r="I170" s="36">
        <v>421973.82</v>
      </c>
      <c r="J170" s="36">
        <v>659834.42000000004</v>
      </c>
      <c r="K170" s="36">
        <v>169767.92</v>
      </c>
      <c r="L170" s="36">
        <v>53289.93</v>
      </c>
      <c r="M170" s="36">
        <v>1902401.55</v>
      </c>
      <c r="N170" s="50">
        <v>4.2799999999999998E-2</v>
      </c>
      <c r="O170" s="53">
        <v>0.15429999999999999</v>
      </c>
      <c r="P170" s="36">
        <v>0</v>
      </c>
      <c r="Q170" s="69">
        <v>0</v>
      </c>
      <c r="R170" s="69">
        <v>0</v>
      </c>
      <c r="S170" s="70">
        <v>0</v>
      </c>
      <c r="T170" s="70">
        <v>0</v>
      </c>
      <c r="U170" s="70">
        <v>0</v>
      </c>
      <c r="V170" s="36">
        <v>0</v>
      </c>
      <c r="W170" s="70">
        <v>0</v>
      </c>
      <c r="X170" s="70">
        <v>0</v>
      </c>
      <c r="Y170" s="36">
        <v>1892.39</v>
      </c>
      <c r="Z170" s="36">
        <v>4834.7</v>
      </c>
      <c r="AA170" s="36">
        <v>0</v>
      </c>
      <c r="AB170" s="36">
        <v>72701.98</v>
      </c>
      <c r="AC170" s="36">
        <v>1008005.04</v>
      </c>
      <c r="AD170" s="36">
        <v>96.41</v>
      </c>
      <c r="AE170" s="36">
        <v>897209.03</v>
      </c>
      <c r="AF170" s="71">
        <f t="shared" si="60"/>
        <v>9306.1822425059654</v>
      </c>
      <c r="AG170" s="71">
        <f t="shared" si="61"/>
        <v>10455.399232444768</v>
      </c>
      <c r="AH170" s="72">
        <f t="shared" si="62"/>
        <v>1149.22</v>
      </c>
      <c r="AI170" s="36">
        <v>7.47</v>
      </c>
      <c r="AJ170" s="36">
        <v>67483.600000000006</v>
      </c>
      <c r="AK170" s="71">
        <f t="shared" si="63"/>
        <v>9033.9491298527446</v>
      </c>
      <c r="AL170" s="71">
        <f t="shared" si="64"/>
        <v>9732.5274431057569</v>
      </c>
      <c r="AM170" s="72">
        <f t="shared" si="65"/>
        <v>698.58</v>
      </c>
      <c r="AN170" s="70">
        <v>0</v>
      </c>
      <c r="AO170" s="70">
        <v>0</v>
      </c>
      <c r="AP170" s="3">
        <v>0</v>
      </c>
    </row>
    <row r="171" spans="1:42" s="3" customFormat="1" ht="15">
      <c r="A171" s="59" t="s">
        <v>620</v>
      </c>
      <c r="B171" s="59" t="s">
        <v>213</v>
      </c>
      <c r="C171" s="59" t="str">
        <f t="shared" si="66"/>
        <v>30029 MOUNT PLEASANT SCHOOL DISTRICT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9147.81</v>
      </c>
      <c r="K171" s="36">
        <v>0</v>
      </c>
      <c r="L171" s="36">
        <v>2178.0500000000002</v>
      </c>
      <c r="M171" s="36">
        <v>84203.23</v>
      </c>
      <c r="N171" s="50">
        <v>3.0499999999999999E-2</v>
      </c>
      <c r="O171" s="53">
        <v>0.30409999999999998</v>
      </c>
      <c r="P171" s="36">
        <v>0</v>
      </c>
      <c r="Q171" s="69">
        <v>0</v>
      </c>
      <c r="R171" s="69">
        <v>0</v>
      </c>
      <c r="S171" s="70">
        <v>0</v>
      </c>
      <c r="T171" s="70">
        <v>0</v>
      </c>
      <c r="U171" s="70">
        <v>0</v>
      </c>
      <c r="V171" s="36">
        <v>0</v>
      </c>
      <c r="W171" s="70">
        <v>0</v>
      </c>
      <c r="X171" s="70">
        <v>0</v>
      </c>
      <c r="Y171" s="36">
        <v>0</v>
      </c>
      <c r="Z171" s="36">
        <v>0</v>
      </c>
      <c r="AA171" s="36">
        <v>0</v>
      </c>
      <c r="AB171" s="36">
        <v>0</v>
      </c>
      <c r="AC171" s="36">
        <v>0</v>
      </c>
      <c r="AD171" s="36">
        <v>0</v>
      </c>
      <c r="AE171" s="36">
        <v>0</v>
      </c>
      <c r="AF171" s="71">
        <f t="shared" si="60"/>
        <v>0</v>
      </c>
      <c r="AG171" s="71">
        <f t="shared" si="61"/>
        <v>0</v>
      </c>
      <c r="AH171" s="72">
        <f t="shared" si="62"/>
        <v>0</v>
      </c>
      <c r="AI171" s="36">
        <v>0</v>
      </c>
      <c r="AJ171" s="36">
        <v>0</v>
      </c>
      <c r="AK171" s="71">
        <f t="shared" si="63"/>
        <v>0</v>
      </c>
      <c r="AL171" s="71">
        <f t="shared" si="64"/>
        <v>0</v>
      </c>
      <c r="AM171" s="72">
        <f t="shared" si="65"/>
        <v>0</v>
      </c>
      <c r="AN171" s="70">
        <v>0</v>
      </c>
      <c r="AO171" s="70">
        <v>0</v>
      </c>
      <c r="AP171" s="3">
        <v>0</v>
      </c>
    </row>
    <row r="172" spans="1:42" s="3" customFormat="1" ht="15">
      <c r="A172" s="59" t="s">
        <v>618</v>
      </c>
      <c r="B172" s="59" t="s">
        <v>211</v>
      </c>
      <c r="C172" s="59" t="str">
        <f t="shared" si="66"/>
        <v>29320 MT VERNON SCHOOL DISTRICT</v>
      </c>
      <c r="D172" s="36">
        <v>0</v>
      </c>
      <c r="E172" s="36">
        <v>237812.62</v>
      </c>
      <c r="F172" s="36">
        <v>0</v>
      </c>
      <c r="G172" s="36">
        <v>11301259.16</v>
      </c>
      <c r="H172" s="36">
        <v>2097723.2799999998</v>
      </c>
      <c r="I172" s="36">
        <v>2044914.91</v>
      </c>
      <c r="J172" s="36">
        <v>3044615.51</v>
      </c>
      <c r="K172" s="36">
        <v>2964486.69</v>
      </c>
      <c r="L172" s="36">
        <v>219334.9</v>
      </c>
      <c r="M172" s="36">
        <v>4183093.38</v>
      </c>
      <c r="N172" s="50">
        <v>4.3799999999999999E-2</v>
      </c>
      <c r="O172" s="53">
        <v>0.1203</v>
      </c>
      <c r="P172" s="36">
        <v>0</v>
      </c>
      <c r="Q172" s="69">
        <v>0</v>
      </c>
      <c r="R172" s="69">
        <v>0</v>
      </c>
      <c r="S172" s="70">
        <v>0</v>
      </c>
      <c r="T172" s="70">
        <v>0</v>
      </c>
      <c r="U172" s="70">
        <v>0</v>
      </c>
      <c r="V172" s="36">
        <v>0</v>
      </c>
      <c r="W172" s="70">
        <v>0</v>
      </c>
      <c r="X172" s="70">
        <v>0</v>
      </c>
      <c r="Y172" s="36">
        <v>0</v>
      </c>
      <c r="Z172" s="36">
        <v>0</v>
      </c>
      <c r="AA172" s="36">
        <v>89569.05</v>
      </c>
      <c r="AB172" s="36">
        <v>0</v>
      </c>
      <c r="AC172" s="36">
        <v>3846204.38</v>
      </c>
      <c r="AD172" s="36">
        <v>385.52</v>
      </c>
      <c r="AE172" s="36">
        <v>3588342.13</v>
      </c>
      <c r="AF172" s="71">
        <f t="shared" si="60"/>
        <v>9307.7975980493884</v>
      </c>
      <c r="AG172" s="71">
        <f t="shared" si="61"/>
        <v>9976.6662689354634</v>
      </c>
      <c r="AH172" s="72">
        <f t="shared" si="62"/>
        <v>668.87</v>
      </c>
      <c r="AI172" s="36">
        <v>0</v>
      </c>
      <c r="AJ172" s="36">
        <v>0</v>
      </c>
      <c r="AK172" s="71">
        <f t="shared" si="63"/>
        <v>0</v>
      </c>
      <c r="AL172" s="71">
        <f t="shared" si="64"/>
        <v>0</v>
      </c>
      <c r="AM172" s="72">
        <f t="shared" si="65"/>
        <v>0</v>
      </c>
      <c r="AN172" s="70">
        <v>0</v>
      </c>
      <c r="AO172" s="70">
        <v>0</v>
      </c>
      <c r="AP172" s="3">
        <v>0</v>
      </c>
    </row>
    <row r="173" spans="1:42" s="3" customFormat="1" ht="15">
      <c r="A173" s="59" t="s">
        <v>800</v>
      </c>
      <c r="B173" s="59" t="s">
        <v>412</v>
      </c>
      <c r="C173" s="62" t="str">
        <f>CONCATENATE(B173," ",A173," TRIBAL COMPACT")</f>
        <v>17903 MUCKLESHOOT TRIBAL COMPACT</v>
      </c>
      <c r="D173" s="36">
        <v>0</v>
      </c>
      <c r="E173" s="36">
        <v>29971.119999999999</v>
      </c>
      <c r="F173" s="36">
        <v>0</v>
      </c>
      <c r="G173" s="36">
        <v>783697.23</v>
      </c>
      <c r="H173" s="36">
        <v>475699.37</v>
      </c>
      <c r="I173" s="36">
        <v>187861.31</v>
      </c>
      <c r="J173" s="36">
        <v>337024.14</v>
      </c>
      <c r="K173" s="36">
        <v>0</v>
      </c>
      <c r="L173" s="36">
        <v>0</v>
      </c>
      <c r="M173" s="36">
        <v>529562.42000000004</v>
      </c>
      <c r="N173" s="50">
        <v>0.08</v>
      </c>
      <c r="O173" s="53">
        <v>0.1</v>
      </c>
      <c r="P173" s="36">
        <v>0</v>
      </c>
      <c r="Q173" s="69">
        <v>0</v>
      </c>
      <c r="R173" s="69">
        <v>0</v>
      </c>
      <c r="S173" s="70">
        <v>0</v>
      </c>
      <c r="T173" s="70">
        <v>0</v>
      </c>
      <c r="U173" s="70">
        <v>0</v>
      </c>
      <c r="V173" s="36">
        <v>0</v>
      </c>
      <c r="W173" s="70">
        <v>0</v>
      </c>
      <c r="X173" s="70">
        <v>0</v>
      </c>
      <c r="Y173" s="36">
        <v>0</v>
      </c>
      <c r="Z173" s="36">
        <v>0</v>
      </c>
      <c r="AA173" s="36">
        <v>0</v>
      </c>
      <c r="AB173" s="36">
        <v>0</v>
      </c>
      <c r="AC173" s="36">
        <v>81075.42</v>
      </c>
      <c r="AD173" s="36">
        <v>8</v>
      </c>
      <c r="AE173" s="36">
        <v>77327.740000000005</v>
      </c>
      <c r="AF173" s="71">
        <f t="shared" si="60"/>
        <v>9665.9675000000007</v>
      </c>
      <c r="AG173" s="71">
        <f t="shared" si="61"/>
        <v>10134.4275</v>
      </c>
      <c r="AH173" s="72">
        <f t="shared" si="62"/>
        <v>468.46</v>
      </c>
      <c r="AI173" s="36">
        <v>0</v>
      </c>
      <c r="AJ173" s="36">
        <v>0</v>
      </c>
      <c r="AK173" s="71">
        <f t="shared" si="63"/>
        <v>0</v>
      </c>
      <c r="AL173" s="71">
        <f t="shared" si="64"/>
        <v>0</v>
      </c>
      <c r="AM173" s="72">
        <f t="shared" si="65"/>
        <v>0</v>
      </c>
      <c r="AN173" s="70">
        <v>0</v>
      </c>
      <c r="AO173" s="70">
        <v>0</v>
      </c>
      <c r="AP173" s="3">
        <v>0</v>
      </c>
    </row>
    <row r="174" spans="1:42" s="3" customFormat="1" ht="15">
      <c r="A174" s="59" t="s">
        <v>625</v>
      </c>
      <c r="B174" s="59" t="s">
        <v>218</v>
      </c>
      <c r="C174" s="59" t="str">
        <f t="shared" ref="C174:C214" si="67">CONCATENATE(B174," ",A174," SCHOOL DISTRICT")</f>
        <v>31006 MUKILTEO SCHOOL DISTRICT</v>
      </c>
      <c r="D174" s="36">
        <v>0</v>
      </c>
      <c r="E174" s="36">
        <v>360473.62</v>
      </c>
      <c r="F174" s="36">
        <v>0</v>
      </c>
      <c r="G174" s="36">
        <v>26090983.699999999</v>
      </c>
      <c r="H174" s="36">
        <v>5161219.53</v>
      </c>
      <c r="I174" s="36">
        <v>2976547.35</v>
      </c>
      <c r="J174" s="36">
        <v>5738156.4699999997</v>
      </c>
      <c r="K174" s="36">
        <v>6719798.1900000004</v>
      </c>
      <c r="L174" s="36">
        <v>523926.96</v>
      </c>
      <c r="M174" s="36">
        <v>9816921.2899999991</v>
      </c>
      <c r="N174" s="50">
        <v>3.15E-2</v>
      </c>
      <c r="O174" s="53">
        <v>0.13500000000000001</v>
      </c>
      <c r="P174" s="36">
        <v>0</v>
      </c>
      <c r="Q174" s="69">
        <v>0</v>
      </c>
      <c r="R174" s="69">
        <v>0</v>
      </c>
      <c r="S174" s="70">
        <v>0</v>
      </c>
      <c r="T174" s="70">
        <v>0</v>
      </c>
      <c r="U174" s="70">
        <v>0</v>
      </c>
      <c r="V174" s="36">
        <v>0</v>
      </c>
      <c r="W174" s="70">
        <v>0</v>
      </c>
      <c r="X174" s="70">
        <v>0</v>
      </c>
      <c r="Y174" s="36">
        <v>8382.67</v>
      </c>
      <c r="Z174" s="36">
        <v>177794.82</v>
      </c>
      <c r="AA174" s="36">
        <v>552420.6</v>
      </c>
      <c r="AB174" s="36">
        <v>1744695.73</v>
      </c>
      <c r="AC174" s="36">
        <v>5469289.7599999998</v>
      </c>
      <c r="AD174" s="36">
        <v>511.23</v>
      </c>
      <c r="AE174" s="36">
        <v>4941714.91</v>
      </c>
      <c r="AF174" s="71">
        <f t="shared" si="60"/>
        <v>9666.3241789409858</v>
      </c>
      <c r="AG174" s="71">
        <f t="shared" si="61"/>
        <v>10698.295796412573</v>
      </c>
      <c r="AH174" s="72">
        <f t="shared" si="62"/>
        <v>1031.97</v>
      </c>
      <c r="AI174" s="36">
        <v>172.39</v>
      </c>
      <c r="AJ174" s="36">
        <v>1620842.39</v>
      </c>
      <c r="AK174" s="71">
        <f t="shared" si="63"/>
        <v>9402.1833633041369</v>
      </c>
      <c r="AL174" s="71">
        <f t="shared" si="64"/>
        <v>10120.631881199606</v>
      </c>
      <c r="AM174" s="72">
        <f t="shared" si="65"/>
        <v>718.45</v>
      </c>
      <c r="AN174" s="70">
        <v>6600</v>
      </c>
      <c r="AO174" s="70">
        <v>0</v>
      </c>
      <c r="AP174" s="3">
        <v>0</v>
      </c>
    </row>
    <row r="175" spans="1:42" s="3" customFormat="1" ht="15">
      <c r="A175" s="59" t="s">
        <v>697</v>
      </c>
      <c r="B175" s="59" t="s">
        <v>293</v>
      </c>
      <c r="C175" s="59" t="str">
        <f t="shared" si="67"/>
        <v>39003 NACHES VALLEY SCHOOL DISTRICT</v>
      </c>
      <c r="D175" s="36">
        <v>0</v>
      </c>
      <c r="E175" s="36">
        <v>23079.84</v>
      </c>
      <c r="F175" s="36">
        <v>0</v>
      </c>
      <c r="G175" s="36">
        <v>1751409.6</v>
      </c>
      <c r="H175" s="36">
        <v>240165.51</v>
      </c>
      <c r="I175" s="36">
        <v>258622.86</v>
      </c>
      <c r="J175" s="36">
        <v>427762.2</v>
      </c>
      <c r="K175" s="36">
        <v>115917.92</v>
      </c>
      <c r="L175" s="36">
        <v>38379.629999999997</v>
      </c>
      <c r="M175" s="36">
        <v>1103814.23</v>
      </c>
      <c r="N175" s="50">
        <v>5.5E-2</v>
      </c>
      <c r="O175" s="53">
        <v>0.21079999999999999</v>
      </c>
      <c r="P175" s="36">
        <v>0</v>
      </c>
      <c r="Q175" s="69">
        <v>0</v>
      </c>
      <c r="R175" s="69">
        <v>0</v>
      </c>
      <c r="S175" s="70">
        <v>0</v>
      </c>
      <c r="T175" s="70">
        <v>0</v>
      </c>
      <c r="U175" s="70">
        <v>0</v>
      </c>
      <c r="V175" s="36">
        <v>0</v>
      </c>
      <c r="W175" s="70">
        <v>0</v>
      </c>
      <c r="X175" s="70">
        <v>0</v>
      </c>
      <c r="Y175" s="36">
        <v>0</v>
      </c>
      <c r="Z175" s="36">
        <v>26251.41</v>
      </c>
      <c r="AA175" s="36">
        <v>49973.33</v>
      </c>
      <c r="AB175" s="36">
        <v>543523.55000000005</v>
      </c>
      <c r="AC175" s="36">
        <v>609913.99</v>
      </c>
      <c r="AD175" s="36">
        <v>65.44</v>
      </c>
      <c r="AE175" s="36">
        <v>562064.94999999995</v>
      </c>
      <c r="AF175" s="71">
        <f t="shared" si="60"/>
        <v>8589.0120721271396</v>
      </c>
      <c r="AG175" s="71">
        <f t="shared" si="61"/>
        <v>9320.2015586797061</v>
      </c>
      <c r="AH175" s="72">
        <f t="shared" si="62"/>
        <v>731.19</v>
      </c>
      <c r="AI175" s="36">
        <v>60.55</v>
      </c>
      <c r="AJ175" s="36">
        <v>504789.13</v>
      </c>
      <c r="AK175" s="71">
        <f t="shared" si="63"/>
        <v>8336.7321222130468</v>
      </c>
      <c r="AL175" s="71">
        <f t="shared" si="64"/>
        <v>8976.4417836498778</v>
      </c>
      <c r="AM175" s="72">
        <f t="shared" si="65"/>
        <v>639.71</v>
      </c>
      <c r="AN175" s="70">
        <v>117522.88</v>
      </c>
      <c r="AO175" s="70">
        <v>0</v>
      </c>
      <c r="AP175" s="3">
        <v>0</v>
      </c>
    </row>
    <row r="176" spans="1:42" s="3" customFormat="1" ht="15">
      <c r="A176" s="59" t="s">
        <v>549</v>
      </c>
      <c r="B176" s="59" t="s">
        <v>141</v>
      </c>
      <c r="C176" s="59" t="str">
        <f t="shared" si="67"/>
        <v>21014 NAPAVINE SCHOOL DISTRICT</v>
      </c>
      <c r="D176" s="36">
        <v>0</v>
      </c>
      <c r="E176" s="36">
        <v>2321.56</v>
      </c>
      <c r="F176" s="36">
        <v>0</v>
      </c>
      <c r="G176" s="36">
        <v>1105493.6599999999</v>
      </c>
      <c r="H176" s="36">
        <v>114429.47</v>
      </c>
      <c r="I176" s="36">
        <v>0</v>
      </c>
      <c r="J176" s="36">
        <v>214346.63</v>
      </c>
      <c r="K176" s="36">
        <v>38267.120000000003</v>
      </c>
      <c r="L176" s="36">
        <v>24000.2</v>
      </c>
      <c r="M176" s="36">
        <v>393959.86</v>
      </c>
      <c r="N176" s="50">
        <v>5.5E-2</v>
      </c>
      <c r="O176" s="53">
        <v>0.19120000000000001</v>
      </c>
      <c r="P176" s="36">
        <v>0</v>
      </c>
      <c r="Q176" s="69">
        <v>0</v>
      </c>
      <c r="R176" s="69">
        <v>0</v>
      </c>
      <c r="S176" s="70">
        <v>0</v>
      </c>
      <c r="T176" s="70">
        <v>0</v>
      </c>
      <c r="U176" s="70">
        <v>0</v>
      </c>
      <c r="V176" s="36">
        <v>0</v>
      </c>
      <c r="W176" s="70">
        <v>0</v>
      </c>
      <c r="X176" s="70">
        <v>0</v>
      </c>
      <c r="Y176" s="36">
        <v>925.89</v>
      </c>
      <c r="Z176" s="36">
        <v>26414.43</v>
      </c>
      <c r="AA176" s="36">
        <v>77866.080000000002</v>
      </c>
      <c r="AB176" s="36">
        <v>331012.24</v>
      </c>
      <c r="AC176" s="36">
        <v>925921.27</v>
      </c>
      <c r="AD176" s="36">
        <v>101.13</v>
      </c>
      <c r="AE176" s="36">
        <v>868733.48</v>
      </c>
      <c r="AF176" s="71">
        <f t="shared" si="60"/>
        <v>8590.2648076732912</v>
      </c>
      <c r="AG176" s="71">
        <f t="shared" si="61"/>
        <v>9155.7526945515674</v>
      </c>
      <c r="AH176" s="72">
        <f t="shared" si="62"/>
        <v>565.49</v>
      </c>
      <c r="AI176" s="36">
        <v>36.880000000000003</v>
      </c>
      <c r="AJ176" s="36">
        <v>307467.11</v>
      </c>
      <c r="AK176" s="71">
        <f t="shared" si="63"/>
        <v>8336.9606832971785</v>
      </c>
      <c r="AL176" s="71">
        <f t="shared" si="64"/>
        <v>8975.3861171366589</v>
      </c>
      <c r="AM176" s="72">
        <f t="shared" si="65"/>
        <v>638.42999999999995</v>
      </c>
      <c r="AN176" s="70">
        <v>0</v>
      </c>
      <c r="AO176" s="70">
        <v>0</v>
      </c>
      <c r="AP176" s="3">
        <v>0</v>
      </c>
    </row>
    <row r="177" spans="1:42" s="3" customFormat="1" ht="15">
      <c r="A177" s="59" t="s">
        <v>782</v>
      </c>
      <c r="B177" s="59" t="s">
        <v>180</v>
      </c>
      <c r="C177" s="59" t="str">
        <f t="shared" si="67"/>
        <v>25155 NASELLE GRAYS RIVER SCHOOL DISTRICT</v>
      </c>
      <c r="D177" s="36">
        <v>0</v>
      </c>
      <c r="E177" s="36">
        <v>0</v>
      </c>
      <c r="F177" s="36">
        <v>361.82</v>
      </c>
      <c r="G177" s="36">
        <v>0</v>
      </c>
      <c r="H177" s="36">
        <v>0</v>
      </c>
      <c r="I177" s="36">
        <v>96896.07</v>
      </c>
      <c r="J177" s="36">
        <v>111885.52</v>
      </c>
      <c r="K177" s="36">
        <v>18804.77</v>
      </c>
      <c r="L177" s="36">
        <v>9529.01</v>
      </c>
      <c r="M177" s="36">
        <v>335119.95</v>
      </c>
      <c r="N177" s="50">
        <v>7.4000000000000003E-3</v>
      </c>
      <c r="O177" s="53">
        <v>0.15609999999999999</v>
      </c>
      <c r="P177" s="36">
        <v>0</v>
      </c>
      <c r="Q177" s="69">
        <v>0</v>
      </c>
      <c r="R177" s="69">
        <v>0</v>
      </c>
      <c r="S177" s="70">
        <v>0</v>
      </c>
      <c r="T177" s="70">
        <v>0</v>
      </c>
      <c r="U177" s="70">
        <v>0</v>
      </c>
      <c r="V177" s="36">
        <v>0</v>
      </c>
      <c r="W177" s="70">
        <v>0</v>
      </c>
      <c r="X177" s="70">
        <v>0</v>
      </c>
      <c r="Y177" s="36">
        <v>363.14</v>
      </c>
      <c r="Z177" s="36">
        <v>0</v>
      </c>
      <c r="AA177" s="36">
        <v>0</v>
      </c>
      <c r="AB177" s="36">
        <v>29479.41</v>
      </c>
      <c r="AC177" s="36">
        <v>98063.25</v>
      </c>
      <c r="AD177" s="36">
        <v>9.66</v>
      </c>
      <c r="AE177" s="36">
        <v>84699.54</v>
      </c>
      <c r="AF177" s="71">
        <f t="shared" si="60"/>
        <v>8768.0683229813658</v>
      </c>
      <c r="AG177" s="71">
        <f t="shared" si="61"/>
        <v>10151.475155279502</v>
      </c>
      <c r="AH177" s="72">
        <f t="shared" si="62"/>
        <v>1383.41</v>
      </c>
      <c r="AI177" s="36">
        <v>3.22</v>
      </c>
      <c r="AJ177" s="36">
        <v>27366.89</v>
      </c>
      <c r="AK177" s="71">
        <f t="shared" si="63"/>
        <v>8499.0341614906829</v>
      </c>
      <c r="AL177" s="71">
        <f t="shared" si="64"/>
        <v>9155.0962732919252</v>
      </c>
      <c r="AM177" s="72">
        <f t="shared" si="65"/>
        <v>656.06</v>
      </c>
      <c r="AN177" s="70">
        <v>4841.87</v>
      </c>
      <c r="AO177" s="70">
        <v>0</v>
      </c>
      <c r="AP177" s="3">
        <v>0</v>
      </c>
    </row>
    <row r="178" spans="1:42" s="3" customFormat="1" ht="15">
      <c r="A178" s="59" t="s">
        <v>577</v>
      </c>
      <c r="B178" s="59" t="s">
        <v>169</v>
      </c>
      <c r="C178" s="59" t="str">
        <f t="shared" si="67"/>
        <v>24014 NESPELEM SCHOOL DISTRICT</v>
      </c>
      <c r="D178" s="36">
        <v>8732.7800000000007</v>
      </c>
      <c r="E178" s="36">
        <v>0</v>
      </c>
      <c r="F178" s="36">
        <v>0</v>
      </c>
      <c r="G178" s="36">
        <v>210337.98</v>
      </c>
      <c r="H178" s="36">
        <v>13698.27</v>
      </c>
      <c r="I178" s="36">
        <v>39103.769999999997</v>
      </c>
      <c r="J178" s="36">
        <v>85345.54</v>
      </c>
      <c r="K178" s="36">
        <v>0</v>
      </c>
      <c r="L178" s="36">
        <v>0</v>
      </c>
      <c r="M178" s="36">
        <v>172810.97</v>
      </c>
      <c r="N178" s="50">
        <v>0.1118</v>
      </c>
      <c r="O178" s="53">
        <v>0.25879999999999997</v>
      </c>
      <c r="P178" s="36">
        <v>0</v>
      </c>
      <c r="Q178" s="69">
        <v>0</v>
      </c>
      <c r="R178" s="69">
        <v>0</v>
      </c>
      <c r="S178" s="70">
        <v>0</v>
      </c>
      <c r="T178" s="70">
        <v>0</v>
      </c>
      <c r="U178" s="70">
        <v>0</v>
      </c>
      <c r="V178" s="36">
        <v>0</v>
      </c>
      <c r="W178" s="70">
        <v>0</v>
      </c>
      <c r="X178" s="70">
        <v>0</v>
      </c>
      <c r="Y178" s="36">
        <v>0</v>
      </c>
      <c r="Z178" s="36">
        <v>0</v>
      </c>
      <c r="AA178" s="36">
        <v>0</v>
      </c>
      <c r="AB178" s="36">
        <v>0</v>
      </c>
      <c r="AC178" s="36">
        <v>0</v>
      </c>
      <c r="AD178" s="36">
        <v>0</v>
      </c>
      <c r="AE178" s="36">
        <v>0</v>
      </c>
      <c r="AF178" s="71">
        <f t="shared" si="60"/>
        <v>0</v>
      </c>
      <c r="AG178" s="71">
        <f t="shared" si="61"/>
        <v>0</v>
      </c>
      <c r="AH178" s="72">
        <f t="shared" si="62"/>
        <v>0</v>
      </c>
      <c r="AI178" s="36">
        <v>0</v>
      </c>
      <c r="AJ178" s="36">
        <v>0</v>
      </c>
      <c r="AK178" s="71">
        <f t="shared" si="63"/>
        <v>0</v>
      </c>
      <c r="AL178" s="71">
        <f t="shared" si="64"/>
        <v>0</v>
      </c>
      <c r="AM178" s="72">
        <f t="shared" si="65"/>
        <v>0</v>
      </c>
      <c r="AN178" s="70">
        <v>0</v>
      </c>
      <c r="AO178" s="70">
        <v>0</v>
      </c>
      <c r="AP178" s="3">
        <v>0</v>
      </c>
    </row>
    <row r="179" spans="1:42" s="3" customFormat="1" ht="15">
      <c r="A179" s="59" t="s">
        <v>590</v>
      </c>
      <c r="B179" s="59" t="s">
        <v>183</v>
      </c>
      <c r="C179" s="59" t="str">
        <f t="shared" si="67"/>
        <v>26056 NEWPORT SCHOOL DISTRICT</v>
      </c>
      <c r="D179" s="36">
        <v>0</v>
      </c>
      <c r="E179" s="36">
        <v>0</v>
      </c>
      <c r="F179" s="36">
        <v>693.43</v>
      </c>
      <c r="G179" s="36">
        <v>1494637.73</v>
      </c>
      <c r="H179" s="36">
        <v>387546.61</v>
      </c>
      <c r="I179" s="36">
        <v>307968.09999999998</v>
      </c>
      <c r="J179" s="36">
        <v>401279.23</v>
      </c>
      <c r="K179" s="36">
        <v>0</v>
      </c>
      <c r="L179" s="36">
        <v>32379.58</v>
      </c>
      <c r="M179" s="36">
        <v>856115.8</v>
      </c>
      <c r="N179" s="50">
        <v>1.5800000000000002E-2</v>
      </c>
      <c r="O179" s="53">
        <v>0.16589999999999999</v>
      </c>
      <c r="P179" s="36">
        <v>0</v>
      </c>
      <c r="Q179" s="69">
        <v>0</v>
      </c>
      <c r="R179" s="69">
        <v>0</v>
      </c>
      <c r="S179" s="70">
        <v>0</v>
      </c>
      <c r="T179" s="70">
        <v>0</v>
      </c>
      <c r="U179" s="70">
        <v>0</v>
      </c>
      <c r="V179" s="36">
        <v>0</v>
      </c>
      <c r="W179" s="70">
        <v>0</v>
      </c>
      <c r="X179" s="70">
        <v>0</v>
      </c>
      <c r="Y179" s="36">
        <v>0</v>
      </c>
      <c r="Z179" s="36">
        <v>4196.91</v>
      </c>
      <c r="AA179" s="36">
        <v>4413.6099999999997</v>
      </c>
      <c r="AB179" s="36">
        <v>284537.96999999997</v>
      </c>
      <c r="AC179" s="36">
        <v>797256.68</v>
      </c>
      <c r="AD179" s="36">
        <v>88.63</v>
      </c>
      <c r="AE179" s="36">
        <v>761410.69</v>
      </c>
      <c r="AF179" s="71">
        <f t="shared" si="60"/>
        <v>8590.8912332167438</v>
      </c>
      <c r="AG179" s="71">
        <f t="shared" si="61"/>
        <v>8995.3365677535839</v>
      </c>
      <c r="AH179" s="72">
        <f t="shared" si="62"/>
        <v>404.45</v>
      </c>
      <c r="AI179" s="36">
        <v>31.71</v>
      </c>
      <c r="AJ179" s="36">
        <v>264236.7</v>
      </c>
      <c r="AK179" s="71">
        <f t="shared" si="63"/>
        <v>8332.9139072847684</v>
      </c>
      <c r="AL179" s="71">
        <f t="shared" si="64"/>
        <v>8973.1305581835368</v>
      </c>
      <c r="AM179" s="72">
        <f t="shared" si="65"/>
        <v>640.22</v>
      </c>
      <c r="AN179" s="70">
        <v>201.96</v>
      </c>
      <c r="AO179" s="70">
        <v>0</v>
      </c>
      <c r="AP179" s="3">
        <v>0</v>
      </c>
    </row>
    <row r="180" spans="1:42" s="3" customFormat="1" ht="15">
      <c r="A180" s="59" t="s">
        <v>640</v>
      </c>
      <c r="B180" s="59" t="s">
        <v>233</v>
      </c>
      <c r="C180" s="59" t="str">
        <f t="shared" si="67"/>
        <v>32325 NINE MILE FALLS SCHOOL DISTRICT</v>
      </c>
      <c r="D180" s="36">
        <v>0</v>
      </c>
      <c r="E180" s="36">
        <v>0</v>
      </c>
      <c r="F180" s="36">
        <v>0</v>
      </c>
      <c r="G180" s="36">
        <v>1793877.03</v>
      </c>
      <c r="H180" s="36">
        <v>336707.56</v>
      </c>
      <c r="I180" s="36">
        <v>0</v>
      </c>
      <c r="J180" s="36">
        <v>206381.05</v>
      </c>
      <c r="K180" s="36">
        <v>0</v>
      </c>
      <c r="L180" s="36">
        <v>41793.449999999997</v>
      </c>
      <c r="M180" s="36">
        <v>1212942.47</v>
      </c>
      <c r="N180" s="50">
        <v>3.1600000000000003E-2</v>
      </c>
      <c r="O180" s="53">
        <v>0.20250000000000001</v>
      </c>
      <c r="P180" s="36">
        <v>0</v>
      </c>
      <c r="Q180" s="69">
        <v>0</v>
      </c>
      <c r="R180" s="69">
        <v>0</v>
      </c>
      <c r="S180" s="70">
        <v>0</v>
      </c>
      <c r="T180" s="70">
        <v>0</v>
      </c>
      <c r="U180" s="70">
        <v>0</v>
      </c>
      <c r="V180" s="36">
        <v>0</v>
      </c>
      <c r="W180" s="70">
        <v>0</v>
      </c>
      <c r="X180" s="70">
        <v>0</v>
      </c>
      <c r="Y180" s="36">
        <v>1618.34</v>
      </c>
      <c r="Z180" s="36">
        <v>0</v>
      </c>
      <c r="AA180" s="36">
        <v>0</v>
      </c>
      <c r="AB180" s="36">
        <v>81043.31</v>
      </c>
      <c r="AC180" s="36">
        <v>892504.79</v>
      </c>
      <c r="AD180" s="36">
        <v>96.53</v>
      </c>
      <c r="AE180" s="36">
        <v>829033.91</v>
      </c>
      <c r="AF180" s="71">
        <f t="shared" si="60"/>
        <v>8588.3550191650265</v>
      </c>
      <c r="AG180" s="71">
        <f t="shared" si="61"/>
        <v>9245.8799336993688</v>
      </c>
      <c r="AH180" s="72">
        <f t="shared" si="62"/>
        <v>657.52</v>
      </c>
      <c r="AI180" s="36">
        <v>9.0299999999999994</v>
      </c>
      <c r="AJ180" s="36">
        <v>75298.84</v>
      </c>
      <c r="AK180" s="71">
        <f t="shared" si="63"/>
        <v>8338.7419712070878</v>
      </c>
      <c r="AL180" s="71">
        <f t="shared" si="64"/>
        <v>8974.8959025470649</v>
      </c>
      <c r="AM180" s="72">
        <f t="shared" si="65"/>
        <v>636.15</v>
      </c>
      <c r="AN180" s="70">
        <v>0</v>
      </c>
      <c r="AO180" s="70">
        <v>0</v>
      </c>
      <c r="AP180" s="3">
        <v>0</v>
      </c>
    </row>
    <row r="181" spans="1:42" s="3" customFormat="1" ht="15">
      <c r="A181" s="59" t="s">
        <v>681</v>
      </c>
      <c r="B181" s="59" t="s">
        <v>277</v>
      </c>
      <c r="C181" s="59" t="str">
        <f t="shared" si="67"/>
        <v>37506 NOOKSACK VALLEY SCHOOL DISTRICT</v>
      </c>
      <c r="D181" s="36">
        <v>0</v>
      </c>
      <c r="E181" s="36">
        <v>62712.25</v>
      </c>
      <c r="F181" s="36">
        <v>43779.82</v>
      </c>
      <c r="G181" s="36">
        <v>2807124.59</v>
      </c>
      <c r="H181" s="36">
        <v>604140.52</v>
      </c>
      <c r="I181" s="36">
        <v>455212.85</v>
      </c>
      <c r="J181" s="36">
        <v>634030.9</v>
      </c>
      <c r="K181" s="36">
        <v>461187.16</v>
      </c>
      <c r="L181" s="36">
        <v>58589.599999999999</v>
      </c>
      <c r="M181" s="36">
        <v>1490733.59</v>
      </c>
      <c r="N181" s="50">
        <v>3.1800000000000002E-2</v>
      </c>
      <c r="O181" s="53">
        <v>0.15959999999999999</v>
      </c>
      <c r="P181" s="36">
        <v>0</v>
      </c>
      <c r="Q181" s="69">
        <v>0</v>
      </c>
      <c r="R181" s="69">
        <v>0</v>
      </c>
      <c r="S181" s="70">
        <v>0</v>
      </c>
      <c r="T181" s="70">
        <v>0</v>
      </c>
      <c r="U181" s="70">
        <v>0</v>
      </c>
      <c r="V181" s="36">
        <v>0</v>
      </c>
      <c r="W181" s="70">
        <v>0</v>
      </c>
      <c r="X181" s="70">
        <v>0</v>
      </c>
      <c r="Y181" s="36">
        <v>1838.25</v>
      </c>
      <c r="Z181" s="36">
        <v>0</v>
      </c>
      <c r="AA181" s="36">
        <v>0</v>
      </c>
      <c r="AB181" s="36">
        <v>122047.67999999999</v>
      </c>
      <c r="AC181" s="36">
        <v>1237461.76</v>
      </c>
      <c r="AD181" s="36">
        <v>129.62</v>
      </c>
      <c r="AE181" s="36">
        <v>1159997.6299999999</v>
      </c>
      <c r="AF181" s="71">
        <f t="shared" si="60"/>
        <v>8949.217944761609</v>
      </c>
      <c r="AG181" s="71">
        <f t="shared" si="61"/>
        <v>9546.8427711772874</v>
      </c>
      <c r="AH181" s="72">
        <f t="shared" si="62"/>
        <v>597.62</v>
      </c>
      <c r="AI181" s="36">
        <v>13.04</v>
      </c>
      <c r="AJ181" s="36">
        <v>113228.44</v>
      </c>
      <c r="AK181" s="71">
        <f t="shared" si="63"/>
        <v>8683.1625766871166</v>
      </c>
      <c r="AL181" s="71">
        <f t="shared" si="64"/>
        <v>9359.4846625766877</v>
      </c>
      <c r="AM181" s="72">
        <f t="shared" si="65"/>
        <v>676.32</v>
      </c>
      <c r="AN181" s="70">
        <v>0</v>
      </c>
      <c r="AO181" s="70">
        <v>0</v>
      </c>
      <c r="AP181" s="3">
        <v>0</v>
      </c>
    </row>
    <row r="182" spans="1:42" s="3" customFormat="1" ht="15">
      <c r="A182" s="59" t="s">
        <v>490</v>
      </c>
      <c r="B182" s="59" t="s">
        <v>82</v>
      </c>
      <c r="C182" s="59" t="str">
        <f t="shared" si="67"/>
        <v>14064 NORTH BEACH SCHOOL DISTRICT</v>
      </c>
      <c r="D182" s="36">
        <v>0</v>
      </c>
      <c r="E182" s="36">
        <v>2627.36</v>
      </c>
      <c r="F182" s="36">
        <v>6244.28</v>
      </c>
      <c r="G182" s="36">
        <v>933187.79</v>
      </c>
      <c r="H182" s="36">
        <v>169989.28</v>
      </c>
      <c r="I182" s="36">
        <v>216208.71</v>
      </c>
      <c r="J182" s="36">
        <v>355865.05</v>
      </c>
      <c r="K182" s="36">
        <v>21417.42</v>
      </c>
      <c r="L182" s="36">
        <v>19344.990000000002</v>
      </c>
      <c r="M182" s="36">
        <v>714821.98</v>
      </c>
      <c r="N182" s="50">
        <v>3.6799999999999999E-2</v>
      </c>
      <c r="O182" s="53">
        <v>0.222</v>
      </c>
      <c r="P182" s="36">
        <v>0</v>
      </c>
      <c r="Q182" s="69">
        <v>0</v>
      </c>
      <c r="R182" s="69">
        <v>0</v>
      </c>
      <c r="S182" s="70">
        <v>0</v>
      </c>
      <c r="T182" s="70">
        <v>0</v>
      </c>
      <c r="U182" s="70">
        <v>0</v>
      </c>
      <c r="V182" s="36">
        <v>0</v>
      </c>
      <c r="W182" s="70">
        <v>0</v>
      </c>
      <c r="X182" s="70">
        <v>0</v>
      </c>
      <c r="Y182" s="36">
        <v>508.62</v>
      </c>
      <c r="Z182" s="36">
        <v>6795.93</v>
      </c>
      <c r="AA182" s="36">
        <v>5650.08</v>
      </c>
      <c r="AB182" s="36">
        <v>129892.95</v>
      </c>
      <c r="AC182" s="36">
        <v>305945.19</v>
      </c>
      <c r="AD182" s="36">
        <v>33.81</v>
      </c>
      <c r="AE182" s="36">
        <v>290507.84999999998</v>
      </c>
      <c r="AF182" s="71">
        <f t="shared" si="60"/>
        <v>8592.3646850044352</v>
      </c>
      <c r="AG182" s="71">
        <f t="shared" si="61"/>
        <v>9048.9556344276843</v>
      </c>
      <c r="AH182" s="72">
        <f t="shared" si="62"/>
        <v>456.59</v>
      </c>
      <c r="AI182" s="36">
        <v>14.48</v>
      </c>
      <c r="AJ182" s="36">
        <v>120652.55</v>
      </c>
      <c r="AK182" s="71">
        <f t="shared" si="63"/>
        <v>8332.3584254143643</v>
      </c>
      <c r="AL182" s="71">
        <f t="shared" si="64"/>
        <v>8970.5075966850818</v>
      </c>
      <c r="AM182" s="72">
        <f t="shared" si="65"/>
        <v>638.15</v>
      </c>
      <c r="AN182" s="70">
        <v>772.51</v>
      </c>
      <c r="AO182" s="70">
        <v>0</v>
      </c>
      <c r="AP182" s="3">
        <v>0</v>
      </c>
    </row>
    <row r="183" spans="1:42" s="3" customFormat="1" ht="15">
      <c r="A183" s="59" t="s">
        <v>474</v>
      </c>
      <c r="B183" s="59" t="s">
        <v>66</v>
      </c>
      <c r="C183" s="59" t="str">
        <f t="shared" si="67"/>
        <v>11051 NORTH FRANKLIN SCHOOL DISTRICT</v>
      </c>
      <c r="D183" s="36">
        <v>0</v>
      </c>
      <c r="E183" s="36">
        <v>96739.04</v>
      </c>
      <c r="F183" s="36">
        <v>55971.28</v>
      </c>
      <c r="G183" s="36">
        <v>2874296.34</v>
      </c>
      <c r="H183" s="36">
        <v>627662.75</v>
      </c>
      <c r="I183" s="36">
        <v>603729.19999999995</v>
      </c>
      <c r="J183" s="36">
        <v>1015353.35</v>
      </c>
      <c r="K183" s="36">
        <v>1186077.74</v>
      </c>
      <c r="L183" s="36">
        <v>59897.06</v>
      </c>
      <c r="M183" s="36">
        <v>1698713.7</v>
      </c>
      <c r="N183" s="50">
        <v>2.4799999999999999E-2</v>
      </c>
      <c r="O183" s="53">
        <v>0.1578</v>
      </c>
      <c r="P183" s="36">
        <v>0</v>
      </c>
      <c r="Q183" s="69">
        <v>0</v>
      </c>
      <c r="R183" s="69">
        <v>0</v>
      </c>
      <c r="S183" s="70">
        <v>0</v>
      </c>
      <c r="T183" s="70">
        <v>0</v>
      </c>
      <c r="U183" s="70">
        <v>0</v>
      </c>
      <c r="V183" s="36">
        <v>0</v>
      </c>
      <c r="W183" s="70">
        <v>0</v>
      </c>
      <c r="X183" s="70">
        <v>0</v>
      </c>
      <c r="Y183" s="36">
        <v>380.06</v>
      </c>
      <c r="Z183" s="36">
        <v>6566.98</v>
      </c>
      <c r="AA183" s="36">
        <v>88469.85</v>
      </c>
      <c r="AB183" s="36">
        <v>83010.86</v>
      </c>
      <c r="AC183" s="36">
        <v>991734.78</v>
      </c>
      <c r="AD183" s="36">
        <v>106.99</v>
      </c>
      <c r="AE183" s="36">
        <v>919043.67</v>
      </c>
      <c r="AF183" s="71">
        <f t="shared" si="60"/>
        <v>8589.9959809327975</v>
      </c>
      <c r="AG183" s="71">
        <f t="shared" si="61"/>
        <v>9269.4156463220861</v>
      </c>
      <c r="AH183" s="72">
        <f t="shared" si="62"/>
        <v>679.42</v>
      </c>
      <c r="AI183" s="36">
        <v>9.24</v>
      </c>
      <c r="AJ183" s="36">
        <v>77112.69</v>
      </c>
      <c r="AK183" s="71">
        <f t="shared" si="63"/>
        <v>8345.5292207792209</v>
      </c>
      <c r="AL183" s="71">
        <f t="shared" si="64"/>
        <v>8983.8593073593074</v>
      </c>
      <c r="AM183" s="72">
        <f t="shared" si="65"/>
        <v>638.33000000000004</v>
      </c>
      <c r="AN183" s="70">
        <v>0</v>
      </c>
      <c r="AO183" s="70">
        <v>0</v>
      </c>
      <c r="AP183" s="3">
        <v>0</v>
      </c>
    </row>
    <row r="184" spans="1:42" s="3" customFormat="1" ht="15">
      <c r="A184" s="59" t="s">
        <v>530</v>
      </c>
      <c r="B184" s="59" t="s">
        <v>122</v>
      </c>
      <c r="C184" s="59" t="str">
        <f t="shared" si="67"/>
        <v>18400 NORTH KITSAP SCHOOL DISTRICT</v>
      </c>
      <c r="D184" s="36">
        <v>0</v>
      </c>
      <c r="E184" s="36">
        <v>92580.26</v>
      </c>
      <c r="F184" s="36">
        <v>0</v>
      </c>
      <c r="G184" s="36">
        <v>8773520</v>
      </c>
      <c r="H184" s="36">
        <v>1171128.1499999999</v>
      </c>
      <c r="I184" s="36">
        <v>104593.7</v>
      </c>
      <c r="J184" s="36">
        <v>1339110.8500000001</v>
      </c>
      <c r="K184" s="36">
        <v>473167.28</v>
      </c>
      <c r="L184" s="36">
        <v>182589.69</v>
      </c>
      <c r="M184" s="36">
        <v>3476676.95</v>
      </c>
      <c r="N184" s="50">
        <v>8.5900000000000004E-2</v>
      </c>
      <c r="O184" s="53">
        <v>0.19350000000000001</v>
      </c>
      <c r="P184" s="36">
        <v>0</v>
      </c>
      <c r="Q184" s="69">
        <v>0</v>
      </c>
      <c r="R184" s="69">
        <v>0</v>
      </c>
      <c r="S184" s="70">
        <v>0</v>
      </c>
      <c r="T184" s="70">
        <v>0</v>
      </c>
      <c r="U184" s="70">
        <v>0</v>
      </c>
      <c r="V184" s="36">
        <v>0</v>
      </c>
      <c r="W184" s="70">
        <v>0</v>
      </c>
      <c r="X184" s="70">
        <v>0</v>
      </c>
      <c r="Y184" s="36">
        <v>6144.06</v>
      </c>
      <c r="Z184" s="36">
        <v>0</v>
      </c>
      <c r="AA184" s="36">
        <v>88439.48</v>
      </c>
      <c r="AB184" s="36">
        <v>885610.98</v>
      </c>
      <c r="AC184" s="36">
        <v>3083514.11</v>
      </c>
      <c r="AD184" s="36">
        <v>295.10000000000002</v>
      </c>
      <c r="AE184" s="36">
        <v>2852828.85</v>
      </c>
      <c r="AF184" s="71">
        <f t="shared" si="60"/>
        <v>9667.3292104371394</v>
      </c>
      <c r="AG184" s="71">
        <f t="shared" si="61"/>
        <v>10449.048153168416</v>
      </c>
      <c r="AH184" s="72">
        <f t="shared" si="62"/>
        <v>781.72</v>
      </c>
      <c r="AI184" s="36">
        <v>87.5</v>
      </c>
      <c r="AJ184" s="36">
        <v>822726.29</v>
      </c>
      <c r="AK184" s="71">
        <f t="shared" si="63"/>
        <v>9402.5861714285711</v>
      </c>
      <c r="AL184" s="71">
        <f t="shared" si="64"/>
        <v>10121.268342857142</v>
      </c>
      <c r="AM184" s="72">
        <f t="shared" si="65"/>
        <v>718.68</v>
      </c>
      <c r="AN184" s="70">
        <v>0</v>
      </c>
      <c r="AO184" s="70">
        <v>0</v>
      </c>
      <c r="AP184" s="3">
        <v>0</v>
      </c>
    </row>
    <row r="185" spans="1:42" s="3" customFormat="1" ht="15">
      <c r="A185" s="59" t="s">
        <v>575</v>
      </c>
      <c r="B185" s="59" t="s">
        <v>167</v>
      </c>
      <c r="C185" s="59" t="str">
        <f t="shared" si="67"/>
        <v>23403 NORTH MASON SCHOOL DISTRICT</v>
      </c>
      <c r="D185" s="36">
        <v>0</v>
      </c>
      <c r="E185" s="36">
        <v>74369.41</v>
      </c>
      <c r="F185" s="36">
        <v>0</v>
      </c>
      <c r="G185" s="36">
        <v>3406206.33</v>
      </c>
      <c r="H185" s="36">
        <v>474018.92</v>
      </c>
      <c r="I185" s="36">
        <v>460004.58</v>
      </c>
      <c r="J185" s="36">
        <v>887120.56</v>
      </c>
      <c r="K185" s="36">
        <v>523376.91</v>
      </c>
      <c r="L185" s="36">
        <v>70786.679999999993</v>
      </c>
      <c r="M185" s="36">
        <v>2212907.79</v>
      </c>
      <c r="N185" s="50">
        <v>2.6100000000000002E-2</v>
      </c>
      <c r="O185" s="53">
        <v>0.17599999999999999</v>
      </c>
      <c r="P185" s="36">
        <v>0</v>
      </c>
      <c r="Q185" s="69">
        <v>0</v>
      </c>
      <c r="R185" s="69">
        <v>0</v>
      </c>
      <c r="S185" s="70">
        <v>0</v>
      </c>
      <c r="T185" s="70">
        <v>0</v>
      </c>
      <c r="U185" s="70">
        <v>0</v>
      </c>
      <c r="V185" s="36">
        <v>0</v>
      </c>
      <c r="W185" s="70">
        <v>0</v>
      </c>
      <c r="X185" s="70">
        <v>0</v>
      </c>
      <c r="Y185" s="36">
        <v>2584.83</v>
      </c>
      <c r="Z185" s="36">
        <v>72570.820000000007</v>
      </c>
      <c r="AA185" s="36">
        <v>117441.81</v>
      </c>
      <c r="AB185" s="36">
        <v>750164.95</v>
      </c>
      <c r="AC185" s="36">
        <v>1660051.7</v>
      </c>
      <c r="AD185" s="36">
        <v>174.13</v>
      </c>
      <c r="AE185" s="36">
        <v>1558369.85</v>
      </c>
      <c r="AF185" s="71">
        <f t="shared" si="60"/>
        <v>8949.4621834261761</v>
      </c>
      <c r="AG185" s="71">
        <f t="shared" si="61"/>
        <v>9533.4043530695453</v>
      </c>
      <c r="AH185" s="72">
        <f t="shared" si="62"/>
        <v>583.94000000000005</v>
      </c>
      <c r="AI185" s="36">
        <v>80.150000000000006</v>
      </c>
      <c r="AJ185" s="36">
        <v>696558.46</v>
      </c>
      <c r="AK185" s="71">
        <f t="shared" si="63"/>
        <v>8690.6857142857134</v>
      </c>
      <c r="AL185" s="71">
        <f t="shared" si="64"/>
        <v>9359.5127885215206</v>
      </c>
      <c r="AM185" s="72">
        <f t="shared" si="65"/>
        <v>668.83</v>
      </c>
      <c r="AN185" s="70">
        <v>33.36</v>
      </c>
      <c r="AO185" s="70">
        <v>0</v>
      </c>
      <c r="AP185" s="3">
        <v>0</v>
      </c>
    </row>
    <row r="186" spans="1:42" s="3" customFormat="1" ht="15">
      <c r="A186" s="59" t="s">
        <v>589</v>
      </c>
      <c r="B186" s="59" t="s">
        <v>182</v>
      </c>
      <c r="C186" s="59" t="str">
        <f t="shared" si="67"/>
        <v>25200 NORTH RIVER SCHOOL DISTRICT</v>
      </c>
      <c r="D186" s="36">
        <v>0</v>
      </c>
      <c r="E186" s="36">
        <v>0</v>
      </c>
      <c r="F186" s="36">
        <v>0</v>
      </c>
      <c r="G186" s="36">
        <v>87332.07</v>
      </c>
      <c r="H186" s="36">
        <v>5414.06</v>
      </c>
      <c r="I186" s="36">
        <v>25345.03</v>
      </c>
      <c r="J186" s="36">
        <v>35172.71</v>
      </c>
      <c r="K186" s="36">
        <v>0</v>
      </c>
      <c r="L186" s="36">
        <v>0</v>
      </c>
      <c r="M186" s="36">
        <v>200359.64</v>
      </c>
      <c r="N186" s="50">
        <v>0.1308</v>
      </c>
      <c r="O186" s="53">
        <v>0.38490000000000002</v>
      </c>
      <c r="P186" s="36">
        <v>0</v>
      </c>
      <c r="Q186" s="69">
        <v>0</v>
      </c>
      <c r="R186" s="69">
        <v>0</v>
      </c>
      <c r="S186" s="70">
        <v>0</v>
      </c>
      <c r="T186" s="70">
        <v>0</v>
      </c>
      <c r="U186" s="70">
        <v>0</v>
      </c>
      <c r="V186" s="36">
        <v>0</v>
      </c>
      <c r="W186" s="70">
        <v>0</v>
      </c>
      <c r="X186" s="70">
        <v>0</v>
      </c>
      <c r="Y186" s="36">
        <v>84.58</v>
      </c>
      <c r="Z186" s="36">
        <v>0</v>
      </c>
      <c r="AA186" s="36">
        <v>0</v>
      </c>
      <c r="AB186" s="36">
        <v>0</v>
      </c>
      <c r="AC186" s="36">
        <v>13315.43</v>
      </c>
      <c r="AD186" s="36">
        <v>0.17</v>
      </c>
      <c r="AE186" s="36">
        <v>1417.97</v>
      </c>
      <c r="AF186" s="71">
        <f t="shared" si="60"/>
        <v>8341</v>
      </c>
      <c r="AG186" s="71">
        <f t="shared" si="61"/>
        <v>78326.058823529413</v>
      </c>
      <c r="AH186" s="72">
        <f t="shared" si="62"/>
        <v>69985.06</v>
      </c>
      <c r="AI186" s="36">
        <v>0</v>
      </c>
      <c r="AJ186" s="36">
        <v>0</v>
      </c>
      <c r="AK186" s="71">
        <f t="shared" si="63"/>
        <v>0</v>
      </c>
      <c r="AL186" s="71">
        <f t="shared" si="64"/>
        <v>0</v>
      </c>
      <c r="AM186" s="72">
        <f t="shared" si="65"/>
        <v>0</v>
      </c>
      <c r="AN186" s="70">
        <v>0</v>
      </c>
      <c r="AO186" s="70">
        <v>0</v>
      </c>
      <c r="AP186" s="3">
        <v>0</v>
      </c>
    </row>
    <row r="187" spans="1:42" s="3" customFormat="1" ht="15">
      <c r="A187" s="59" t="s">
        <v>661</v>
      </c>
      <c r="B187" s="59" t="s">
        <v>257</v>
      </c>
      <c r="C187" s="59" t="str">
        <f t="shared" si="67"/>
        <v>34003 NORTH THURSTON SCHOOL DISTRICT</v>
      </c>
      <c r="D187" s="36">
        <v>0</v>
      </c>
      <c r="E187" s="36">
        <v>163188.79</v>
      </c>
      <c r="F187" s="36">
        <v>26275.41</v>
      </c>
      <c r="G187" s="36">
        <v>25697632.100000001</v>
      </c>
      <c r="H187" s="36">
        <v>5335989.62</v>
      </c>
      <c r="I187" s="36">
        <v>1093717.6399999999</v>
      </c>
      <c r="J187" s="36">
        <v>4332612.55</v>
      </c>
      <c r="K187" s="36">
        <v>1543319.03</v>
      </c>
      <c r="L187" s="36">
        <v>452627.74</v>
      </c>
      <c r="M187" s="36">
        <v>9658602.75</v>
      </c>
      <c r="N187" s="50">
        <v>4.5699999999999998E-2</v>
      </c>
      <c r="O187" s="53">
        <v>0.1313</v>
      </c>
      <c r="P187" s="36">
        <v>0</v>
      </c>
      <c r="Q187" s="69">
        <v>0</v>
      </c>
      <c r="R187" s="69">
        <v>0</v>
      </c>
      <c r="S187" s="70">
        <v>0</v>
      </c>
      <c r="T187" s="70">
        <v>0</v>
      </c>
      <c r="U187" s="70">
        <v>0</v>
      </c>
      <c r="V187" s="36">
        <v>0</v>
      </c>
      <c r="W187" s="70">
        <v>0</v>
      </c>
      <c r="X187" s="70">
        <v>0</v>
      </c>
      <c r="Y187" s="36">
        <v>17152.150000000001</v>
      </c>
      <c r="Z187" s="36">
        <v>139437.51999999999</v>
      </c>
      <c r="AA187" s="36">
        <v>0</v>
      </c>
      <c r="AB187" s="36">
        <v>2013638.78</v>
      </c>
      <c r="AC187" s="36">
        <v>7563260.7300000004</v>
      </c>
      <c r="AD187" s="36">
        <v>785.58</v>
      </c>
      <c r="AE187" s="36">
        <v>6889097.6900000004</v>
      </c>
      <c r="AF187" s="71">
        <f t="shared" si="60"/>
        <v>8769.4412917844147</v>
      </c>
      <c r="AG187" s="71">
        <f t="shared" si="61"/>
        <v>9627.6136485144743</v>
      </c>
      <c r="AH187" s="72">
        <f t="shared" si="62"/>
        <v>858.17</v>
      </c>
      <c r="AI187" s="36">
        <v>219.65</v>
      </c>
      <c r="AJ187" s="36">
        <v>1870015.78</v>
      </c>
      <c r="AK187" s="71">
        <f t="shared" si="63"/>
        <v>8513.6161165490557</v>
      </c>
      <c r="AL187" s="71">
        <f t="shared" si="64"/>
        <v>9167.4881857500568</v>
      </c>
      <c r="AM187" s="72">
        <f t="shared" si="65"/>
        <v>653.87</v>
      </c>
      <c r="AN187" s="70">
        <v>5421.19</v>
      </c>
      <c r="AO187" s="70">
        <v>22177.23</v>
      </c>
      <c r="AP187" s="3">
        <v>0</v>
      </c>
    </row>
    <row r="188" spans="1:42" s="3" customFormat="1" ht="15">
      <c r="A188" s="59" t="s">
        <v>658</v>
      </c>
      <c r="B188" s="59" t="s">
        <v>254</v>
      </c>
      <c r="C188" s="59" t="str">
        <f t="shared" si="67"/>
        <v>33211 NORTHPORT SCHOOL DISTRICT</v>
      </c>
      <c r="D188" s="36">
        <v>0</v>
      </c>
      <c r="E188" s="36">
        <v>0</v>
      </c>
      <c r="F188" s="36">
        <v>0</v>
      </c>
      <c r="G188" s="36">
        <v>247226.72</v>
      </c>
      <c r="H188" s="36">
        <v>38454.44</v>
      </c>
      <c r="I188" s="36">
        <v>43448.639999999999</v>
      </c>
      <c r="J188" s="36">
        <v>104897.43</v>
      </c>
      <c r="K188" s="36">
        <v>0</v>
      </c>
      <c r="L188" s="36">
        <v>0</v>
      </c>
      <c r="M188" s="36">
        <v>342668.56</v>
      </c>
      <c r="N188" s="50">
        <v>2.2100000000000002E-2</v>
      </c>
      <c r="O188" s="53">
        <v>0.20530000000000001</v>
      </c>
      <c r="P188" s="36">
        <v>0</v>
      </c>
      <c r="Q188" s="69">
        <v>0</v>
      </c>
      <c r="R188" s="69">
        <v>0</v>
      </c>
      <c r="S188" s="70">
        <v>0</v>
      </c>
      <c r="T188" s="70">
        <v>0</v>
      </c>
      <c r="U188" s="70">
        <v>0</v>
      </c>
      <c r="V188" s="36">
        <v>0</v>
      </c>
      <c r="W188" s="70">
        <v>0</v>
      </c>
      <c r="X188" s="70">
        <v>0</v>
      </c>
      <c r="Y188" s="36">
        <v>0</v>
      </c>
      <c r="Z188" s="36">
        <v>0</v>
      </c>
      <c r="AA188" s="36">
        <v>0</v>
      </c>
      <c r="AB188" s="36">
        <v>0</v>
      </c>
      <c r="AC188" s="36">
        <v>71972.009999999995</v>
      </c>
      <c r="AD188" s="36">
        <v>6.88</v>
      </c>
      <c r="AE188" s="36">
        <v>59143.1</v>
      </c>
      <c r="AF188" s="71">
        <f t="shared" si="60"/>
        <v>8596.3808139534885</v>
      </c>
      <c r="AG188" s="71">
        <f t="shared" si="61"/>
        <v>10461.047965116279</v>
      </c>
      <c r="AH188" s="72">
        <f t="shared" si="62"/>
        <v>1864.67</v>
      </c>
      <c r="AI188" s="36">
        <v>0</v>
      </c>
      <c r="AJ188" s="36">
        <v>0</v>
      </c>
      <c r="AK188" s="71">
        <f t="shared" si="63"/>
        <v>0</v>
      </c>
      <c r="AL188" s="71">
        <f t="shared" si="64"/>
        <v>0</v>
      </c>
      <c r="AM188" s="72">
        <f t="shared" si="65"/>
        <v>0</v>
      </c>
      <c r="AN188" s="70">
        <v>0</v>
      </c>
      <c r="AO188" s="70">
        <v>0</v>
      </c>
      <c r="AP188" s="3">
        <v>0</v>
      </c>
    </row>
    <row r="189" spans="1:42" s="3" customFormat="1" ht="15">
      <c r="A189" s="59" t="s">
        <v>527</v>
      </c>
      <c r="B189" s="59" t="s">
        <v>119</v>
      </c>
      <c r="C189" s="59" t="str">
        <f t="shared" si="67"/>
        <v>17417 NORTHSHORE SCHOOL DISTRICT</v>
      </c>
      <c r="D189" s="36">
        <v>0</v>
      </c>
      <c r="E189" s="36">
        <v>0</v>
      </c>
      <c r="F189" s="36">
        <v>0</v>
      </c>
      <c r="G189" s="36">
        <v>39020241.369999997</v>
      </c>
      <c r="H189" s="36">
        <v>6033463.9699999997</v>
      </c>
      <c r="I189" s="36">
        <v>0</v>
      </c>
      <c r="J189" s="36">
        <v>2484729.33</v>
      </c>
      <c r="K189" s="36">
        <v>4312464.17</v>
      </c>
      <c r="L189" s="36">
        <v>771812.84</v>
      </c>
      <c r="M189" s="36">
        <v>12962953.949999999</v>
      </c>
      <c r="N189" s="50">
        <v>3.5499999999999997E-2</v>
      </c>
      <c r="O189" s="53">
        <v>0.1164</v>
      </c>
      <c r="P189" s="36">
        <v>0</v>
      </c>
      <c r="Q189" s="69">
        <v>0</v>
      </c>
      <c r="R189" s="69">
        <v>0</v>
      </c>
      <c r="S189" s="70">
        <v>160231.17000000001</v>
      </c>
      <c r="T189" s="70">
        <v>0</v>
      </c>
      <c r="U189" s="70">
        <v>6347.73</v>
      </c>
      <c r="V189" s="36">
        <v>0</v>
      </c>
      <c r="W189" s="70">
        <v>0</v>
      </c>
      <c r="X189" s="70">
        <v>0</v>
      </c>
      <c r="Y189" s="36">
        <v>14534.62</v>
      </c>
      <c r="Z189" s="36">
        <v>193805.09</v>
      </c>
      <c r="AA189" s="36">
        <v>760835.2</v>
      </c>
      <c r="AB189" s="36">
        <v>2189963.09</v>
      </c>
      <c r="AC189" s="36">
        <v>10142114.76</v>
      </c>
      <c r="AD189" s="36">
        <v>975.16</v>
      </c>
      <c r="AE189" s="36">
        <v>9426103.6400000006</v>
      </c>
      <c r="AF189" s="71">
        <f t="shared" si="60"/>
        <v>9666.2123548956079</v>
      </c>
      <c r="AG189" s="71">
        <f t="shared" si="61"/>
        <v>10400.462242093605</v>
      </c>
      <c r="AH189" s="72">
        <f t="shared" si="62"/>
        <v>734.25</v>
      </c>
      <c r="AI189" s="36">
        <v>216.35</v>
      </c>
      <c r="AJ189" s="36">
        <v>2034337.55</v>
      </c>
      <c r="AK189" s="71">
        <f t="shared" si="63"/>
        <v>9402.9930667899243</v>
      </c>
      <c r="AL189" s="71">
        <f t="shared" si="64"/>
        <v>10122.316108158077</v>
      </c>
      <c r="AM189" s="72">
        <f t="shared" si="65"/>
        <v>719.32</v>
      </c>
      <c r="AN189" s="70">
        <v>0</v>
      </c>
      <c r="AO189" s="70">
        <v>0</v>
      </c>
      <c r="AP189" s="3">
        <v>0</v>
      </c>
    </row>
    <row r="190" spans="1:42" s="3" customFormat="1" ht="15">
      <c r="A190" s="59" t="s">
        <v>501</v>
      </c>
      <c r="B190" s="59" t="s">
        <v>93</v>
      </c>
      <c r="C190" s="59" t="str">
        <f t="shared" si="67"/>
        <v>15201 OAK HARBOR SCHOOL DISTRICT</v>
      </c>
      <c r="D190" s="36">
        <v>0</v>
      </c>
      <c r="E190" s="36">
        <v>83903.24</v>
      </c>
      <c r="F190" s="36">
        <v>0</v>
      </c>
      <c r="G190" s="36">
        <v>11820129.24</v>
      </c>
      <c r="H190" s="36">
        <v>2631898.9900000002</v>
      </c>
      <c r="I190" s="36">
        <v>288634.68</v>
      </c>
      <c r="J190" s="36">
        <v>1525967.14</v>
      </c>
      <c r="K190" s="36">
        <v>425261.33</v>
      </c>
      <c r="L190" s="36">
        <v>181483.05</v>
      </c>
      <c r="M190" s="36">
        <v>3228608.3</v>
      </c>
      <c r="N190" s="50">
        <v>3.95E-2</v>
      </c>
      <c r="O190" s="53">
        <v>0.14560000000000001</v>
      </c>
      <c r="P190" s="36">
        <v>0</v>
      </c>
      <c r="Q190" s="69">
        <v>0</v>
      </c>
      <c r="R190" s="69">
        <v>0</v>
      </c>
      <c r="S190" s="70">
        <v>0</v>
      </c>
      <c r="T190" s="70">
        <v>0</v>
      </c>
      <c r="U190" s="70">
        <v>0</v>
      </c>
      <c r="V190" s="36">
        <v>0</v>
      </c>
      <c r="W190" s="70">
        <v>0</v>
      </c>
      <c r="X190" s="70">
        <v>0</v>
      </c>
      <c r="Y190" s="36">
        <v>0</v>
      </c>
      <c r="Z190" s="36">
        <v>38531.97</v>
      </c>
      <c r="AA190" s="36">
        <v>298134.90000000002</v>
      </c>
      <c r="AB190" s="36">
        <v>363102.8</v>
      </c>
      <c r="AC190" s="36">
        <v>3849776.13</v>
      </c>
      <c r="AD190" s="36">
        <v>390.43</v>
      </c>
      <c r="AE190" s="36">
        <v>3633922.57</v>
      </c>
      <c r="AF190" s="71">
        <f t="shared" si="60"/>
        <v>9307.4880772481611</v>
      </c>
      <c r="AG190" s="71">
        <f t="shared" si="61"/>
        <v>9860.3491791102115</v>
      </c>
      <c r="AH190" s="72">
        <f t="shared" si="62"/>
        <v>552.86</v>
      </c>
      <c r="AI190" s="36">
        <v>37.26</v>
      </c>
      <c r="AJ190" s="36">
        <v>337261.62</v>
      </c>
      <c r="AK190" s="71">
        <f t="shared" si="63"/>
        <v>9051.5732689210945</v>
      </c>
      <c r="AL190" s="71">
        <f t="shared" si="64"/>
        <v>9745.110037573806</v>
      </c>
      <c r="AM190" s="72">
        <f t="shared" si="65"/>
        <v>693.54</v>
      </c>
      <c r="AN190" s="70">
        <v>0</v>
      </c>
      <c r="AO190" s="70">
        <v>0</v>
      </c>
      <c r="AP190" s="3">
        <v>0</v>
      </c>
    </row>
    <row r="191" spans="1:42" s="3" customFormat="1" ht="15">
      <c r="A191" s="59" t="s">
        <v>695</v>
      </c>
      <c r="B191" s="59" t="s">
        <v>291</v>
      </c>
      <c r="C191" s="59" t="str">
        <f t="shared" si="67"/>
        <v>38324 OAKESDALE SCHOOL DISTRICT</v>
      </c>
      <c r="D191" s="36">
        <v>0</v>
      </c>
      <c r="E191" s="36">
        <v>0</v>
      </c>
      <c r="F191" s="36">
        <v>0</v>
      </c>
      <c r="G191" s="36">
        <v>194414.57</v>
      </c>
      <c r="H191" s="36">
        <v>42234.04</v>
      </c>
      <c r="I191" s="36">
        <v>0</v>
      </c>
      <c r="J191" s="36">
        <v>39722.03</v>
      </c>
      <c r="K191" s="36">
        <v>0</v>
      </c>
      <c r="L191" s="36">
        <v>4389.7700000000004</v>
      </c>
      <c r="M191" s="36">
        <v>343443.56</v>
      </c>
      <c r="N191" s="50">
        <v>3.8100000000000002E-2</v>
      </c>
      <c r="O191" s="53">
        <v>0.27089999999999997</v>
      </c>
      <c r="P191" s="36">
        <v>0</v>
      </c>
      <c r="Q191" s="69">
        <v>0</v>
      </c>
      <c r="R191" s="69">
        <v>0</v>
      </c>
      <c r="S191" s="70">
        <v>0</v>
      </c>
      <c r="T191" s="70">
        <v>0</v>
      </c>
      <c r="U191" s="70">
        <v>0</v>
      </c>
      <c r="V191" s="36">
        <v>0</v>
      </c>
      <c r="W191" s="70">
        <v>0</v>
      </c>
      <c r="X191" s="70">
        <v>0</v>
      </c>
      <c r="Y191" s="36">
        <v>0</v>
      </c>
      <c r="Z191" s="36">
        <v>0</v>
      </c>
      <c r="AA191" s="36">
        <v>0</v>
      </c>
      <c r="AB191" s="36">
        <v>6074.63</v>
      </c>
      <c r="AC191" s="36">
        <v>56275.35</v>
      </c>
      <c r="AD191" s="36">
        <v>6.09</v>
      </c>
      <c r="AE191" s="36">
        <v>53376.33</v>
      </c>
      <c r="AF191" s="71">
        <f t="shared" si="60"/>
        <v>8764.5862068965525</v>
      </c>
      <c r="AG191" s="71">
        <f t="shared" si="61"/>
        <v>9240.6157635467971</v>
      </c>
      <c r="AH191" s="72">
        <f t="shared" si="62"/>
        <v>476.03</v>
      </c>
      <c r="AI191" s="36">
        <v>0.66</v>
      </c>
      <c r="AJ191" s="36">
        <v>5700.97</v>
      </c>
      <c r="AK191" s="71">
        <f t="shared" si="63"/>
        <v>8637.8333333333339</v>
      </c>
      <c r="AL191" s="71">
        <f t="shared" si="64"/>
        <v>9203.984848484848</v>
      </c>
      <c r="AM191" s="72">
        <f t="shared" si="65"/>
        <v>566.15</v>
      </c>
      <c r="AN191" s="70">
        <v>0</v>
      </c>
      <c r="AO191" s="70">
        <v>0</v>
      </c>
      <c r="AP191" s="3">
        <v>0</v>
      </c>
    </row>
    <row r="192" spans="1:42" s="3" customFormat="1" ht="15">
      <c r="A192" s="59" t="s">
        <v>500</v>
      </c>
      <c r="B192" s="59" t="s">
        <v>92</v>
      </c>
      <c r="C192" s="59" t="str">
        <f t="shared" si="67"/>
        <v>14400 OAKVILLE SCHOOL DISTRICT</v>
      </c>
      <c r="D192" s="36">
        <v>0</v>
      </c>
      <c r="E192" s="36">
        <v>0</v>
      </c>
      <c r="F192" s="36">
        <v>3359.06</v>
      </c>
      <c r="G192" s="36">
        <v>529589.82999999996</v>
      </c>
      <c r="H192" s="36">
        <v>67824.320000000007</v>
      </c>
      <c r="I192" s="36">
        <v>89276.6</v>
      </c>
      <c r="J192" s="36">
        <v>160449.62</v>
      </c>
      <c r="K192" s="36">
        <v>0</v>
      </c>
      <c r="L192" s="36">
        <v>9931.11</v>
      </c>
      <c r="M192" s="36">
        <v>258215.39</v>
      </c>
      <c r="N192" s="50">
        <v>0.23069999999999999</v>
      </c>
      <c r="O192" s="53">
        <v>0.36530000000000001</v>
      </c>
      <c r="P192" s="36">
        <v>0</v>
      </c>
      <c r="Q192" s="69">
        <v>0</v>
      </c>
      <c r="R192" s="69">
        <v>0</v>
      </c>
      <c r="S192" s="70">
        <v>0</v>
      </c>
      <c r="T192" s="70">
        <v>0</v>
      </c>
      <c r="U192" s="70">
        <v>0</v>
      </c>
      <c r="V192" s="36">
        <v>0</v>
      </c>
      <c r="W192" s="70">
        <v>0</v>
      </c>
      <c r="X192" s="70">
        <v>0</v>
      </c>
      <c r="Y192" s="36">
        <v>349.61</v>
      </c>
      <c r="Z192" s="36">
        <v>7707.13</v>
      </c>
      <c r="AA192" s="36">
        <v>0</v>
      </c>
      <c r="AB192" s="36">
        <v>0</v>
      </c>
      <c r="AC192" s="36">
        <v>174399.69</v>
      </c>
      <c r="AD192" s="36">
        <v>19.170000000000002</v>
      </c>
      <c r="AE192" s="36">
        <v>164589.4</v>
      </c>
      <c r="AF192" s="71">
        <f t="shared" si="60"/>
        <v>8585.7798643714123</v>
      </c>
      <c r="AG192" s="71">
        <f t="shared" si="61"/>
        <v>9097.5320813771505</v>
      </c>
      <c r="AH192" s="72">
        <f t="shared" si="62"/>
        <v>511.75</v>
      </c>
      <c r="AI192" s="36">
        <v>0</v>
      </c>
      <c r="AJ192" s="36">
        <v>0</v>
      </c>
      <c r="AK192" s="71">
        <f t="shared" si="63"/>
        <v>0</v>
      </c>
      <c r="AL192" s="71">
        <f t="shared" si="64"/>
        <v>0</v>
      </c>
      <c r="AM192" s="72">
        <f t="shared" si="65"/>
        <v>0</v>
      </c>
      <c r="AN192" s="70">
        <v>2159.29</v>
      </c>
      <c r="AO192" s="70">
        <v>0</v>
      </c>
      <c r="AP192" s="3">
        <v>0</v>
      </c>
    </row>
    <row r="193" spans="1:42" s="3" customFormat="1" ht="15">
      <c r="A193" s="59" t="s">
        <v>585</v>
      </c>
      <c r="B193" s="59" t="s">
        <v>177</v>
      </c>
      <c r="C193" s="59" t="str">
        <f t="shared" si="67"/>
        <v>25101 OCEAN BEACH SCHOOL DISTRICT</v>
      </c>
      <c r="D193" s="36">
        <v>0</v>
      </c>
      <c r="E193" s="36">
        <v>0</v>
      </c>
      <c r="F193" s="36">
        <v>119.8</v>
      </c>
      <c r="G193" s="36">
        <v>0</v>
      </c>
      <c r="H193" s="36">
        <v>0</v>
      </c>
      <c r="I193" s="36">
        <v>308692.25</v>
      </c>
      <c r="J193" s="36">
        <v>424969.07</v>
      </c>
      <c r="K193" s="36">
        <v>76635.740000000005</v>
      </c>
      <c r="L193" s="36">
        <v>30207.15</v>
      </c>
      <c r="M193" s="36">
        <v>1110422.78</v>
      </c>
      <c r="N193" s="50">
        <v>7.1199999999999999E-2</v>
      </c>
      <c r="O193" s="53">
        <v>0.21360000000000001</v>
      </c>
      <c r="P193" s="36">
        <v>0</v>
      </c>
      <c r="Q193" s="69">
        <v>0</v>
      </c>
      <c r="R193" s="69">
        <v>0</v>
      </c>
      <c r="S193" s="70">
        <v>0</v>
      </c>
      <c r="T193" s="70">
        <v>0</v>
      </c>
      <c r="U193" s="70">
        <v>0</v>
      </c>
      <c r="V193" s="36">
        <v>0</v>
      </c>
      <c r="W193" s="70">
        <v>0</v>
      </c>
      <c r="X193" s="70">
        <v>0</v>
      </c>
      <c r="Y193" s="36">
        <v>1172.8699999999999</v>
      </c>
      <c r="Z193" s="36">
        <v>0</v>
      </c>
      <c r="AA193" s="36">
        <v>68638.86</v>
      </c>
      <c r="AB193" s="36">
        <v>338.81</v>
      </c>
      <c r="AC193" s="36">
        <v>931093.6</v>
      </c>
      <c r="AD193" s="36">
        <v>103.12</v>
      </c>
      <c r="AE193" s="36">
        <v>885880.14</v>
      </c>
      <c r="AF193" s="71">
        <f t="shared" si="60"/>
        <v>8590.7693948797514</v>
      </c>
      <c r="AG193" s="71">
        <f t="shared" si="61"/>
        <v>9029.2242048099288</v>
      </c>
      <c r="AH193" s="72">
        <f t="shared" si="62"/>
        <v>438.45</v>
      </c>
      <c r="AI193" s="36">
        <v>0.04</v>
      </c>
      <c r="AJ193" s="36">
        <v>347.28</v>
      </c>
      <c r="AK193" s="71">
        <f t="shared" si="63"/>
        <v>8682</v>
      </c>
      <c r="AL193" s="71">
        <f t="shared" si="64"/>
        <v>8470.25</v>
      </c>
      <c r="AM193" s="72">
        <f t="shared" si="65"/>
        <v>-211.75</v>
      </c>
      <c r="AN193" s="70">
        <v>12678.62</v>
      </c>
      <c r="AO193" s="70">
        <v>0</v>
      </c>
      <c r="AP193" s="3">
        <v>0</v>
      </c>
    </row>
    <row r="194" spans="1:42" s="3" customFormat="1" ht="15">
      <c r="A194" s="59" t="s">
        <v>499</v>
      </c>
      <c r="B194" s="59" t="s">
        <v>91</v>
      </c>
      <c r="C194" s="59" t="str">
        <f t="shared" si="67"/>
        <v>14172 OCOSTA SCHOOL DISTRICT</v>
      </c>
      <c r="D194" s="36">
        <v>0</v>
      </c>
      <c r="E194" s="36">
        <v>4592.55</v>
      </c>
      <c r="F194" s="36">
        <v>17170.009999999998</v>
      </c>
      <c r="G194" s="36">
        <v>665212.27</v>
      </c>
      <c r="H194" s="36">
        <v>66175.72</v>
      </c>
      <c r="I194" s="36">
        <v>170173.84</v>
      </c>
      <c r="J194" s="36">
        <v>273209.19</v>
      </c>
      <c r="K194" s="36">
        <v>98865.19</v>
      </c>
      <c r="L194" s="36">
        <v>16862.21</v>
      </c>
      <c r="M194" s="36">
        <v>453973.01</v>
      </c>
      <c r="N194" s="50">
        <v>2.5899999999999999E-2</v>
      </c>
      <c r="O194" s="53">
        <v>0.185</v>
      </c>
      <c r="P194" s="36">
        <v>0</v>
      </c>
      <c r="Q194" s="69">
        <v>0</v>
      </c>
      <c r="R194" s="69">
        <v>0</v>
      </c>
      <c r="S194" s="70">
        <v>0</v>
      </c>
      <c r="T194" s="70">
        <v>0</v>
      </c>
      <c r="U194" s="70">
        <v>0</v>
      </c>
      <c r="V194" s="36">
        <v>0</v>
      </c>
      <c r="W194" s="70">
        <v>0</v>
      </c>
      <c r="X194" s="70">
        <v>0</v>
      </c>
      <c r="Y194" s="36">
        <v>638.30999999999995</v>
      </c>
      <c r="Z194" s="36">
        <v>11831.63</v>
      </c>
      <c r="AA194" s="36">
        <v>24952.02</v>
      </c>
      <c r="AB194" s="36">
        <v>74492.34</v>
      </c>
      <c r="AC194" s="36">
        <v>141862.42000000001</v>
      </c>
      <c r="AD194" s="36">
        <v>15.24</v>
      </c>
      <c r="AE194" s="36">
        <v>130894.29</v>
      </c>
      <c r="AF194" s="71">
        <f t="shared" si="60"/>
        <v>8588.8641732283468</v>
      </c>
      <c r="AG194" s="71">
        <f t="shared" si="61"/>
        <v>9308.5577427821536</v>
      </c>
      <c r="AH194" s="72">
        <f t="shared" si="62"/>
        <v>719.69</v>
      </c>
      <c r="AI194" s="36">
        <v>8.2899999999999991</v>
      </c>
      <c r="AJ194" s="36">
        <v>69097.69</v>
      </c>
      <c r="AK194" s="71">
        <f t="shared" si="63"/>
        <v>8335.0651387213529</v>
      </c>
      <c r="AL194" s="71">
        <f t="shared" si="64"/>
        <v>8985.8069963811831</v>
      </c>
      <c r="AM194" s="72">
        <f t="shared" si="65"/>
        <v>650.74</v>
      </c>
      <c r="AN194" s="70">
        <v>13488</v>
      </c>
      <c r="AO194" s="70">
        <v>0</v>
      </c>
      <c r="AP194" s="3">
        <v>0</v>
      </c>
    </row>
    <row r="195" spans="1:42" s="3" customFormat="1" ht="15">
      <c r="A195" s="59" t="s">
        <v>566</v>
      </c>
      <c r="B195" s="59" t="s">
        <v>158</v>
      </c>
      <c r="C195" s="59" t="str">
        <f t="shared" si="67"/>
        <v>22105 ODESSA SCHOOL DISTRICT</v>
      </c>
      <c r="D195" s="36">
        <v>0</v>
      </c>
      <c r="E195" s="36">
        <v>0</v>
      </c>
      <c r="F195" s="36">
        <v>0</v>
      </c>
      <c r="G195" s="36">
        <v>308412.81</v>
      </c>
      <c r="H195" s="36">
        <v>60635.06</v>
      </c>
      <c r="I195" s="36">
        <v>0</v>
      </c>
      <c r="J195" s="36">
        <v>62912.07</v>
      </c>
      <c r="K195" s="36">
        <v>0</v>
      </c>
      <c r="L195" s="36">
        <v>6807.24</v>
      </c>
      <c r="M195" s="36">
        <v>373004.1</v>
      </c>
      <c r="N195" s="50">
        <v>2.6100000000000002E-2</v>
      </c>
      <c r="O195" s="53">
        <v>0.2112</v>
      </c>
      <c r="P195" s="36">
        <v>0</v>
      </c>
      <c r="Q195" s="69">
        <v>0</v>
      </c>
      <c r="R195" s="69">
        <v>0</v>
      </c>
      <c r="S195" s="70">
        <v>0</v>
      </c>
      <c r="T195" s="70">
        <v>0</v>
      </c>
      <c r="U195" s="70">
        <v>0</v>
      </c>
      <c r="V195" s="36">
        <v>0</v>
      </c>
      <c r="W195" s="70">
        <v>0</v>
      </c>
      <c r="X195" s="70">
        <v>0</v>
      </c>
      <c r="Y195" s="36">
        <v>0</v>
      </c>
      <c r="Z195" s="36">
        <v>0</v>
      </c>
      <c r="AA195" s="36">
        <v>0</v>
      </c>
      <c r="AB195" s="36">
        <v>0</v>
      </c>
      <c r="AC195" s="36">
        <v>131246.88</v>
      </c>
      <c r="AD195" s="36">
        <v>14.01</v>
      </c>
      <c r="AE195" s="36">
        <v>125353.3</v>
      </c>
      <c r="AF195" s="71">
        <f t="shared" si="60"/>
        <v>8947.4161313347613</v>
      </c>
      <c r="AG195" s="71">
        <f t="shared" si="61"/>
        <v>9368.0856531049249</v>
      </c>
      <c r="AH195" s="72">
        <f t="shared" si="62"/>
        <v>420.67</v>
      </c>
      <c r="AI195" s="36">
        <v>0</v>
      </c>
      <c r="AJ195" s="36">
        <v>0</v>
      </c>
      <c r="AK195" s="71">
        <f t="shared" si="63"/>
        <v>0</v>
      </c>
      <c r="AL195" s="71">
        <f t="shared" si="64"/>
        <v>0</v>
      </c>
      <c r="AM195" s="72">
        <f t="shared" si="65"/>
        <v>0</v>
      </c>
      <c r="AN195" s="70">
        <v>0</v>
      </c>
      <c r="AO195" s="70">
        <v>0</v>
      </c>
      <c r="AP195" s="3">
        <v>0</v>
      </c>
    </row>
    <row r="196" spans="1:42" s="3" customFormat="1" ht="15">
      <c r="A196" s="59" t="s">
        <v>579</v>
      </c>
      <c r="B196" s="59" t="s">
        <v>171</v>
      </c>
      <c r="C196" s="59" t="str">
        <f t="shared" si="67"/>
        <v>24105 OKANOGAN SCHOOL DISTRICT</v>
      </c>
      <c r="D196" s="36">
        <v>0</v>
      </c>
      <c r="E196" s="36">
        <v>31937.23</v>
      </c>
      <c r="F196" s="36">
        <v>23095.19</v>
      </c>
      <c r="G196" s="36">
        <v>1447125.76</v>
      </c>
      <c r="H196" s="36">
        <v>200724.9</v>
      </c>
      <c r="I196" s="36">
        <v>327412.34000000003</v>
      </c>
      <c r="J196" s="36">
        <v>500219.26</v>
      </c>
      <c r="K196" s="36">
        <v>152224.13</v>
      </c>
      <c r="L196" s="36">
        <v>32655.59</v>
      </c>
      <c r="M196" s="36">
        <v>710520.5</v>
      </c>
      <c r="N196" s="50">
        <v>2.9899999999999999E-2</v>
      </c>
      <c r="O196" s="53">
        <v>0.1961</v>
      </c>
      <c r="P196" s="36">
        <v>0</v>
      </c>
      <c r="Q196" s="69">
        <v>0</v>
      </c>
      <c r="R196" s="69">
        <v>0</v>
      </c>
      <c r="S196" s="70">
        <v>160279.06</v>
      </c>
      <c r="T196" s="70">
        <v>14619.576000000001</v>
      </c>
      <c r="U196" s="70">
        <v>5749.77</v>
      </c>
      <c r="V196" s="36">
        <v>0</v>
      </c>
      <c r="W196" s="70">
        <v>0</v>
      </c>
      <c r="X196" s="70">
        <v>0</v>
      </c>
      <c r="Y196" s="36">
        <v>0</v>
      </c>
      <c r="Z196" s="36">
        <v>5774.89</v>
      </c>
      <c r="AA196" s="36">
        <v>57822.76</v>
      </c>
      <c r="AB196" s="36">
        <v>61764.06</v>
      </c>
      <c r="AC196" s="36">
        <v>736788.42</v>
      </c>
      <c r="AD196" s="36">
        <v>79.73</v>
      </c>
      <c r="AE196" s="36">
        <v>698742.13</v>
      </c>
      <c r="AF196" s="71">
        <f t="shared" si="60"/>
        <v>8763.8546343910693</v>
      </c>
      <c r="AG196" s="71">
        <f t="shared" si="61"/>
        <v>9241.0437727329736</v>
      </c>
      <c r="AH196" s="72">
        <f t="shared" si="62"/>
        <v>477.19</v>
      </c>
      <c r="AI196" s="36">
        <v>6.72</v>
      </c>
      <c r="AJ196" s="36">
        <v>57115.24</v>
      </c>
      <c r="AK196" s="71">
        <f t="shared" si="63"/>
        <v>8499.2916666666661</v>
      </c>
      <c r="AL196" s="71">
        <f t="shared" si="64"/>
        <v>9191.0803571428569</v>
      </c>
      <c r="AM196" s="72">
        <f t="shared" si="65"/>
        <v>691.79</v>
      </c>
      <c r="AN196" s="70">
        <v>0</v>
      </c>
      <c r="AO196" s="70">
        <v>0</v>
      </c>
      <c r="AP196" s="3">
        <v>0</v>
      </c>
    </row>
    <row r="197" spans="1:42" s="3" customFormat="1" ht="15">
      <c r="A197" s="59" t="s">
        <v>663</v>
      </c>
      <c r="B197" s="59" t="s">
        <v>259</v>
      </c>
      <c r="C197" s="59" t="str">
        <f t="shared" si="67"/>
        <v>34111 OLYMPIA SCHOOL DISTRICT</v>
      </c>
      <c r="D197" s="36">
        <v>0</v>
      </c>
      <c r="E197" s="36">
        <v>171624.8</v>
      </c>
      <c r="F197" s="36">
        <v>8691</v>
      </c>
      <c r="G197" s="36">
        <v>15205609.42</v>
      </c>
      <c r="H197" s="36">
        <v>3352095.12</v>
      </c>
      <c r="I197" s="36">
        <v>191971.99</v>
      </c>
      <c r="J197" s="36">
        <v>1922610.69</v>
      </c>
      <c r="K197" s="36">
        <v>522121.39</v>
      </c>
      <c r="L197" s="36">
        <v>291973.02</v>
      </c>
      <c r="M197" s="36">
        <v>4701119.25</v>
      </c>
      <c r="N197" s="50">
        <v>2.8799999999999999E-2</v>
      </c>
      <c r="O197" s="53">
        <v>0.13700000000000001</v>
      </c>
      <c r="P197" s="36">
        <v>0</v>
      </c>
      <c r="Q197" s="69">
        <v>0</v>
      </c>
      <c r="R197" s="69">
        <v>0</v>
      </c>
      <c r="S197" s="70">
        <v>176057</v>
      </c>
      <c r="T197" s="70">
        <v>4731.2799999999843</v>
      </c>
      <c r="U197" s="70">
        <v>5831.24</v>
      </c>
      <c r="V197" s="36">
        <v>0</v>
      </c>
      <c r="W197" s="70">
        <v>0</v>
      </c>
      <c r="X197" s="70">
        <v>0</v>
      </c>
      <c r="Y197" s="36">
        <v>1591.27</v>
      </c>
      <c r="Z197" s="36">
        <v>60619.86</v>
      </c>
      <c r="AA197" s="36">
        <v>260435.25</v>
      </c>
      <c r="AB197" s="36">
        <v>1157193.02</v>
      </c>
      <c r="AC197" s="36">
        <v>5894731.0499999998</v>
      </c>
      <c r="AD197" s="36">
        <v>597.69000000000005</v>
      </c>
      <c r="AE197" s="36">
        <v>5237760.8099999996</v>
      </c>
      <c r="AF197" s="71">
        <f t="shared" si="60"/>
        <v>8763.3402098077586</v>
      </c>
      <c r="AG197" s="71">
        <f t="shared" si="61"/>
        <v>9862.5224614766848</v>
      </c>
      <c r="AH197" s="72">
        <f t="shared" si="62"/>
        <v>1099.18</v>
      </c>
      <c r="AI197" s="36">
        <v>126.24</v>
      </c>
      <c r="AJ197" s="36">
        <v>1073850.79</v>
      </c>
      <c r="AK197" s="71">
        <f t="shared" si="63"/>
        <v>8506.4226077313069</v>
      </c>
      <c r="AL197" s="71">
        <f t="shared" si="64"/>
        <v>9166.6113751584289</v>
      </c>
      <c r="AM197" s="72">
        <f t="shared" si="65"/>
        <v>660.19</v>
      </c>
      <c r="AN197" s="70">
        <v>24964.91</v>
      </c>
      <c r="AO197" s="70">
        <v>14025.75</v>
      </c>
      <c r="AP197" s="3">
        <v>0</v>
      </c>
    </row>
    <row r="198" spans="1:42" s="3" customFormat="1" ht="15">
      <c r="A198" s="59" t="s">
        <v>578</v>
      </c>
      <c r="B198" s="59" t="s">
        <v>170</v>
      </c>
      <c r="C198" s="59" t="str">
        <f t="shared" si="67"/>
        <v>24019 OMAK SCHOOL DISTRICT</v>
      </c>
      <c r="D198" s="36">
        <v>0</v>
      </c>
      <c r="E198" s="36">
        <v>0</v>
      </c>
      <c r="F198" s="36">
        <v>29073.919999999998</v>
      </c>
      <c r="G198" s="36">
        <v>7437078.2800000003</v>
      </c>
      <c r="H198" s="36">
        <v>1278957.3999999999</v>
      </c>
      <c r="I198" s="36">
        <v>1508081.61</v>
      </c>
      <c r="J198" s="36">
        <v>2312502.14</v>
      </c>
      <c r="K198" s="36">
        <v>532288.55000000005</v>
      </c>
      <c r="L198" s="36">
        <v>174829.07</v>
      </c>
      <c r="M198" s="36">
        <v>1033007.47</v>
      </c>
      <c r="N198" s="50">
        <v>2.5499999999999998E-2</v>
      </c>
      <c r="O198" s="53">
        <v>7.0300000000000001E-2</v>
      </c>
      <c r="P198" s="36">
        <v>0</v>
      </c>
      <c r="Q198" s="69">
        <v>0</v>
      </c>
      <c r="R198" s="69">
        <v>0</v>
      </c>
      <c r="S198" s="70">
        <v>0</v>
      </c>
      <c r="T198" s="70">
        <v>0</v>
      </c>
      <c r="U198" s="70">
        <v>0</v>
      </c>
      <c r="V198" s="36">
        <v>0</v>
      </c>
      <c r="W198" s="70">
        <v>0</v>
      </c>
      <c r="X198" s="70">
        <v>0</v>
      </c>
      <c r="Y198" s="36">
        <v>7014.69</v>
      </c>
      <c r="Z198" s="36">
        <v>13077.82</v>
      </c>
      <c r="AA198" s="36">
        <v>121098.54</v>
      </c>
      <c r="AB198" s="36">
        <v>91227.75</v>
      </c>
      <c r="AC198" s="36">
        <v>1415414.66</v>
      </c>
      <c r="AD198" s="36">
        <v>138.44999999999999</v>
      </c>
      <c r="AE198" s="36">
        <v>1189268.8999999999</v>
      </c>
      <c r="AF198" s="71">
        <f t="shared" si="60"/>
        <v>8589.8801011195374</v>
      </c>
      <c r="AG198" s="71">
        <f t="shared" si="61"/>
        <v>10223.291152040449</v>
      </c>
      <c r="AH198" s="72">
        <f t="shared" si="62"/>
        <v>1633.41</v>
      </c>
      <c r="AI198" s="36">
        <v>10.16</v>
      </c>
      <c r="AJ198" s="36">
        <v>84713.22</v>
      </c>
      <c r="AK198" s="71">
        <f t="shared" si="63"/>
        <v>8337.9153543307093</v>
      </c>
      <c r="AL198" s="71">
        <f t="shared" si="64"/>
        <v>8979.1092519685044</v>
      </c>
      <c r="AM198" s="72">
        <f t="shared" si="65"/>
        <v>641.19000000000005</v>
      </c>
      <c r="AN198" s="70">
        <v>0</v>
      </c>
      <c r="AO198" s="70">
        <v>0</v>
      </c>
      <c r="AP198" s="3">
        <v>0</v>
      </c>
    </row>
    <row r="199" spans="1:42" s="3" customFormat="1" ht="15">
      <c r="A199" s="59" t="s">
        <v>557</v>
      </c>
      <c r="B199" s="59" t="s">
        <v>149</v>
      </c>
      <c r="C199" s="59" t="str">
        <f t="shared" si="67"/>
        <v>21300 ONALASKA SCHOOL DISTRICT</v>
      </c>
      <c r="D199" s="36">
        <v>0</v>
      </c>
      <c r="E199" s="36">
        <v>28205.77</v>
      </c>
      <c r="F199" s="36">
        <v>22234.05</v>
      </c>
      <c r="G199" s="36">
        <v>1186274.98</v>
      </c>
      <c r="H199" s="36">
        <v>273441.09999999998</v>
      </c>
      <c r="I199" s="36">
        <v>240415.81</v>
      </c>
      <c r="J199" s="36">
        <v>294312.81</v>
      </c>
      <c r="K199" s="36">
        <v>39282.18</v>
      </c>
      <c r="L199" s="36">
        <v>24931.25</v>
      </c>
      <c r="M199" s="36">
        <v>699128.99</v>
      </c>
      <c r="N199" s="50">
        <v>3.2800000000000003E-2</v>
      </c>
      <c r="O199" s="53">
        <v>0.19120000000000001</v>
      </c>
      <c r="P199" s="36">
        <v>0</v>
      </c>
      <c r="Q199" s="69">
        <v>0</v>
      </c>
      <c r="R199" s="69">
        <v>0</v>
      </c>
      <c r="S199" s="70">
        <v>0</v>
      </c>
      <c r="T199" s="70">
        <v>0</v>
      </c>
      <c r="U199" s="70">
        <v>0</v>
      </c>
      <c r="V199" s="36">
        <v>0</v>
      </c>
      <c r="W199" s="70">
        <v>0</v>
      </c>
      <c r="X199" s="70">
        <v>0</v>
      </c>
      <c r="Y199" s="36">
        <v>982.28</v>
      </c>
      <c r="Z199" s="36">
        <v>3125.62</v>
      </c>
      <c r="AA199" s="36">
        <v>33117.440000000002</v>
      </c>
      <c r="AB199" s="36">
        <v>83256.240000000005</v>
      </c>
      <c r="AC199" s="36">
        <v>931496.82</v>
      </c>
      <c r="AD199" s="36">
        <v>102.43</v>
      </c>
      <c r="AE199" s="36">
        <v>880051.93</v>
      </c>
      <c r="AF199" s="71">
        <f t="shared" ref="AF199:AF262" si="68">IFERROR(AE199/AD199,0)</f>
        <v>8591.7400175729763</v>
      </c>
      <c r="AG199" s="71">
        <f t="shared" ref="AG199:AG262" si="69">IFERROR(AC199/AD199,0)</f>
        <v>9093.9843795762954</v>
      </c>
      <c r="AH199" s="72">
        <f t="shared" ref="AH199:AH262" si="70">ROUND(AG199-AF199,2)</f>
        <v>502.24</v>
      </c>
      <c r="AI199" s="36">
        <v>9.27</v>
      </c>
      <c r="AJ199" s="36">
        <v>77259.929999999993</v>
      </c>
      <c r="AK199" s="71">
        <f t="shared" ref="AK199:AK262" si="71">IFERROR(AJ199/AI199,0)</f>
        <v>8334.4045307443357</v>
      </c>
      <c r="AL199" s="71">
        <f t="shared" ref="AL199:AL262" si="72">IFERROR(AB199/AI199,0)</f>
        <v>8981.2556634304219</v>
      </c>
      <c r="AM199" s="72">
        <f t="shared" ref="AM199:AM262" si="73">ROUND(AL199-AK199,2)</f>
        <v>646.85</v>
      </c>
      <c r="AN199" s="70">
        <v>0</v>
      </c>
      <c r="AO199" s="70">
        <v>0</v>
      </c>
      <c r="AP199" s="3">
        <v>0</v>
      </c>
    </row>
    <row r="200" spans="1:42" s="3" customFormat="1" ht="15">
      <c r="A200" s="59" t="s">
        <v>650</v>
      </c>
      <c r="B200" s="61" t="s">
        <v>244</v>
      </c>
      <c r="C200" s="59" t="str">
        <f t="shared" si="67"/>
        <v>33030 ONION CREEK SCHOOL DISTRICT</v>
      </c>
      <c r="D200" s="36">
        <v>0</v>
      </c>
      <c r="E200" s="36">
        <v>0</v>
      </c>
      <c r="F200" s="36">
        <v>0</v>
      </c>
      <c r="G200" s="36">
        <v>51262.92</v>
      </c>
      <c r="H200" s="36">
        <v>5934.2</v>
      </c>
      <c r="I200" s="36">
        <v>14882.39</v>
      </c>
      <c r="J200" s="36">
        <v>25053.79</v>
      </c>
      <c r="K200" s="36">
        <v>0</v>
      </c>
      <c r="L200" s="36">
        <v>1177.75</v>
      </c>
      <c r="M200" s="36">
        <v>105375.03999999999</v>
      </c>
      <c r="N200" s="50">
        <v>5.9799999999999999E-2</v>
      </c>
      <c r="O200" s="53">
        <v>0.22869999999999999</v>
      </c>
      <c r="P200" s="36">
        <v>0</v>
      </c>
      <c r="Q200" s="69">
        <v>0</v>
      </c>
      <c r="R200" s="69">
        <v>0</v>
      </c>
      <c r="S200" s="70">
        <v>0</v>
      </c>
      <c r="T200" s="70">
        <v>0</v>
      </c>
      <c r="U200" s="70">
        <v>0</v>
      </c>
      <c r="V200" s="36">
        <v>0</v>
      </c>
      <c r="W200" s="70">
        <v>0</v>
      </c>
      <c r="X200" s="70">
        <v>0</v>
      </c>
      <c r="Y200" s="36">
        <v>0</v>
      </c>
      <c r="Z200" s="36">
        <v>0</v>
      </c>
      <c r="AA200" s="36">
        <v>0</v>
      </c>
      <c r="AB200" s="36">
        <v>0</v>
      </c>
      <c r="AC200" s="36">
        <v>0</v>
      </c>
      <c r="AD200" s="36">
        <v>0</v>
      </c>
      <c r="AE200" s="36">
        <v>0</v>
      </c>
      <c r="AF200" s="71">
        <f t="shared" si="68"/>
        <v>0</v>
      </c>
      <c r="AG200" s="71">
        <f t="shared" si="69"/>
        <v>0</v>
      </c>
      <c r="AH200" s="72">
        <f t="shared" si="70"/>
        <v>0</v>
      </c>
      <c r="AI200" s="36">
        <v>0</v>
      </c>
      <c r="AJ200" s="36">
        <v>0</v>
      </c>
      <c r="AK200" s="71">
        <f t="shared" si="71"/>
        <v>0</v>
      </c>
      <c r="AL200" s="71">
        <f t="shared" si="72"/>
        <v>0</v>
      </c>
      <c r="AM200" s="72">
        <f t="shared" si="73"/>
        <v>0</v>
      </c>
      <c r="AN200" s="70">
        <v>0</v>
      </c>
      <c r="AO200" s="70">
        <v>0</v>
      </c>
      <c r="AP200" s="3">
        <v>0</v>
      </c>
    </row>
    <row r="201" spans="1:42" s="3" customFormat="1" ht="15">
      <c r="A201" s="59" t="s">
        <v>609</v>
      </c>
      <c r="B201" s="59" t="s">
        <v>202</v>
      </c>
      <c r="C201" s="59" t="str">
        <f t="shared" si="67"/>
        <v>28137 ORCAS SCHOOL DISTRICT</v>
      </c>
      <c r="D201" s="36">
        <v>0</v>
      </c>
      <c r="E201" s="36">
        <v>0</v>
      </c>
      <c r="F201" s="36">
        <v>0</v>
      </c>
      <c r="G201" s="36">
        <v>1128656.8899999999</v>
      </c>
      <c r="H201" s="36">
        <v>118809.04</v>
      </c>
      <c r="I201" s="36">
        <v>0</v>
      </c>
      <c r="J201" s="36">
        <v>147176.24</v>
      </c>
      <c r="K201" s="36">
        <v>75851.360000000001</v>
      </c>
      <c r="L201" s="36">
        <v>22756.86</v>
      </c>
      <c r="M201" s="36">
        <v>193890.68</v>
      </c>
      <c r="N201" s="50">
        <v>6.9800000000000001E-2</v>
      </c>
      <c r="O201" s="53">
        <v>0.2301</v>
      </c>
      <c r="P201" s="36">
        <v>0</v>
      </c>
      <c r="Q201" s="69">
        <v>0</v>
      </c>
      <c r="R201" s="69">
        <v>0</v>
      </c>
      <c r="S201" s="70">
        <v>0</v>
      </c>
      <c r="T201" s="70">
        <v>0</v>
      </c>
      <c r="U201" s="70">
        <v>0</v>
      </c>
      <c r="V201" s="36">
        <v>0</v>
      </c>
      <c r="W201" s="70">
        <v>0</v>
      </c>
      <c r="X201" s="70">
        <v>0</v>
      </c>
      <c r="Y201" s="36">
        <v>0</v>
      </c>
      <c r="Z201" s="36">
        <v>0</v>
      </c>
      <c r="AA201" s="36">
        <v>0</v>
      </c>
      <c r="AB201" s="36">
        <v>0</v>
      </c>
      <c r="AC201" s="36">
        <v>58458.34</v>
      </c>
      <c r="AD201" s="36">
        <v>6</v>
      </c>
      <c r="AE201" s="36">
        <v>55837.599999999999</v>
      </c>
      <c r="AF201" s="71">
        <f t="shared" si="68"/>
        <v>9306.2666666666664</v>
      </c>
      <c r="AG201" s="71">
        <f t="shared" si="69"/>
        <v>9743.0566666666655</v>
      </c>
      <c r="AH201" s="72">
        <f t="shared" si="70"/>
        <v>436.79</v>
      </c>
      <c r="AI201" s="36">
        <v>0</v>
      </c>
      <c r="AJ201" s="36">
        <v>0</v>
      </c>
      <c r="AK201" s="71">
        <f t="shared" si="71"/>
        <v>0</v>
      </c>
      <c r="AL201" s="71">
        <f t="shared" si="72"/>
        <v>0</v>
      </c>
      <c r="AM201" s="72">
        <f t="shared" si="73"/>
        <v>0</v>
      </c>
      <c r="AN201" s="70">
        <v>2277.84</v>
      </c>
      <c r="AO201" s="70">
        <v>0</v>
      </c>
      <c r="AP201" s="3">
        <v>0</v>
      </c>
    </row>
    <row r="202" spans="1:42" s="3" customFormat="1" ht="15">
      <c r="A202" s="59" t="s">
        <v>638</v>
      </c>
      <c r="B202" s="59" t="s">
        <v>231</v>
      </c>
      <c r="C202" s="59" t="str">
        <f t="shared" si="67"/>
        <v>32123 ORCHARD PRAIRIE SCHOOL DISTRICT</v>
      </c>
      <c r="D202" s="36">
        <v>0</v>
      </c>
      <c r="E202" s="36">
        <v>0</v>
      </c>
      <c r="F202" s="36">
        <v>0</v>
      </c>
      <c r="G202" s="36">
        <v>40730.959999999999</v>
      </c>
      <c r="H202" s="36">
        <v>5791.1</v>
      </c>
      <c r="I202" s="36">
        <v>0</v>
      </c>
      <c r="J202" s="36">
        <v>5069</v>
      </c>
      <c r="K202" s="36">
        <v>0</v>
      </c>
      <c r="L202" s="36">
        <v>0</v>
      </c>
      <c r="M202" s="36">
        <v>30878.89</v>
      </c>
      <c r="N202" s="50">
        <v>5.4199999999999998E-2</v>
      </c>
      <c r="O202" s="53">
        <v>0.34710000000000002</v>
      </c>
      <c r="P202" s="36">
        <v>0</v>
      </c>
      <c r="Q202" s="69">
        <v>0</v>
      </c>
      <c r="R202" s="69">
        <v>0</v>
      </c>
      <c r="S202" s="70">
        <v>0</v>
      </c>
      <c r="T202" s="70">
        <v>0</v>
      </c>
      <c r="U202" s="70">
        <v>0</v>
      </c>
      <c r="V202" s="36">
        <v>0</v>
      </c>
      <c r="W202" s="70">
        <v>0</v>
      </c>
      <c r="X202" s="70">
        <v>0</v>
      </c>
      <c r="Y202" s="36">
        <v>83.45</v>
      </c>
      <c r="Z202" s="36">
        <v>0</v>
      </c>
      <c r="AA202" s="36">
        <v>0</v>
      </c>
      <c r="AB202" s="36">
        <v>0</v>
      </c>
      <c r="AC202" s="36">
        <v>0</v>
      </c>
      <c r="AD202" s="36">
        <v>0</v>
      </c>
      <c r="AE202" s="36">
        <v>0</v>
      </c>
      <c r="AF202" s="71">
        <f t="shared" si="68"/>
        <v>0</v>
      </c>
      <c r="AG202" s="71">
        <f t="shared" si="69"/>
        <v>0</v>
      </c>
      <c r="AH202" s="72">
        <f t="shared" si="70"/>
        <v>0</v>
      </c>
      <c r="AI202" s="36">
        <v>0</v>
      </c>
      <c r="AJ202" s="36">
        <v>0</v>
      </c>
      <c r="AK202" s="71">
        <f t="shared" si="71"/>
        <v>0</v>
      </c>
      <c r="AL202" s="71">
        <f t="shared" si="72"/>
        <v>0</v>
      </c>
      <c r="AM202" s="72">
        <f t="shared" si="73"/>
        <v>0</v>
      </c>
      <c r="AN202" s="70">
        <v>0</v>
      </c>
      <c r="AO202" s="70">
        <v>0</v>
      </c>
      <c r="AP202" s="3">
        <v>0</v>
      </c>
    </row>
    <row r="203" spans="1:42" s="3" customFormat="1" ht="15">
      <c r="A203" s="59" t="s">
        <v>470</v>
      </c>
      <c r="B203" s="59" t="s">
        <v>62</v>
      </c>
      <c r="C203" s="59" t="str">
        <f t="shared" si="67"/>
        <v>10065 ORIENT SCHOOL DISTRICT</v>
      </c>
      <c r="D203" s="36">
        <v>0</v>
      </c>
      <c r="E203" s="36">
        <v>0</v>
      </c>
      <c r="F203" s="36">
        <v>0</v>
      </c>
      <c r="G203" s="36">
        <v>54729.13</v>
      </c>
      <c r="H203" s="36">
        <v>6320.26</v>
      </c>
      <c r="I203" s="36">
        <v>10171.41</v>
      </c>
      <c r="J203" s="36">
        <v>15953.06</v>
      </c>
      <c r="K203" s="36">
        <v>0</v>
      </c>
      <c r="L203" s="36">
        <v>1177.75</v>
      </c>
      <c r="M203" s="36">
        <v>321239.71000000002</v>
      </c>
      <c r="N203" s="50">
        <v>6.4699999999999994E-2</v>
      </c>
      <c r="O203" s="53">
        <v>0.22670000000000001</v>
      </c>
      <c r="P203" s="36">
        <v>0</v>
      </c>
      <c r="Q203" s="69">
        <v>0</v>
      </c>
      <c r="R203" s="69">
        <v>0</v>
      </c>
      <c r="S203" s="70">
        <v>0</v>
      </c>
      <c r="T203" s="70">
        <v>0</v>
      </c>
      <c r="U203" s="70">
        <v>0</v>
      </c>
      <c r="V203" s="36">
        <v>0</v>
      </c>
      <c r="W203" s="70">
        <v>0</v>
      </c>
      <c r="X203" s="70">
        <v>0</v>
      </c>
      <c r="Y203" s="36">
        <v>0</v>
      </c>
      <c r="Z203" s="36">
        <v>0</v>
      </c>
      <c r="AA203" s="36">
        <v>0</v>
      </c>
      <c r="AB203" s="36">
        <v>0</v>
      </c>
      <c r="AC203" s="36">
        <v>0</v>
      </c>
      <c r="AD203" s="36">
        <v>0</v>
      </c>
      <c r="AE203" s="36">
        <v>0</v>
      </c>
      <c r="AF203" s="71">
        <f t="shared" si="68"/>
        <v>0</v>
      </c>
      <c r="AG203" s="71">
        <f t="shared" si="69"/>
        <v>0</v>
      </c>
      <c r="AH203" s="72">
        <f t="shared" si="70"/>
        <v>0</v>
      </c>
      <c r="AI203" s="36">
        <v>0</v>
      </c>
      <c r="AJ203" s="36">
        <v>0</v>
      </c>
      <c r="AK203" s="71">
        <f t="shared" si="71"/>
        <v>0</v>
      </c>
      <c r="AL203" s="71">
        <f t="shared" si="72"/>
        <v>0</v>
      </c>
      <c r="AM203" s="72">
        <f t="shared" si="73"/>
        <v>0</v>
      </c>
      <c r="AN203" s="70">
        <v>0</v>
      </c>
      <c r="AO203" s="70">
        <v>0</v>
      </c>
      <c r="AP203" s="3">
        <v>0</v>
      </c>
    </row>
    <row r="204" spans="1:42" s="3" customFormat="1" ht="15">
      <c r="A204" s="59" t="s">
        <v>462</v>
      </c>
      <c r="B204" s="59" t="s">
        <v>54</v>
      </c>
      <c r="C204" s="59" t="str">
        <f t="shared" si="67"/>
        <v>09013 ORONDO SCHOOL DISTRICT</v>
      </c>
      <c r="D204" s="36">
        <v>0</v>
      </c>
      <c r="E204" s="36">
        <v>3792.77</v>
      </c>
      <c r="F204" s="36">
        <v>3867.92</v>
      </c>
      <c r="G204" s="36">
        <v>0</v>
      </c>
      <c r="H204" s="36">
        <v>0</v>
      </c>
      <c r="I204" s="36">
        <v>41586.57</v>
      </c>
      <c r="J204" s="36">
        <v>80897.240000000005</v>
      </c>
      <c r="K204" s="36">
        <v>91658.38</v>
      </c>
      <c r="L204" s="36">
        <v>3517.27</v>
      </c>
      <c r="M204" s="36">
        <v>268555.08</v>
      </c>
      <c r="N204" s="50">
        <v>5.8099999999999999E-2</v>
      </c>
      <c r="O204" s="53">
        <v>0.2157</v>
      </c>
      <c r="P204" s="36">
        <v>0</v>
      </c>
      <c r="Q204" s="69">
        <v>0</v>
      </c>
      <c r="R204" s="69">
        <v>0</v>
      </c>
      <c r="S204" s="70">
        <v>0</v>
      </c>
      <c r="T204" s="70">
        <v>0</v>
      </c>
      <c r="U204" s="70">
        <v>0</v>
      </c>
      <c r="V204" s="36">
        <v>0</v>
      </c>
      <c r="W204" s="70">
        <v>0</v>
      </c>
      <c r="X204" s="70">
        <v>0</v>
      </c>
      <c r="Y204" s="36">
        <v>157.88999999999999</v>
      </c>
      <c r="Z204" s="36">
        <v>0</v>
      </c>
      <c r="AA204" s="36">
        <v>0</v>
      </c>
      <c r="AB204" s="36">
        <v>11238.08</v>
      </c>
      <c r="AC204" s="36">
        <v>0</v>
      </c>
      <c r="AD204" s="36">
        <v>0</v>
      </c>
      <c r="AE204" s="36">
        <v>0</v>
      </c>
      <c r="AF204" s="71">
        <f t="shared" si="68"/>
        <v>0</v>
      </c>
      <c r="AG204" s="71">
        <f t="shared" si="69"/>
        <v>0</v>
      </c>
      <c r="AH204" s="72">
        <f t="shared" si="70"/>
        <v>0</v>
      </c>
      <c r="AI204" s="36">
        <v>1.26</v>
      </c>
      <c r="AJ204" s="36">
        <v>10492.43</v>
      </c>
      <c r="AK204" s="71">
        <f t="shared" si="71"/>
        <v>8327.3253968253975</v>
      </c>
      <c r="AL204" s="71">
        <f t="shared" si="72"/>
        <v>8919.1111111111113</v>
      </c>
      <c r="AM204" s="72">
        <f t="shared" si="73"/>
        <v>591.79</v>
      </c>
      <c r="AN204" s="70">
        <v>0</v>
      </c>
      <c r="AO204" s="70">
        <v>0</v>
      </c>
      <c r="AP204" s="3">
        <v>0</v>
      </c>
    </row>
    <row r="205" spans="1:42" s="3" customFormat="1" ht="15">
      <c r="A205" s="59" t="s">
        <v>584</v>
      </c>
      <c r="B205" s="59" t="s">
        <v>176</v>
      </c>
      <c r="C205" s="59" t="str">
        <f t="shared" si="67"/>
        <v>24410 OROVILLE SCHOOL DISTRICT</v>
      </c>
      <c r="D205" s="36">
        <v>0</v>
      </c>
      <c r="E205" s="36">
        <v>0</v>
      </c>
      <c r="F205" s="36">
        <v>0</v>
      </c>
      <c r="G205" s="36">
        <v>568933.1</v>
      </c>
      <c r="H205" s="36">
        <v>94000.12</v>
      </c>
      <c r="I205" s="36">
        <v>73966.149999999994</v>
      </c>
      <c r="J205" s="36">
        <v>248381.39</v>
      </c>
      <c r="K205" s="36">
        <v>107290.04</v>
      </c>
      <c r="L205" s="36">
        <v>0</v>
      </c>
      <c r="M205" s="36">
        <v>267121.44</v>
      </c>
      <c r="N205" s="50">
        <v>4.1200000000000001E-2</v>
      </c>
      <c r="O205" s="53">
        <v>0.2666</v>
      </c>
      <c r="P205" s="36">
        <v>0</v>
      </c>
      <c r="Q205" s="69">
        <v>0</v>
      </c>
      <c r="R205" s="69">
        <v>0</v>
      </c>
      <c r="S205" s="70">
        <v>0</v>
      </c>
      <c r="T205" s="70">
        <v>0</v>
      </c>
      <c r="U205" s="70">
        <v>0</v>
      </c>
      <c r="V205" s="36">
        <v>0</v>
      </c>
      <c r="W205" s="70">
        <v>0</v>
      </c>
      <c r="X205" s="70">
        <v>0</v>
      </c>
      <c r="Y205" s="36">
        <v>0</v>
      </c>
      <c r="Z205" s="36">
        <v>0</v>
      </c>
      <c r="AA205" s="36">
        <v>0</v>
      </c>
      <c r="AB205" s="36">
        <v>37880.769999999997</v>
      </c>
      <c r="AC205" s="36">
        <v>186232.79</v>
      </c>
      <c r="AD205" s="36">
        <v>19.920000000000002</v>
      </c>
      <c r="AE205" s="36">
        <v>171158.1</v>
      </c>
      <c r="AF205" s="71">
        <f t="shared" si="68"/>
        <v>8592.2740963855413</v>
      </c>
      <c r="AG205" s="71">
        <f t="shared" si="69"/>
        <v>9349.0356425702812</v>
      </c>
      <c r="AH205" s="72">
        <f t="shared" si="70"/>
        <v>756.76</v>
      </c>
      <c r="AI205" s="36">
        <v>4.21</v>
      </c>
      <c r="AJ205" s="36">
        <v>35097.58</v>
      </c>
      <c r="AK205" s="71">
        <f t="shared" si="71"/>
        <v>8336.7173396674589</v>
      </c>
      <c r="AL205" s="71">
        <f t="shared" si="72"/>
        <v>8997.8076009501183</v>
      </c>
      <c r="AM205" s="72">
        <f t="shared" si="73"/>
        <v>661.09</v>
      </c>
      <c r="AN205" s="70">
        <v>0</v>
      </c>
      <c r="AO205" s="70">
        <v>0</v>
      </c>
      <c r="AP205" s="3">
        <v>0</v>
      </c>
    </row>
    <row r="206" spans="1:42" s="3" customFormat="1" ht="15">
      <c r="A206" s="59" t="s">
        <v>600</v>
      </c>
      <c r="B206" s="59" t="s">
        <v>193</v>
      </c>
      <c r="C206" s="59" t="str">
        <f t="shared" si="67"/>
        <v>27344 ORTING SCHOOL DISTRICT</v>
      </c>
      <c r="D206" s="36">
        <v>0</v>
      </c>
      <c r="E206" s="36">
        <v>0</v>
      </c>
      <c r="F206" s="36">
        <v>0</v>
      </c>
      <c r="G206" s="36">
        <v>4623001.71</v>
      </c>
      <c r="H206" s="36">
        <v>775055.12</v>
      </c>
      <c r="I206" s="36">
        <v>0</v>
      </c>
      <c r="J206" s="36">
        <v>507268.3</v>
      </c>
      <c r="K206" s="36">
        <v>192873.68</v>
      </c>
      <c r="L206" s="36">
        <v>84617.33</v>
      </c>
      <c r="M206" s="36">
        <v>1923862.22</v>
      </c>
      <c r="N206" s="50">
        <v>3.9699999999999999E-2</v>
      </c>
      <c r="O206" s="53">
        <v>0.192</v>
      </c>
      <c r="P206" s="36">
        <v>0</v>
      </c>
      <c r="Q206" s="69">
        <v>0</v>
      </c>
      <c r="R206" s="69">
        <v>0</v>
      </c>
      <c r="S206" s="70">
        <v>0</v>
      </c>
      <c r="T206" s="70">
        <v>0</v>
      </c>
      <c r="U206" s="70">
        <v>0</v>
      </c>
      <c r="V206" s="36">
        <v>0</v>
      </c>
      <c r="W206" s="70">
        <v>0</v>
      </c>
      <c r="X206" s="70">
        <v>0</v>
      </c>
      <c r="Y206" s="36">
        <v>3146.46</v>
      </c>
      <c r="Z206" s="36">
        <v>0</v>
      </c>
      <c r="AA206" s="36">
        <v>14230.48</v>
      </c>
      <c r="AB206" s="36">
        <v>476587.12</v>
      </c>
      <c r="AC206" s="36">
        <v>2254477.86</v>
      </c>
      <c r="AD206" s="36">
        <v>237.51</v>
      </c>
      <c r="AE206" s="36">
        <v>2125406.2200000002</v>
      </c>
      <c r="AF206" s="71">
        <f t="shared" si="68"/>
        <v>8948.7020335985871</v>
      </c>
      <c r="AG206" s="71">
        <f t="shared" si="69"/>
        <v>9492.1386888973102</v>
      </c>
      <c r="AH206" s="72">
        <f t="shared" si="70"/>
        <v>543.44000000000005</v>
      </c>
      <c r="AI206" s="36">
        <v>50.92</v>
      </c>
      <c r="AJ206" s="36">
        <v>442655.12</v>
      </c>
      <c r="AK206" s="71">
        <f t="shared" si="71"/>
        <v>8693.148468185389</v>
      </c>
      <c r="AL206" s="71">
        <f t="shared" si="72"/>
        <v>9359.5271013354286</v>
      </c>
      <c r="AM206" s="72">
        <f t="shared" si="73"/>
        <v>666.38</v>
      </c>
      <c r="AN206" s="70">
        <v>0</v>
      </c>
      <c r="AO206" s="70">
        <v>0</v>
      </c>
      <c r="AP206" s="3">
        <v>0</v>
      </c>
    </row>
    <row r="207" spans="1:42" s="3" customFormat="1" ht="15">
      <c r="A207" s="59" t="s">
        <v>422</v>
      </c>
      <c r="B207" s="59" t="s">
        <v>14</v>
      </c>
      <c r="C207" s="59" t="str">
        <f t="shared" si="67"/>
        <v>01147 OTHELLO SCHOOL DISTRICT</v>
      </c>
      <c r="D207" s="36">
        <v>512381.65</v>
      </c>
      <c r="E207" s="36">
        <v>162805.06</v>
      </c>
      <c r="F207" s="36">
        <v>124075.59</v>
      </c>
      <c r="G207" s="36">
        <v>5836244.7000000002</v>
      </c>
      <c r="H207" s="36">
        <v>1107982.8999999999</v>
      </c>
      <c r="I207" s="36">
        <v>1303873</v>
      </c>
      <c r="J207" s="36">
        <v>2399089.0699999998</v>
      </c>
      <c r="K207" s="36">
        <v>3059847.09</v>
      </c>
      <c r="L207" s="36">
        <v>135621.84</v>
      </c>
      <c r="M207" s="36">
        <v>2648572.73</v>
      </c>
      <c r="N207" s="50">
        <v>5.5300000000000002E-2</v>
      </c>
      <c r="O207" s="53">
        <v>0.15110000000000001</v>
      </c>
      <c r="P207" s="36">
        <v>0</v>
      </c>
      <c r="Q207" s="69">
        <v>0</v>
      </c>
      <c r="R207" s="69">
        <v>0</v>
      </c>
      <c r="S207" s="70">
        <v>0</v>
      </c>
      <c r="T207" s="70">
        <v>0</v>
      </c>
      <c r="U207" s="70">
        <v>0</v>
      </c>
      <c r="V207" s="36">
        <v>0</v>
      </c>
      <c r="W207" s="70">
        <v>0</v>
      </c>
      <c r="X207" s="70">
        <v>0</v>
      </c>
      <c r="Y207" s="36">
        <v>0</v>
      </c>
      <c r="Z207" s="36">
        <v>0</v>
      </c>
      <c r="AA207" s="36">
        <v>77026.2</v>
      </c>
      <c r="AB207" s="36">
        <v>166491.14000000001</v>
      </c>
      <c r="AC207" s="36">
        <v>2324943.38</v>
      </c>
      <c r="AD207" s="36">
        <v>251.98</v>
      </c>
      <c r="AE207" s="36">
        <v>2164456.5099999998</v>
      </c>
      <c r="AF207" s="71">
        <f t="shared" si="68"/>
        <v>8589.7948646717996</v>
      </c>
      <c r="AG207" s="71">
        <f t="shared" si="69"/>
        <v>9226.6980712754976</v>
      </c>
      <c r="AH207" s="72">
        <f t="shared" si="70"/>
        <v>636.9</v>
      </c>
      <c r="AI207" s="36">
        <v>18.54</v>
      </c>
      <c r="AJ207" s="36">
        <v>154601.44</v>
      </c>
      <c r="AK207" s="71">
        <f t="shared" si="71"/>
        <v>8338.8047464940682</v>
      </c>
      <c r="AL207" s="71">
        <f t="shared" si="72"/>
        <v>8980.1046386192029</v>
      </c>
      <c r="AM207" s="72">
        <f t="shared" si="73"/>
        <v>641.29999999999995</v>
      </c>
      <c r="AN207" s="70">
        <v>3000</v>
      </c>
      <c r="AO207" s="70">
        <v>0</v>
      </c>
      <c r="AP207" s="3">
        <v>0</v>
      </c>
    </row>
    <row r="208" spans="1:42" s="3" customFormat="1" ht="15">
      <c r="A208" s="59" t="s">
        <v>464</v>
      </c>
      <c r="B208" s="59" t="s">
        <v>56</v>
      </c>
      <c r="C208" s="59" t="str">
        <f t="shared" si="67"/>
        <v>09102 PALISADES SCHOOL DISTRICT</v>
      </c>
      <c r="D208" s="36">
        <v>4286.68</v>
      </c>
      <c r="E208" s="36">
        <v>701.3</v>
      </c>
      <c r="F208" s="36">
        <v>55.05</v>
      </c>
      <c r="G208" s="36">
        <v>36947.11</v>
      </c>
      <c r="H208" s="36">
        <v>936.63</v>
      </c>
      <c r="I208" s="36">
        <v>6724.2</v>
      </c>
      <c r="J208" s="36">
        <v>13448.38</v>
      </c>
      <c r="K208" s="36">
        <v>13500.07</v>
      </c>
      <c r="L208" s="36">
        <v>827.6</v>
      </c>
      <c r="M208" s="36">
        <v>77742.48</v>
      </c>
      <c r="N208" s="50">
        <v>0.22059999999999999</v>
      </c>
      <c r="O208" s="53">
        <v>0.46439999999999998</v>
      </c>
      <c r="P208" s="36">
        <v>0</v>
      </c>
      <c r="Q208" s="69">
        <v>0</v>
      </c>
      <c r="R208" s="69">
        <v>0</v>
      </c>
      <c r="S208" s="70">
        <v>0</v>
      </c>
      <c r="T208" s="70">
        <v>0</v>
      </c>
      <c r="U208" s="70">
        <v>0</v>
      </c>
      <c r="V208" s="36">
        <v>0</v>
      </c>
      <c r="W208" s="70">
        <v>0</v>
      </c>
      <c r="X208" s="70">
        <v>0</v>
      </c>
      <c r="Y208" s="36">
        <v>0</v>
      </c>
      <c r="Z208" s="36">
        <v>0</v>
      </c>
      <c r="AA208" s="36">
        <v>0</v>
      </c>
      <c r="AB208" s="36">
        <v>0</v>
      </c>
      <c r="AC208" s="36">
        <v>0</v>
      </c>
      <c r="AD208" s="36">
        <v>0</v>
      </c>
      <c r="AE208" s="36">
        <v>0</v>
      </c>
      <c r="AF208" s="71">
        <f t="shared" si="68"/>
        <v>0</v>
      </c>
      <c r="AG208" s="71">
        <f t="shared" si="69"/>
        <v>0</v>
      </c>
      <c r="AH208" s="72">
        <f t="shared" si="70"/>
        <v>0</v>
      </c>
      <c r="AI208" s="36">
        <v>0</v>
      </c>
      <c r="AJ208" s="36">
        <v>0</v>
      </c>
      <c r="AK208" s="71">
        <f t="shared" si="71"/>
        <v>0</v>
      </c>
      <c r="AL208" s="71">
        <f t="shared" si="72"/>
        <v>0</v>
      </c>
      <c r="AM208" s="72">
        <f t="shared" si="73"/>
        <v>0</v>
      </c>
      <c r="AN208" s="70">
        <v>0</v>
      </c>
      <c r="AO208" s="70">
        <v>0</v>
      </c>
      <c r="AP208" s="3">
        <v>0</v>
      </c>
    </row>
    <row r="209" spans="1:42" s="3" customFormat="1" ht="15">
      <c r="A209" s="59" t="s">
        <v>688</v>
      </c>
      <c r="B209" s="59" t="s">
        <v>284</v>
      </c>
      <c r="C209" s="59" t="str">
        <f t="shared" si="67"/>
        <v>38301 PALOUSE SCHOOL DISTRICT</v>
      </c>
      <c r="D209" s="36">
        <v>0</v>
      </c>
      <c r="E209" s="36">
        <v>0</v>
      </c>
      <c r="F209" s="36">
        <v>0</v>
      </c>
      <c r="G209" s="36">
        <v>210254.04</v>
      </c>
      <c r="H209" s="36">
        <v>24776.21</v>
      </c>
      <c r="I209" s="36">
        <v>0</v>
      </c>
      <c r="J209" s="36">
        <v>37448.589999999997</v>
      </c>
      <c r="K209" s="36">
        <v>0</v>
      </c>
      <c r="L209" s="36">
        <v>0</v>
      </c>
      <c r="M209" s="36">
        <v>0</v>
      </c>
      <c r="N209" s="50">
        <v>0</v>
      </c>
      <c r="O209" s="53">
        <v>0.2626</v>
      </c>
      <c r="P209" s="36">
        <v>0</v>
      </c>
      <c r="Q209" s="69">
        <v>0</v>
      </c>
      <c r="R209" s="69">
        <v>0</v>
      </c>
      <c r="S209" s="70">
        <v>0</v>
      </c>
      <c r="T209" s="70">
        <v>0</v>
      </c>
      <c r="U209" s="70">
        <v>0</v>
      </c>
      <c r="V209" s="36">
        <v>0</v>
      </c>
      <c r="W209" s="70">
        <v>0</v>
      </c>
      <c r="X209" s="70">
        <v>0</v>
      </c>
      <c r="Y209" s="36">
        <v>0</v>
      </c>
      <c r="Z209" s="36">
        <v>0</v>
      </c>
      <c r="AA209" s="36">
        <v>0</v>
      </c>
      <c r="AB209" s="36">
        <v>0</v>
      </c>
      <c r="AC209" s="36">
        <v>68160.63</v>
      </c>
      <c r="AD209" s="36">
        <v>7.59</v>
      </c>
      <c r="AE209" s="36">
        <v>65253.3</v>
      </c>
      <c r="AF209" s="71">
        <f t="shared" si="68"/>
        <v>8597.2727272727279</v>
      </c>
      <c r="AG209" s="71">
        <f t="shared" si="69"/>
        <v>8980.3201581027679</v>
      </c>
      <c r="AH209" s="72">
        <f t="shared" si="70"/>
        <v>383.05</v>
      </c>
      <c r="AI209" s="36">
        <v>0</v>
      </c>
      <c r="AJ209" s="36">
        <v>0</v>
      </c>
      <c r="AK209" s="71">
        <f t="shared" si="71"/>
        <v>0</v>
      </c>
      <c r="AL209" s="71">
        <f t="shared" si="72"/>
        <v>0</v>
      </c>
      <c r="AM209" s="72">
        <f t="shared" si="73"/>
        <v>0</v>
      </c>
      <c r="AN209" s="70">
        <v>0</v>
      </c>
      <c r="AO209" s="70">
        <v>0</v>
      </c>
      <c r="AP209" s="3">
        <v>0</v>
      </c>
    </row>
    <row r="210" spans="1:42" s="3" customFormat="1" ht="15">
      <c r="A210" s="59" t="s">
        <v>473</v>
      </c>
      <c r="B210" s="59" t="s">
        <v>65</v>
      </c>
      <c r="C210" s="59" t="str">
        <f t="shared" si="67"/>
        <v>11001 PASCO SCHOOL DISTRICT</v>
      </c>
      <c r="D210" s="36">
        <v>0</v>
      </c>
      <c r="E210" s="36">
        <v>268778.23</v>
      </c>
      <c r="F210" s="36">
        <v>446043.55</v>
      </c>
      <c r="G210" s="36">
        <v>23386628</v>
      </c>
      <c r="H210" s="36">
        <v>5916223.0199999996</v>
      </c>
      <c r="I210" s="36">
        <v>4908144.5999999996</v>
      </c>
      <c r="J210" s="36">
        <v>8737211.1799999997</v>
      </c>
      <c r="K210" s="36">
        <v>10420329.859999999</v>
      </c>
      <c r="L210" s="36">
        <v>537107.96</v>
      </c>
      <c r="M210" s="36">
        <v>8405910.3000000007</v>
      </c>
      <c r="N210" s="50">
        <v>2.7199999999999998E-2</v>
      </c>
      <c r="O210" s="53">
        <v>0.113</v>
      </c>
      <c r="P210" s="36">
        <v>0</v>
      </c>
      <c r="Q210" s="69">
        <v>0</v>
      </c>
      <c r="R210" s="69">
        <v>0</v>
      </c>
      <c r="S210" s="70">
        <v>0</v>
      </c>
      <c r="T210" s="70">
        <v>0</v>
      </c>
      <c r="U210" s="70">
        <v>0</v>
      </c>
      <c r="V210" s="36">
        <v>0</v>
      </c>
      <c r="W210" s="70">
        <v>0</v>
      </c>
      <c r="X210" s="70">
        <v>0</v>
      </c>
      <c r="Y210" s="36">
        <v>0</v>
      </c>
      <c r="Z210" s="36">
        <v>2274.4699999999998</v>
      </c>
      <c r="AA210" s="36">
        <v>666706.54</v>
      </c>
      <c r="AB210" s="36">
        <v>1334350.0900000001</v>
      </c>
      <c r="AC210" s="36">
        <v>9406576.7100000009</v>
      </c>
      <c r="AD210" s="36">
        <v>1019.86</v>
      </c>
      <c r="AE210" s="36">
        <v>8760814</v>
      </c>
      <c r="AF210" s="71">
        <f t="shared" si="68"/>
        <v>8590.2123820916604</v>
      </c>
      <c r="AG210" s="71">
        <f t="shared" si="69"/>
        <v>9223.3999862726268</v>
      </c>
      <c r="AH210" s="72">
        <f t="shared" si="70"/>
        <v>633.19000000000005</v>
      </c>
      <c r="AI210" s="36">
        <v>148.66</v>
      </c>
      <c r="AJ210" s="36">
        <v>1239174.97</v>
      </c>
      <c r="AK210" s="71">
        <f t="shared" si="71"/>
        <v>8335.6314408717881</v>
      </c>
      <c r="AL210" s="71">
        <f t="shared" si="72"/>
        <v>8975.8515404278223</v>
      </c>
      <c r="AM210" s="72">
        <f t="shared" si="73"/>
        <v>640.22</v>
      </c>
      <c r="AN210" s="70">
        <v>0</v>
      </c>
      <c r="AO210" s="70">
        <v>0</v>
      </c>
      <c r="AP210" s="3">
        <v>0</v>
      </c>
    </row>
    <row r="211" spans="1:42" s="3" customFormat="1" ht="15">
      <c r="A211" s="59" t="s">
        <v>581</v>
      </c>
      <c r="B211" s="59" t="s">
        <v>173</v>
      </c>
      <c r="C211" s="59" t="str">
        <f t="shared" si="67"/>
        <v>24122 PATEROS SCHOOL DISTRICT</v>
      </c>
      <c r="D211" s="36">
        <v>0</v>
      </c>
      <c r="E211" s="36">
        <v>13082.77</v>
      </c>
      <c r="F211" s="36">
        <v>5583.37</v>
      </c>
      <c r="G211" s="36">
        <v>341180.65</v>
      </c>
      <c r="H211" s="36">
        <v>57232.71</v>
      </c>
      <c r="I211" s="36">
        <v>89829.61</v>
      </c>
      <c r="J211" s="36">
        <v>145825.91</v>
      </c>
      <c r="K211" s="36">
        <v>48535.24</v>
      </c>
      <c r="L211" s="36">
        <v>8137.13</v>
      </c>
      <c r="M211" s="36">
        <v>223444.33</v>
      </c>
      <c r="N211" s="50">
        <v>3.6299999999999999E-2</v>
      </c>
      <c r="O211" s="53">
        <v>0.24060000000000001</v>
      </c>
      <c r="P211" s="36">
        <v>0</v>
      </c>
      <c r="Q211" s="69">
        <v>0</v>
      </c>
      <c r="R211" s="69">
        <v>0</v>
      </c>
      <c r="S211" s="70">
        <v>0</v>
      </c>
      <c r="T211" s="70">
        <v>0</v>
      </c>
      <c r="U211" s="70">
        <v>0</v>
      </c>
      <c r="V211" s="36">
        <v>0</v>
      </c>
      <c r="W211" s="70">
        <v>0</v>
      </c>
      <c r="X211" s="70">
        <v>0</v>
      </c>
      <c r="Y211" s="36">
        <v>0</v>
      </c>
      <c r="Z211" s="36">
        <v>0</v>
      </c>
      <c r="AA211" s="36">
        <v>0</v>
      </c>
      <c r="AB211" s="36">
        <v>4147.75</v>
      </c>
      <c r="AC211" s="36">
        <v>103081</v>
      </c>
      <c r="AD211" s="36">
        <v>10.210000000000001</v>
      </c>
      <c r="AE211" s="36">
        <v>89420.55</v>
      </c>
      <c r="AF211" s="71">
        <f t="shared" si="68"/>
        <v>8758.134182174339</v>
      </c>
      <c r="AG211" s="71">
        <f t="shared" si="69"/>
        <v>10096.082272282076</v>
      </c>
      <c r="AH211" s="72">
        <f t="shared" si="70"/>
        <v>1337.95</v>
      </c>
      <c r="AI211" s="36">
        <v>0.46</v>
      </c>
      <c r="AJ211" s="36">
        <v>3720.05</v>
      </c>
      <c r="AK211" s="71">
        <f t="shared" si="71"/>
        <v>8087.065217391304</v>
      </c>
      <c r="AL211" s="71">
        <f t="shared" si="72"/>
        <v>9016.847826086956</v>
      </c>
      <c r="AM211" s="72">
        <f t="shared" si="73"/>
        <v>929.78</v>
      </c>
      <c r="AN211" s="70">
        <v>0</v>
      </c>
      <c r="AO211" s="70">
        <v>0</v>
      </c>
      <c r="AP211" s="3">
        <v>0</v>
      </c>
    </row>
    <row r="212" spans="1:42" s="3" customFormat="1" ht="15">
      <c r="A212" s="59" t="s">
        <v>428</v>
      </c>
      <c r="B212" s="59" t="s">
        <v>20</v>
      </c>
      <c r="C212" s="59" t="str">
        <f t="shared" si="67"/>
        <v>03050 PATERSON SCHOOL DISTRICT</v>
      </c>
      <c r="D212" s="36">
        <v>17822.53</v>
      </c>
      <c r="E212" s="36">
        <v>5839.4</v>
      </c>
      <c r="F212" s="36">
        <v>1580.04</v>
      </c>
      <c r="G212" s="36">
        <v>221854.09</v>
      </c>
      <c r="H212" s="36">
        <v>19410.919999999998</v>
      </c>
      <c r="I212" s="36">
        <v>42724.49</v>
      </c>
      <c r="J212" s="36">
        <v>93104.23</v>
      </c>
      <c r="K212" s="36">
        <v>46691.98</v>
      </c>
      <c r="L212" s="36">
        <v>0</v>
      </c>
      <c r="M212" s="36">
        <v>364069.17</v>
      </c>
      <c r="N212" s="50">
        <v>5.1999999999999998E-2</v>
      </c>
      <c r="O212" s="53">
        <v>0.27829999999999999</v>
      </c>
      <c r="P212" s="36">
        <v>0</v>
      </c>
      <c r="Q212" s="69">
        <v>0</v>
      </c>
      <c r="R212" s="69">
        <v>0</v>
      </c>
      <c r="S212" s="70">
        <v>0</v>
      </c>
      <c r="T212" s="70">
        <v>0</v>
      </c>
      <c r="U212" s="70">
        <v>0</v>
      </c>
      <c r="V212" s="36">
        <v>0</v>
      </c>
      <c r="W212" s="70">
        <v>0</v>
      </c>
      <c r="X212" s="70">
        <v>0</v>
      </c>
      <c r="Y212" s="36">
        <v>163.53</v>
      </c>
      <c r="Z212" s="36">
        <v>0</v>
      </c>
      <c r="AA212" s="36">
        <v>0</v>
      </c>
      <c r="AB212" s="36">
        <v>96970.44</v>
      </c>
      <c r="AC212" s="36">
        <v>0</v>
      </c>
      <c r="AD212" s="36">
        <v>0</v>
      </c>
      <c r="AE212" s="36">
        <v>0</v>
      </c>
      <c r="AF212" s="71">
        <f t="shared" si="68"/>
        <v>0</v>
      </c>
      <c r="AG212" s="71">
        <f t="shared" si="69"/>
        <v>0</v>
      </c>
      <c r="AH212" s="72">
        <f t="shared" si="70"/>
        <v>0</v>
      </c>
      <c r="AI212" s="36">
        <v>10.8</v>
      </c>
      <c r="AJ212" s="36">
        <v>89942.28</v>
      </c>
      <c r="AK212" s="71">
        <f t="shared" si="71"/>
        <v>8327.9888888888891</v>
      </c>
      <c r="AL212" s="71">
        <f t="shared" si="72"/>
        <v>8978.7444444444445</v>
      </c>
      <c r="AM212" s="72">
        <f t="shared" si="73"/>
        <v>650.76</v>
      </c>
      <c r="AN212" s="70">
        <v>0</v>
      </c>
      <c r="AO212" s="70">
        <v>0</v>
      </c>
      <c r="AP212" s="3">
        <v>0</v>
      </c>
    </row>
    <row r="213" spans="1:42" s="3" customFormat="1" ht="15">
      <c r="A213" s="59" t="s">
        <v>558</v>
      </c>
      <c r="B213" s="59" t="s">
        <v>150</v>
      </c>
      <c r="C213" s="59" t="str">
        <f t="shared" si="67"/>
        <v>21301 PE ELL SCHOOL DISTRICT</v>
      </c>
      <c r="D213" s="36">
        <v>0</v>
      </c>
      <c r="E213" s="36">
        <v>470.33</v>
      </c>
      <c r="F213" s="36">
        <v>1002.13</v>
      </c>
      <c r="G213" s="36">
        <v>401149.82</v>
      </c>
      <c r="H213" s="36">
        <v>98964.74</v>
      </c>
      <c r="I213" s="36">
        <v>77730.990000000005</v>
      </c>
      <c r="J213" s="36">
        <v>100215.16</v>
      </c>
      <c r="K213" s="36">
        <v>0</v>
      </c>
      <c r="L213" s="36">
        <v>8137.13</v>
      </c>
      <c r="M213" s="36">
        <v>139693.13</v>
      </c>
      <c r="N213" s="50">
        <v>1.8800000000000001E-2</v>
      </c>
      <c r="O213" s="53">
        <v>0.19339999999999999</v>
      </c>
      <c r="P213" s="36">
        <v>0</v>
      </c>
      <c r="Q213" s="69">
        <v>0</v>
      </c>
      <c r="R213" s="69">
        <v>0</v>
      </c>
      <c r="S213" s="70">
        <v>0</v>
      </c>
      <c r="T213" s="70">
        <v>0</v>
      </c>
      <c r="U213" s="70">
        <v>0</v>
      </c>
      <c r="V213" s="36">
        <v>0</v>
      </c>
      <c r="W213" s="70">
        <v>0</v>
      </c>
      <c r="X213" s="70">
        <v>0</v>
      </c>
      <c r="Y213" s="36">
        <v>0</v>
      </c>
      <c r="Z213" s="36">
        <v>1458.74</v>
      </c>
      <c r="AA213" s="36">
        <v>0</v>
      </c>
      <c r="AB213" s="36">
        <v>89446.33</v>
      </c>
      <c r="AC213" s="36">
        <v>145525.95000000001</v>
      </c>
      <c r="AD213" s="36">
        <v>15.86</v>
      </c>
      <c r="AE213" s="36">
        <v>138957.12</v>
      </c>
      <c r="AF213" s="71">
        <f t="shared" si="68"/>
        <v>8761.4829760403536</v>
      </c>
      <c r="AG213" s="71">
        <f t="shared" si="69"/>
        <v>9175.6588902900385</v>
      </c>
      <c r="AH213" s="72">
        <f t="shared" si="70"/>
        <v>414.18</v>
      </c>
      <c r="AI213" s="36">
        <v>9.75</v>
      </c>
      <c r="AJ213" s="36">
        <v>82995.42</v>
      </c>
      <c r="AK213" s="71">
        <f t="shared" si="71"/>
        <v>8512.3507692307685</v>
      </c>
      <c r="AL213" s="71">
        <f t="shared" si="72"/>
        <v>9173.9825641025636</v>
      </c>
      <c r="AM213" s="72">
        <f t="shared" si="73"/>
        <v>661.63</v>
      </c>
      <c r="AN213" s="70">
        <v>0</v>
      </c>
      <c r="AO213" s="70">
        <v>0</v>
      </c>
      <c r="AP213" s="3">
        <v>0</v>
      </c>
    </row>
    <row r="214" spans="1:42" s="3" customFormat="1" ht="15">
      <c r="A214" s="59" t="s">
        <v>602</v>
      </c>
      <c r="B214" s="59" t="s">
        <v>195</v>
      </c>
      <c r="C214" s="59" t="str">
        <f t="shared" si="67"/>
        <v>27401 PENINSULA SCHOOL DISTRICT</v>
      </c>
      <c r="D214" s="36">
        <v>0</v>
      </c>
      <c r="E214" s="36">
        <v>109852.09</v>
      </c>
      <c r="F214" s="36">
        <v>0</v>
      </c>
      <c r="G214" s="36">
        <v>14341659.65</v>
      </c>
      <c r="H214" s="36">
        <v>2527777.56</v>
      </c>
      <c r="I214" s="36">
        <v>0</v>
      </c>
      <c r="J214" s="36">
        <v>1148008.73</v>
      </c>
      <c r="K214" s="36">
        <v>424015.93</v>
      </c>
      <c r="L214" s="36">
        <v>300834.68</v>
      </c>
      <c r="M214" s="36">
        <v>6616655.2699999996</v>
      </c>
      <c r="N214" s="50">
        <v>5.0599999999999999E-2</v>
      </c>
      <c r="O214" s="53">
        <v>0.151</v>
      </c>
      <c r="P214" s="36">
        <v>0</v>
      </c>
      <c r="Q214" s="69">
        <v>0</v>
      </c>
      <c r="R214" s="69">
        <v>0</v>
      </c>
      <c r="S214" s="70">
        <v>0</v>
      </c>
      <c r="T214" s="70">
        <v>0</v>
      </c>
      <c r="U214" s="70">
        <v>0</v>
      </c>
      <c r="V214" s="36">
        <v>0</v>
      </c>
      <c r="W214" s="70">
        <v>0</v>
      </c>
      <c r="X214" s="70">
        <v>0</v>
      </c>
      <c r="Y214" s="36">
        <v>10105.89</v>
      </c>
      <c r="Z214" s="36">
        <v>66604.679999999993</v>
      </c>
      <c r="AA214" s="36">
        <v>390325.72</v>
      </c>
      <c r="AB214" s="36">
        <v>961903.3</v>
      </c>
      <c r="AC214" s="36">
        <v>4624796.9800000004</v>
      </c>
      <c r="AD214" s="36">
        <v>444.22</v>
      </c>
      <c r="AE214" s="36">
        <v>4211710.41</v>
      </c>
      <c r="AF214" s="71">
        <f t="shared" si="68"/>
        <v>9481.1363963801723</v>
      </c>
      <c r="AG214" s="71">
        <f t="shared" si="69"/>
        <v>10411.050785646752</v>
      </c>
      <c r="AH214" s="72">
        <f t="shared" si="70"/>
        <v>929.91</v>
      </c>
      <c r="AI214" s="36">
        <v>96.86</v>
      </c>
      <c r="AJ214" s="36">
        <v>892821.74</v>
      </c>
      <c r="AK214" s="71">
        <f t="shared" si="71"/>
        <v>9217.6516621928549</v>
      </c>
      <c r="AL214" s="71">
        <f t="shared" si="72"/>
        <v>9930.8620689655181</v>
      </c>
      <c r="AM214" s="72">
        <f t="shared" si="73"/>
        <v>713.21</v>
      </c>
      <c r="AN214" s="70">
        <v>0</v>
      </c>
      <c r="AO214" s="70">
        <v>0</v>
      </c>
      <c r="AP214" s="3">
        <v>0</v>
      </c>
    </row>
    <row r="215" spans="1:42" s="3" customFormat="1" ht="15">
      <c r="A215" s="59" t="s">
        <v>807</v>
      </c>
      <c r="B215" s="60" t="s">
        <v>815</v>
      </c>
      <c r="C215" s="60" t="str">
        <f>CONCATENATE(B215," ",A215," CHARTER")</f>
        <v>04901 PINNACLES PREP CHARTER</v>
      </c>
      <c r="D215" s="36">
        <v>0</v>
      </c>
      <c r="E215" s="36">
        <v>0</v>
      </c>
      <c r="F215" s="36">
        <v>0</v>
      </c>
      <c r="G215" s="36">
        <v>193422.38</v>
      </c>
      <c r="H215" s="36">
        <v>30338.93</v>
      </c>
      <c r="I215" s="36">
        <v>0</v>
      </c>
      <c r="J215" s="36">
        <v>32171.279999999999</v>
      </c>
      <c r="K215" s="36">
        <v>37608.89</v>
      </c>
      <c r="L215" s="36">
        <v>0</v>
      </c>
      <c r="M215" s="36">
        <v>79317.570000000007</v>
      </c>
      <c r="N215" s="50">
        <v>0.08</v>
      </c>
      <c r="O215" s="53">
        <v>0.1</v>
      </c>
      <c r="P215" s="36">
        <v>0</v>
      </c>
      <c r="Q215" s="69">
        <v>0</v>
      </c>
      <c r="R215" s="69">
        <v>0</v>
      </c>
      <c r="S215" s="70">
        <v>0</v>
      </c>
      <c r="T215" s="70">
        <v>0</v>
      </c>
      <c r="U215" s="70">
        <v>0</v>
      </c>
      <c r="V215" s="36">
        <v>0</v>
      </c>
      <c r="W215" s="70">
        <v>0</v>
      </c>
      <c r="X215" s="70">
        <v>0</v>
      </c>
      <c r="Y215" s="36">
        <v>0</v>
      </c>
      <c r="Z215" s="36">
        <v>0</v>
      </c>
      <c r="AA215" s="36">
        <v>0</v>
      </c>
      <c r="AB215" s="36">
        <v>61530.85</v>
      </c>
      <c r="AC215" s="36">
        <v>0</v>
      </c>
      <c r="AD215" s="36">
        <v>0</v>
      </c>
      <c r="AE215" s="36">
        <v>0</v>
      </c>
      <c r="AF215" s="71">
        <f t="shared" si="68"/>
        <v>0</v>
      </c>
      <c r="AG215" s="71">
        <f t="shared" si="69"/>
        <v>0</v>
      </c>
      <c r="AH215" s="72">
        <f t="shared" si="70"/>
        <v>0</v>
      </c>
      <c r="AI215" s="36">
        <v>6.7</v>
      </c>
      <c r="AJ215" s="36">
        <v>57022.55</v>
      </c>
      <c r="AK215" s="71">
        <f t="shared" si="71"/>
        <v>8510.8283582089553</v>
      </c>
      <c r="AL215" s="71">
        <f t="shared" si="72"/>
        <v>9183.7089552238795</v>
      </c>
      <c r="AM215" s="72">
        <f t="shared" si="73"/>
        <v>672.88</v>
      </c>
      <c r="AN215" s="70">
        <v>0</v>
      </c>
      <c r="AO215" s="70">
        <v>0</v>
      </c>
      <c r="AP215" s="3">
        <v>0</v>
      </c>
    </row>
    <row r="216" spans="1:42" s="3" customFormat="1" ht="15">
      <c r="A216" s="59" t="s">
        <v>574</v>
      </c>
      <c r="B216" s="59" t="s">
        <v>166</v>
      </c>
      <c r="C216" s="59" t="str">
        <f t="shared" ref="C216:C223" si="74">CONCATENATE(B216," ",A216," SCHOOL DISTRICT")</f>
        <v>23402 PIONEER SCHOOL DISTRICT</v>
      </c>
      <c r="D216" s="36">
        <v>0</v>
      </c>
      <c r="E216" s="36">
        <v>23523.5</v>
      </c>
      <c r="F216" s="36">
        <v>7442.05</v>
      </c>
      <c r="G216" s="36">
        <v>1242787.47</v>
      </c>
      <c r="H216" s="36">
        <v>150242.54</v>
      </c>
      <c r="I216" s="36">
        <v>211243.17</v>
      </c>
      <c r="J216" s="36">
        <v>247243.45</v>
      </c>
      <c r="K216" s="36">
        <v>57146.9</v>
      </c>
      <c r="L216" s="36">
        <v>22138.11</v>
      </c>
      <c r="M216" s="36">
        <v>653048.82999999996</v>
      </c>
      <c r="N216" s="50">
        <v>4.3099999999999999E-2</v>
      </c>
      <c r="O216" s="53">
        <v>0.18379999999999999</v>
      </c>
      <c r="P216" s="36">
        <v>0</v>
      </c>
      <c r="Q216" s="69">
        <v>0</v>
      </c>
      <c r="R216" s="69">
        <v>0</v>
      </c>
      <c r="S216" s="70">
        <v>0</v>
      </c>
      <c r="T216" s="70">
        <v>0</v>
      </c>
      <c r="U216" s="70">
        <v>0</v>
      </c>
      <c r="V216" s="36">
        <v>0</v>
      </c>
      <c r="W216" s="70">
        <v>0</v>
      </c>
      <c r="X216" s="70">
        <v>0</v>
      </c>
      <c r="Y216" s="36">
        <v>826.65</v>
      </c>
      <c r="Z216" s="36">
        <v>0</v>
      </c>
      <c r="AA216" s="36">
        <v>0</v>
      </c>
      <c r="AB216" s="36">
        <v>0</v>
      </c>
      <c r="AC216" s="36">
        <v>0</v>
      </c>
      <c r="AD216" s="36">
        <v>0</v>
      </c>
      <c r="AE216" s="36">
        <v>0</v>
      </c>
      <c r="AF216" s="71">
        <f t="shared" si="68"/>
        <v>0</v>
      </c>
      <c r="AG216" s="71">
        <f t="shared" si="69"/>
        <v>0</v>
      </c>
      <c r="AH216" s="72">
        <f t="shared" si="70"/>
        <v>0</v>
      </c>
      <c r="AI216" s="36">
        <v>0</v>
      </c>
      <c r="AJ216" s="36">
        <v>0</v>
      </c>
      <c r="AK216" s="71">
        <f t="shared" si="71"/>
        <v>0</v>
      </c>
      <c r="AL216" s="71">
        <f t="shared" si="72"/>
        <v>0</v>
      </c>
      <c r="AM216" s="72">
        <f t="shared" si="73"/>
        <v>0</v>
      </c>
      <c r="AN216" s="70">
        <v>0</v>
      </c>
      <c r="AO216" s="70">
        <v>0</v>
      </c>
      <c r="AP216" s="3">
        <v>0</v>
      </c>
    </row>
    <row r="217" spans="1:42" s="3" customFormat="1" ht="15">
      <c r="A217" s="59" t="s">
        <v>477</v>
      </c>
      <c r="B217" s="59" t="s">
        <v>69</v>
      </c>
      <c r="C217" s="59" t="str">
        <f t="shared" si="74"/>
        <v>12110 POMEROY SCHOOL DISTRICT</v>
      </c>
      <c r="D217" s="36">
        <v>0</v>
      </c>
      <c r="E217" s="36">
        <v>0</v>
      </c>
      <c r="F217" s="36">
        <v>0</v>
      </c>
      <c r="G217" s="36">
        <v>455531.63</v>
      </c>
      <c r="H217" s="36">
        <v>123448.24</v>
      </c>
      <c r="I217" s="36">
        <v>45824.88</v>
      </c>
      <c r="J217" s="36">
        <v>121307.46</v>
      </c>
      <c r="K217" s="36">
        <v>7248.76</v>
      </c>
      <c r="L217" s="36">
        <v>10706.73</v>
      </c>
      <c r="M217" s="36">
        <v>334749.65000000002</v>
      </c>
      <c r="N217" s="50">
        <v>5.0299999999999997E-2</v>
      </c>
      <c r="O217" s="53">
        <v>0.2535</v>
      </c>
      <c r="P217" s="36">
        <v>0</v>
      </c>
      <c r="Q217" s="69">
        <v>0</v>
      </c>
      <c r="R217" s="69">
        <v>0</v>
      </c>
      <c r="S217" s="70">
        <v>0</v>
      </c>
      <c r="T217" s="70">
        <v>0</v>
      </c>
      <c r="U217" s="70">
        <v>0</v>
      </c>
      <c r="V217" s="36">
        <v>0</v>
      </c>
      <c r="W217" s="70">
        <v>0</v>
      </c>
      <c r="X217" s="70">
        <v>0</v>
      </c>
      <c r="Y217" s="36">
        <v>0</v>
      </c>
      <c r="Z217" s="36">
        <v>0</v>
      </c>
      <c r="AA217" s="36">
        <v>0</v>
      </c>
      <c r="AB217" s="36">
        <v>96480.46</v>
      </c>
      <c r="AC217" s="36">
        <v>354050.67</v>
      </c>
      <c r="AD217" s="36">
        <v>38.35</v>
      </c>
      <c r="AE217" s="36">
        <v>336102.31</v>
      </c>
      <c r="AF217" s="71">
        <f t="shared" si="68"/>
        <v>8764.0758800521508</v>
      </c>
      <c r="AG217" s="71">
        <f t="shared" si="69"/>
        <v>9232.0904823989567</v>
      </c>
      <c r="AH217" s="72">
        <f t="shared" si="70"/>
        <v>468.01</v>
      </c>
      <c r="AI217" s="36">
        <v>10.53</v>
      </c>
      <c r="AJ217" s="36">
        <v>89639.53</v>
      </c>
      <c r="AK217" s="71">
        <f t="shared" si="71"/>
        <v>8512.7758784425459</v>
      </c>
      <c r="AL217" s="71">
        <f t="shared" si="72"/>
        <v>9162.4368471035141</v>
      </c>
      <c r="AM217" s="72">
        <f t="shared" si="73"/>
        <v>649.66</v>
      </c>
      <c r="AN217" s="70">
        <v>4791.8100000000004</v>
      </c>
      <c r="AO217" s="70">
        <v>0</v>
      </c>
      <c r="AP217" s="3">
        <v>0</v>
      </c>
    </row>
    <row r="218" spans="1:42" s="3" customFormat="1" ht="15">
      <c r="A218" s="59" t="s">
        <v>440</v>
      </c>
      <c r="B218" s="59" t="s">
        <v>32</v>
      </c>
      <c r="C218" s="59" t="str">
        <f t="shared" si="74"/>
        <v>05121 PORT ANGELES SCHOOL DISTRICT</v>
      </c>
      <c r="D218" s="36">
        <v>0</v>
      </c>
      <c r="E218" s="36">
        <v>0</v>
      </c>
      <c r="F218" s="36">
        <v>42106.1</v>
      </c>
      <c r="G218" s="36">
        <v>5120890.7699999996</v>
      </c>
      <c r="H218" s="36">
        <v>1178234.44</v>
      </c>
      <c r="I218" s="36">
        <v>687170.22</v>
      </c>
      <c r="J218" s="36">
        <v>1244062.68</v>
      </c>
      <c r="K218" s="36">
        <v>97928.99</v>
      </c>
      <c r="L218" s="36">
        <v>105751.17</v>
      </c>
      <c r="M218" s="36">
        <v>1779918.62</v>
      </c>
      <c r="N218" s="50">
        <v>4.5199999999999997E-2</v>
      </c>
      <c r="O218" s="53">
        <v>0.15240000000000001</v>
      </c>
      <c r="P218" s="36">
        <v>0</v>
      </c>
      <c r="Q218" s="69">
        <v>0</v>
      </c>
      <c r="R218" s="69">
        <v>0</v>
      </c>
      <c r="S218" s="70">
        <v>0</v>
      </c>
      <c r="T218" s="70">
        <v>0</v>
      </c>
      <c r="U218" s="70">
        <v>0</v>
      </c>
      <c r="V218" s="36">
        <v>0</v>
      </c>
      <c r="W218" s="70">
        <v>0</v>
      </c>
      <c r="X218" s="70">
        <v>0</v>
      </c>
      <c r="Y218" s="36">
        <v>870.63</v>
      </c>
      <c r="Z218" s="36">
        <v>0</v>
      </c>
      <c r="AA218" s="36">
        <v>79118.100000000006</v>
      </c>
      <c r="AB218" s="36">
        <v>597805.43999999994</v>
      </c>
      <c r="AC218" s="36">
        <v>1945401.92</v>
      </c>
      <c r="AD218" s="36">
        <v>206.76</v>
      </c>
      <c r="AE218" s="36">
        <v>1813282.1</v>
      </c>
      <c r="AF218" s="71">
        <f t="shared" si="68"/>
        <v>8769.9850067711359</v>
      </c>
      <c r="AG218" s="71">
        <f t="shared" si="69"/>
        <v>9408.9858773457145</v>
      </c>
      <c r="AH218" s="72">
        <f t="shared" si="70"/>
        <v>639</v>
      </c>
      <c r="AI218" s="36">
        <v>65.22</v>
      </c>
      <c r="AJ218" s="36">
        <v>555122.74</v>
      </c>
      <c r="AK218" s="71">
        <f t="shared" si="71"/>
        <v>8511.5415516712674</v>
      </c>
      <c r="AL218" s="71">
        <f t="shared" si="72"/>
        <v>9165.9834406623722</v>
      </c>
      <c r="AM218" s="72">
        <f t="shared" si="73"/>
        <v>654.44000000000005</v>
      </c>
      <c r="AN218" s="70">
        <v>315.12</v>
      </c>
      <c r="AO218" s="70">
        <v>0</v>
      </c>
      <c r="AP218" s="3">
        <v>0</v>
      </c>
    </row>
    <row r="219" spans="1:42" s="3" customFormat="1" ht="15">
      <c r="A219" s="59" t="s">
        <v>508</v>
      </c>
      <c r="B219" s="59" t="s">
        <v>100</v>
      </c>
      <c r="C219" s="59" t="str">
        <f t="shared" si="74"/>
        <v>16050 PORT TOWNSEND SCHOOL DISTRICT</v>
      </c>
      <c r="D219" s="36">
        <v>0</v>
      </c>
      <c r="E219" s="36">
        <v>34129.599999999999</v>
      </c>
      <c r="F219" s="36">
        <v>22452.98</v>
      </c>
      <c r="G219" s="36">
        <v>1689005.3</v>
      </c>
      <c r="H219" s="36">
        <v>225045.79</v>
      </c>
      <c r="I219" s="36">
        <v>46246.12</v>
      </c>
      <c r="J219" s="36">
        <v>368055.97</v>
      </c>
      <c r="K219" s="36">
        <v>57079.66</v>
      </c>
      <c r="L219" s="36">
        <v>38032.080000000002</v>
      </c>
      <c r="M219" s="36">
        <v>748370.07</v>
      </c>
      <c r="N219" s="50">
        <v>4.6800000000000001E-2</v>
      </c>
      <c r="O219" s="53">
        <v>0.2392</v>
      </c>
      <c r="P219" s="36">
        <v>0</v>
      </c>
      <c r="Q219" s="69">
        <v>0</v>
      </c>
      <c r="R219" s="69">
        <v>0</v>
      </c>
      <c r="S219" s="70">
        <v>0</v>
      </c>
      <c r="T219" s="70">
        <v>0</v>
      </c>
      <c r="U219" s="70">
        <v>0</v>
      </c>
      <c r="V219" s="36">
        <v>0</v>
      </c>
      <c r="W219" s="70">
        <v>0</v>
      </c>
      <c r="X219" s="70">
        <v>0</v>
      </c>
      <c r="Y219" s="36">
        <v>0</v>
      </c>
      <c r="Z219" s="36">
        <v>0</v>
      </c>
      <c r="AA219" s="36">
        <v>50800.28</v>
      </c>
      <c r="AB219" s="36">
        <v>0</v>
      </c>
      <c r="AC219" s="36">
        <v>515651.34</v>
      </c>
      <c r="AD219" s="36">
        <v>52.72</v>
      </c>
      <c r="AE219" s="36">
        <v>480905.47</v>
      </c>
      <c r="AF219" s="71">
        <f t="shared" si="68"/>
        <v>9121.8791729893783</v>
      </c>
      <c r="AG219" s="71">
        <f t="shared" si="69"/>
        <v>9780.943474962065</v>
      </c>
      <c r="AH219" s="72">
        <f t="shared" si="70"/>
        <v>659.06</v>
      </c>
      <c r="AI219" s="36">
        <v>0</v>
      </c>
      <c r="AJ219" s="36">
        <v>0</v>
      </c>
      <c r="AK219" s="71">
        <f t="shared" si="71"/>
        <v>0</v>
      </c>
      <c r="AL219" s="71">
        <f t="shared" si="72"/>
        <v>0</v>
      </c>
      <c r="AM219" s="72">
        <f t="shared" si="73"/>
        <v>0</v>
      </c>
      <c r="AN219" s="70">
        <v>0</v>
      </c>
      <c r="AO219" s="70">
        <v>0</v>
      </c>
      <c r="AP219" s="3">
        <v>0</v>
      </c>
    </row>
    <row r="220" spans="1:42" s="3" customFormat="1" ht="15">
      <c r="A220" s="59" t="s">
        <v>675</v>
      </c>
      <c r="B220" s="59" t="s">
        <v>271</v>
      </c>
      <c r="C220" s="59" t="str">
        <f t="shared" si="74"/>
        <v>36402 PRESCOTT SCHOOL DISTRICT</v>
      </c>
      <c r="D220" s="36">
        <v>0</v>
      </c>
      <c r="E220" s="36">
        <v>0</v>
      </c>
      <c r="F220" s="36">
        <v>4277.3100000000004</v>
      </c>
      <c r="G220" s="36">
        <v>315080.24</v>
      </c>
      <c r="H220" s="36">
        <v>51974.239999999998</v>
      </c>
      <c r="I220" s="36">
        <v>75414.429999999993</v>
      </c>
      <c r="J220" s="36">
        <v>136759.78</v>
      </c>
      <c r="K220" s="36">
        <v>139974.43</v>
      </c>
      <c r="L220" s="36">
        <v>0</v>
      </c>
      <c r="M220" s="36">
        <v>452404.62</v>
      </c>
      <c r="N220" s="50">
        <v>3.7699999999999997E-2</v>
      </c>
      <c r="O220" s="54">
        <v>0.2016</v>
      </c>
      <c r="P220" s="36">
        <v>0</v>
      </c>
      <c r="Q220" s="69">
        <v>0</v>
      </c>
      <c r="R220" s="69">
        <v>0</v>
      </c>
      <c r="S220" s="70">
        <v>0</v>
      </c>
      <c r="T220" s="70">
        <v>0</v>
      </c>
      <c r="U220" s="70">
        <v>0</v>
      </c>
      <c r="V220" s="36">
        <v>0</v>
      </c>
      <c r="W220" s="70">
        <v>0</v>
      </c>
      <c r="X220" s="70">
        <v>0</v>
      </c>
      <c r="Y220" s="36">
        <v>227.81</v>
      </c>
      <c r="Z220" s="36">
        <v>0</v>
      </c>
      <c r="AA220" s="36">
        <v>0</v>
      </c>
      <c r="AB220" s="36">
        <v>0</v>
      </c>
      <c r="AC220" s="36">
        <v>7632.72</v>
      </c>
      <c r="AD220" s="36">
        <v>0.85</v>
      </c>
      <c r="AE220" s="36">
        <v>7271.07</v>
      </c>
      <c r="AF220" s="71">
        <f t="shared" si="68"/>
        <v>8554.2000000000007</v>
      </c>
      <c r="AG220" s="71">
        <f t="shared" si="69"/>
        <v>8979.6705882352944</v>
      </c>
      <c r="AH220" s="72">
        <f t="shared" si="70"/>
        <v>425.47</v>
      </c>
      <c r="AI220" s="36">
        <v>0</v>
      </c>
      <c r="AJ220" s="36">
        <v>0</v>
      </c>
      <c r="AK220" s="71">
        <f t="shared" si="71"/>
        <v>0</v>
      </c>
      <c r="AL220" s="71">
        <f t="shared" si="72"/>
        <v>0</v>
      </c>
      <c r="AM220" s="72">
        <f t="shared" si="73"/>
        <v>0</v>
      </c>
      <c r="AN220" s="70">
        <v>0</v>
      </c>
      <c r="AO220" s="70">
        <v>0</v>
      </c>
      <c r="AP220" s="3">
        <v>0</v>
      </c>
    </row>
    <row r="221" spans="1:42" s="3" customFormat="1" ht="15">
      <c r="A221" s="59" t="s">
        <v>781</v>
      </c>
      <c r="B221" s="59" t="s">
        <v>419</v>
      </c>
      <c r="C221" s="59" t="str">
        <f t="shared" si="74"/>
        <v>32907 PRIDE PREP SCHOOL DISTRICT</v>
      </c>
      <c r="D221" s="36">
        <v>0</v>
      </c>
      <c r="E221" s="36">
        <v>0</v>
      </c>
      <c r="F221" s="36">
        <v>0</v>
      </c>
      <c r="G221" s="36">
        <v>603125.06000000006</v>
      </c>
      <c r="H221" s="36">
        <v>93221.97</v>
      </c>
      <c r="I221" s="36">
        <v>191435.1</v>
      </c>
      <c r="J221" s="36">
        <v>242930.38</v>
      </c>
      <c r="K221" s="36">
        <v>0</v>
      </c>
      <c r="L221" s="36">
        <v>0</v>
      </c>
      <c r="M221" s="36">
        <v>812603.01</v>
      </c>
      <c r="N221" s="50">
        <v>7.1400000000000005E-2</v>
      </c>
      <c r="O221" s="53">
        <v>0.37680000000000002</v>
      </c>
      <c r="P221" s="36">
        <v>0</v>
      </c>
      <c r="Q221" s="69">
        <v>0</v>
      </c>
      <c r="R221" s="69">
        <v>0</v>
      </c>
      <c r="S221" s="70">
        <v>0</v>
      </c>
      <c r="T221" s="70">
        <v>0</v>
      </c>
      <c r="U221" s="70">
        <v>0</v>
      </c>
      <c r="V221" s="36">
        <v>0</v>
      </c>
      <c r="W221" s="70">
        <v>0</v>
      </c>
      <c r="X221" s="70">
        <v>0</v>
      </c>
      <c r="Y221" s="36">
        <v>577.41</v>
      </c>
      <c r="Z221" s="36">
        <v>0</v>
      </c>
      <c r="AA221" s="36">
        <v>0</v>
      </c>
      <c r="AB221" s="36">
        <v>0</v>
      </c>
      <c r="AC221" s="36">
        <v>47634.11</v>
      </c>
      <c r="AD221" s="36">
        <v>3.6</v>
      </c>
      <c r="AE221" s="36">
        <v>31501.3</v>
      </c>
      <c r="AF221" s="71">
        <f t="shared" si="68"/>
        <v>8750.3611111111113</v>
      </c>
      <c r="AG221" s="71">
        <f t="shared" si="69"/>
        <v>13231.697222222221</v>
      </c>
      <c r="AH221" s="72">
        <f t="shared" si="70"/>
        <v>4481.34</v>
      </c>
      <c r="AI221" s="36">
        <v>0</v>
      </c>
      <c r="AJ221" s="36">
        <v>0</v>
      </c>
      <c r="AK221" s="71">
        <f t="shared" si="71"/>
        <v>0</v>
      </c>
      <c r="AL221" s="71">
        <f t="shared" si="72"/>
        <v>0</v>
      </c>
      <c r="AM221" s="72">
        <f t="shared" si="73"/>
        <v>0</v>
      </c>
      <c r="AN221" s="70">
        <v>0</v>
      </c>
      <c r="AO221" s="70">
        <v>0</v>
      </c>
      <c r="AP221" s="3">
        <v>0</v>
      </c>
    </row>
    <row r="222" spans="1:42" s="3" customFormat="1" ht="15">
      <c r="A222" s="59" t="s">
        <v>431</v>
      </c>
      <c r="B222" s="59" t="s">
        <v>23</v>
      </c>
      <c r="C222" s="59" t="str">
        <f t="shared" si="74"/>
        <v>03116 PROSSER SCHOOL DISTRICT</v>
      </c>
      <c r="D222" s="36">
        <v>0</v>
      </c>
      <c r="E222" s="36">
        <v>102168.85</v>
      </c>
      <c r="F222" s="36">
        <v>71150.41</v>
      </c>
      <c r="G222" s="36">
        <v>2967880.29</v>
      </c>
      <c r="H222" s="36">
        <v>729950.52</v>
      </c>
      <c r="I222" s="36">
        <v>741316.57</v>
      </c>
      <c r="J222" s="36">
        <v>1163078.72</v>
      </c>
      <c r="K222" s="36">
        <v>952110.33</v>
      </c>
      <c r="L222" s="36">
        <v>71276.45</v>
      </c>
      <c r="M222" s="36">
        <v>1678740.15</v>
      </c>
      <c r="N222" s="50">
        <v>4.2799999999999998E-2</v>
      </c>
      <c r="O222" s="53">
        <v>0.15429999999999999</v>
      </c>
      <c r="P222" s="36">
        <v>0</v>
      </c>
      <c r="Q222" s="69">
        <v>0</v>
      </c>
      <c r="R222" s="69">
        <v>0</v>
      </c>
      <c r="S222" s="70">
        <v>0</v>
      </c>
      <c r="T222" s="70">
        <v>0</v>
      </c>
      <c r="U222" s="70">
        <v>0</v>
      </c>
      <c r="V222" s="36">
        <v>0</v>
      </c>
      <c r="W222" s="70">
        <v>0</v>
      </c>
      <c r="X222" s="70">
        <v>0</v>
      </c>
      <c r="Y222" s="36">
        <v>2740.47</v>
      </c>
      <c r="Z222" s="36">
        <v>17933.11</v>
      </c>
      <c r="AA222" s="36">
        <v>34916.11</v>
      </c>
      <c r="AB222" s="36">
        <v>201604.65</v>
      </c>
      <c r="AC222" s="36">
        <v>1881419.16</v>
      </c>
      <c r="AD222" s="36">
        <v>203.62</v>
      </c>
      <c r="AE222" s="36">
        <v>1749173.1</v>
      </c>
      <c r="AF222" s="71">
        <f t="shared" si="68"/>
        <v>8590.3796287201658</v>
      </c>
      <c r="AG222" s="71">
        <f t="shared" si="69"/>
        <v>9239.8544347313618</v>
      </c>
      <c r="AH222" s="72">
        <f t="shared" si="70"/>
        <v>649.47</v>
      </c>
      <c r="AI222" s="36">
        <v>22.47</v>
      </c>
      <c r="AJ222" s="36">
        <v>187309.06</v>
      </c>
      <c r="AK222" s="71">
        <f t="shared" si="71"/>
        <v>8335.9617267467729</v>
      </c>
      <c r="AL222" s="71">
        <f t="shared" si="72"/>
        <v>8972.1695594125504</v>
      </c>
      <c r="AM222" s="72">
        <f t="shared" si="73"/>
        <v>636.21</v>
      </c>
      <c r="AN222" s="70">
        <v>0</v>
      </c>
      <c r="AO222" s="70">
        <v>0</v>
      </c>
      <c r="AP222" s="3">
        <v>0</v>
      </c>
    </row>
    <row r="223" spans="1:42" s="3" customFormat="1" ht="15">
      <c r="A223" s="59" t="s">
        <v>686</v>
      </c>
      <c r="B223" s="59" t="s">
        <v>282</v>
      </c>
      <c r="C223" s="59" t="str">
        <f t="shared" si="74"/>
        <v>38267 PULLMAN SCHOOL DISTRICT</v>
      </c>
      <c r="D223" s="36">
        <v>0</v>
      </c>
      <c r="E223" s="36">
        <v>0</v>
      </c>
      <c r="F223" s="36">
        <v>0</v>
      </c>
      <c r="G223" s="36">
        <v>3558044.74</v>
      </c>
      <c r="H223" s="36">
        <v>531514.84</v>
      </c>
      <c r="I223" s="36">
        <v>0</v>
      </c>
      <c r="J223" s="36">
        <v>535866.56000000006</v>
      </c>
      <c r="K223" s="36">
        <v>224426.02</v>
      </c>
      <c r="L223" s="36">
        <v>80069.63</v>
      </c>
      <c r="M223" s="36">
        <v>1379643.79</v>
      </c>
      <c r="N223" s="50">
        <v>4.1599999999999998E-2</v>
      </c>
      <c r="O223" s="53">
        <v>0.2172</v>
      </c>
      <c r="P223" s="36">
        <v>0</v>
      </c>
      <c r="Q223" s="69">
        <v>0</v>
      </c>
      <c r="R223" s="69">
        <v>0</v>
      </c>
      <c r="S223" s="70">
        <v>0</v>
      </c>
      <c r="T223" s="70">
        <v>0</v>
      </c>
      <c r="U223" s="70">
        <v>0</v>
      </c>
      <c r="V223" s="36">
        <v>0</v>
      </c>
      <c r="W223" s="70">
        <v>0</v>
      </c>
      <c r="X223" s="70">
        <v>0</v>
      </c>
      <c r="Y223" s="36">
        <v>0</v>
      </c>
      <c r="Z223" s="36">
        <v>0</v>
      </c>
      <c r="AA223" s="36">
        <v>0</v>
      </c>
      <c r="AB223" s="36">
        <v>331603.82</v>
      </c>
      <c r="AC223" s="36">
        <v>1269058.0900000001</v>
      </c>
      <c r="AD223" s="36">
        <v>139.85</v>
      </c>
      <c r="AE223" s="36">
        <v>1201288.33</v>
      </c>
      <c r="AF223" s="71">
        <f t="shared" si="68"/>
        <v>8589.8343224883811</v>
      </c>
      <c r="AG223" s="71">
        <f t="shared" si="69"/>
        <v>9074.4232391848418</v>
      </c>
      <c r="AH223" s="72">
        <f t="shared" si="70"/>
        <v>484.59</v>
      </c>
      <c r="AI223" s="36">
        <v>36.93</v>
      </c>
      <c r="AJ223" s="36">
        <v>307828.77</v>
      </c>
      <c r="AK223" s="71">
        <f t="shared" si="71"/>
        <v>8335.4662875710801</v>
      </c>
      <c r="AL223" s="71">
        <f t="shared" si="72"/>
        <v>8979.2531816950996</v>
      </c>
      <c r="AM223" s="72">
        <f t="shared" si="73"/>
        <v>643.79</v>
      </c>
      <c r="AN223" s="70">
        <v>0</v>
      </c>
      <c r="AO223" s="70">
        <v>0</v>
      </c>
      <c r="AP223" s="3">
        <v>0</v>
      </c>
    </row>
    <row r="224" spans="1:42" s="3" customFormat="1" ht="15">
      <c r="A224" s="59" t="s">
        <v>809</v>
      </c>
      <c r="B224" s="60" t="s">
        <v>808</v>
      </c>
      <c r="C224" s="60" t="str">
        <f>CONCATENATE(B224," ",A224," CHARTER")</f>
        <v>38901 PULLMAN COMMUNITY MONTESSORI CHARTER</v>
      </c>
      <c r="D224" s="36">
        <v>0</v>
      </c>
      <c r="E224" s="36">
        <v>0</v>
      </c>
      <c r="F224" s="36">
        <v>0</v>
      </c>
      <c r="G224" s="36">
        <v>133709.71</v>
      </c>
      <c r="H224" s="36">
        <v>11849.45</v>
      </c>
      <c r="I224" s="36">
        <v>0</v>
      </c>
      <c r="J224" s="36">
        <v>10965.61</v>
      </c>
      <c r="K224" s="36">
        <v>3349.64</v>
      </c>
      <c r="L224" s="36">
        <v>2793.13</v>
      </c>
      <c r="M224" s="36">
        <v>38164.559999999998</v>
      </c>
      <c r="N224" s="50">
        <v>0.08</v>
      </c>
      <c r="O224" s="53">
        <v>0.1</v>
      </c>
      <c r="P224" s="36">
        <v>0</v>
      </c>
      <c r="Q224" s="69">
        <v>0</v>
      </c>
      <c r="R224" s="69">
        <v>0</v>
      </c>
      <c r="S224" s="70">
        <v>0</v>
      </c>
      <c r="T224" s="70">
        <v>0</v>
      </c>
      <c r="U224" s="70">
        <v>0</v>
      </c>
      <c r="V224" s="36">
        <v>0</v>
      </c>
      <c r="W224" s="70">
        <v>0</v>
      </c>
      <c r="X224" s="70">
        <v>0</v>
      </c>
      <c r="Y224" s="36">
        <v>0</v>
      </c>
      <c r="Z224" s="36">
        <v>0</v>
      </c>
      <c r="AA224" s="36">
        <v>0</v>
      </c>
      <c r="AB224" s="36">
        <v>0</v>
      </c>
      <c r="AC224" s="36">
        <v>0</v>
      </c>
      <c r="AD224" s="36">
        <v>0</v>
      </c>
      <c r="AE224" s="36">
        <v>0</v>
      </c>
      <c r="AF224" s="71">
        <f t="shared" si="68"/>
        <v>0</v>
      </c>
      <c r="AG224" s="71">
        <f t="shared" si="69"/>
        <v>0</v>
      </c>
      <c r="AH224" s="72">
        <f t="shared" si="70"/>
        <v>0</v>
      </c>
      <c r="AI224" s="36">
        <v>0</v>
      </c>
      <c r="AJ224" s="36">
        <v>0</v>
      </c>
      <c r="AK224" s="71">
        <f t="shared" si="71"/>
        <v>0</v>
      </c>
      <c r="AL224" s="71">
        <f t="shared" si="72"/>
        <v>0</v>
      </c>
      <c r="AM224" s="72">
        <f t="shared" si="73"/>
        <v>0</v>
      </c>
      <c r="AN224" s="70">
        <v>0</v>
      </c>
      <c r="AO224" s="70">
        <v>0</v>
      </c>
      <c r="AP224" s="3">
        <v>0</v>
      </c>
    </row>
    <row r="225" spans="1:42" s="3" customFormat="1" ht="15">
      <c r="A225" s="59" t="s">
        <v>594</v>
      </c>
      <c r="B225" s="59" t="s">
        <v>187</v>
      </c>
      <c r="C225" s="59" t="str">
        <f>CONCATENATE(B225," ",A225," SCHOOL DISTRICT")</f>
        <v>27003 PUYALLUP SCHOOL DISTRICT</v>
      </c>
      <c r="D225" s="36">
        <v>0</v>
      </c>
      <c r="E225" s="36">
        <v>232281.22</v>
      </c>
      <c r="F225" s="36">
        <v>0</v>
      </c>
      <c r="G225" s="36">
        <v>31831571</v>
      </c>
      <c r="H225" s="36">
        <v>6999765.8399999999</v>
      </c>
      <c r="I225" s="36">
        <v>553334.1</v>
      </c>
      <c r="J225" s="36">
        <v>6220080.7400000002</v>
      </c>
      <c r="K225" s="36">
        <v>2860193.9</v>
      </c>
      <c r="L225" s="36">
        <v>716796.91</v>
      </c>
      <c r="M225" s="36">
        <v>11719931.75</v>
      </c>
      <c r="N225" s="50">
        <v>3.6999999999999998E-2</v>
      </c>
      <c r="O225" s="53">
        <v>0.1474</v>
      </c>
      <c r="P225" s="36">
        <v>0</v>
      </c>
      <c r="Q225" s="69">
        <v>0</v>
      </c>
      <c r="R225" s="69">
        <v>0</v>
      </c>
      <c r="S225" s="70">
        <v>0</v>
      </c>
      <c r="T225" s="70">
        <v>0</v>
      </c>
      <c r="U225" s="70">
        <v>0</v>
      </c>
      <c r="V225" s="36">
        <v>0</v>
      </c>
      <c r="W225" s="70">
        <v>0</v>
      </c>
      <c r="X225" s="70">
        <v>0</v>
      </c>
      <c r="Y225" s="36">
        <v>25890.07</v>
      </c>
      <c r="Z225" s="36">
        <v>319937.82</v>
      </c>
      <c r="AA225" s="36">
        <v>1120239.67</v>
      </c>
      <c r="AB225" s="36">
        <v>3680176.91</v>
      </c>
      <c r="AC225" s="36">
        <v>11947341.439999999</v>
      </c>
      <c r="AD225" s="36">
        <v>1227.6500000000001</v>
      </c>
      <c r="AE225" s="36">
        <v>10986046.130000001</v>
      </c>
      <c r="AF225" s="71">
        <f t="shared" si="68"/>
        <v>8948.8422025821692</v>
      </c>
      <c r="AG225" s="71">
        <f t="shared" si="69"/>
        <v>9731.8791512238822</v>
      </c>
      <c r="AH225" s="72">
        <f t="shared" si="70"/>
        <v>783.04</v>
      </c>
      <c r="AI225" s="36">
        <v>393.26</v>
      </c>
      <c r="AJ225" s="36">
        <v>3417981.78</v>
      </c>
      <c r="AK225" s="71">
        <f t="shared" si="71"/>
        <v>8691.4046178100998</v>
      </c>
      <c r="AL225" s="71">
        <f t="shared" si="72"/>
        <v>9358.1267100645891</v>
      </c>
      <c r="AM225" s="72">
        <f t="shared" si="73"/>
        <v>666.72</v>
      </c>
      <c r="AN225" s="70">
        <v>0</v>
      </c>
      <c r="AO225" s="70">
        <v>0</v>
      </c>
      <c r="AP225" s="3">
        <v>0</v>
      </c>
    </row>
    <row r="226" spans="1:42" s="3" customFormat="1" ht="15">
      <c r="A226" s="59" t="s">
        <v>504</v>
      </c>
      <c r="B226" s="59" t="s">
        <v>96</v>
      </c>
      <c r="C226" s="59" t="str">
        <f>CONCATENATE(B226," ",A226," SCHOOL DISTRICT")</f>
        <v>16020 QUEETS-CLEARWATER SCHOOL DISTRICT</v>
      </c>
      <c r="D226" s="36">
        <v>0</v>
      </c>
      <c r="E226" s="36">
        <v>0</v>
      </c>
      <c r="F226" s="36">
        <v>0</v>
      </c>
      <c r="G226" s="36">
        <v>46708.38</v>
      </c>
      <c r="H226" s="36">
        <v>3128.33</v>
      </c>
      <c r="I226" s="36">
        <v>15310.47</v>
      </c>
      <c r="J226" s="36">
        <v>33310.629999999997</v>
      </c>
      <c r="K226" s="36">
        <v>0</v>
      </c>
      <c r="L226" s="36">
        <v>0</v>
      </c>
      <c r="M226" s="36">
        <v>59374.400000000001</v>
      </c>
      <c r="N226" s="50">
        <v>0.23930000000000001</v>
      </c>
      <c r="O226" s="53">
        <v>0.65490000000000004</v>
      </c>
      <c r="P226" s="36">
        <v>0</v>
      </c>
      <c r="Q226" s="69">
        <v>0</v>
      </c>
      <c r="R226" s="69">
        <v>0</v>
      </c>
      <c r="S226" s="70">
        <v>0</v>
      </c>
      <c r="T226" s="70">
        <v>0</v>
      </c>
      <c r="U226" s="70">
        <v>0</v>
      </c>
      <c r="V226" s="36">
        <v>0</v>
      </c>
      <c r="W226" s="70">
        <v>0</v>
      </c>
      <c r="X226" s="70">
        <v>0</v>
      </c>
      <c r="Y226" s="36">
        <v>0</v>
      </c>
      <c r="Z226" s="36">
        <v>0</v>
      </c>
      <c r="AA226" s="36">
        <v>0</v>
      </c>
      <c r="AB226" s="36">
        <v>0</v>
      </c>
      <c r="AC226" s="36">
        <v>0</v>
      </c>
      <c r="AD226" s="36">
        <v>0</v>
      </c>
      <c r="AE226" s="36">
        <v>0</v>
      </c>
      <c r="AF226" s="71">
        <f t="shared" si="68"/>
        <v>0</v>
      </c>
      <c r="AG226" s="71">
        <f t="shared" si="69"/>
        <v>0</v>
      </c>
      <c r="AH226" s="72">
        <f t="shared" si="70"/>
        <v>0</v>
      </c>
      <c r="AI226" s="36">
        <v>0</v>
      </c>
      <c r="AJ226" s="36">
        <v>0</v>
      </c>
      <c r="AK226" s="71">
        <f t="shared" si="71"/>
        <v>0</v>
      </c>
      <c r="AL226" s="71">
        <f t="shared" si="72"/>
        <v>0</v>
      </c>
      <c r="AM226" s="72">
        <f t="shared" si="73"/>
        <v>0</v>
      </c>
      <c r="AN226" s="70">
        <v>0</v>
      </c>
      <c r="AO226" s="70">
        <v>0</v>
      </c>
      <c r="AP226" s="3">
        <v>0</v>
      </c>
    </row>
    <row r="227" spans="1:42" s="3" customFormat="1" ht="15">
      <c r="A227" s="59" t="s">
        <v>506</v>
      </c>
      <c r="B227" s="59" t="s">
        <v>98</v>
      </c>
      <c r="C227" s="59" t="str">
        <f>CONCATENATE(B227," ",A227," SCHOOL DISTRICT")</f>
        <v>16048 QUILCENE SCHOOL DISTRICT</v>
      </c>
      <c r="D227" s="36">
        <v>0</v>
      </c>
      <c r="E227" s="36">
        <v>0</v>
      </c>
      <c r="F227" s="36">
        <v>0</v>
      </c>
      <c r="G227" s="36">
        <v>659367.57999999996</v>
      </c>
      <c r="H227" s="36">
        <v>59837.440000000002</v>
      </c>
      <c r="I227" s="36">
        <v>0</v>
      </c>
      <c r="J227" s="36">
        <v>139722.03</v>
      </c>
      <c r="K227" s="36">
        <v>0</v>
      </c>
      <c r="L227" s="36">
        <v>20582.599999999999</v>
      </c>
      <c r="M227" s="36">
        <v>418453.71</v>
      </c>
      <c r="N227" s="50">
        <v>2.2499999999999999E-2</v>
      </c>
      <c r="O227" s="53">
        <v>0.1978</v>
      </c>
      <c r="P227" s="36">
        <v>0</v>
      </c>
      <c r="Q227" s="69">
        <v>0</v>
      </c>
      <c r="R227" s="69">
        <v>0</v>
      </c>
      <c r="S227" s="70">
        <v>0</v>
      </c>
      <c r="T227" s="70">
        <v>0</v>
      </c>
      <c r="U227" s="70">
        <v>0</v>
      </c>
      <c r="V227" s="36">
        <v>0</v>
      </c>
      <c r="W227" s="70">
        <v>0</v>
      </c>
      <c r="X227" s="70">
        <v>0</v>
      </c>
      <c r="Y227" s="36">
        <v>549.22</v>
      </c>
      <c r="Z227" s="36">
        <v>0</v>
      </c>
      <c r="AA227" s="36">
        <v>0</v>
      </c>
      <c r="AB227" s="36">
        <v>19889.740000000002</v>
      </c>
      <c r="AC227" s="36">
        <v>96265.8</v>
      </c>
      <c r="AD227" s="36">
        <v>10.050000000000001</v>
      </c>
      <c r="AE227" s="36">
        <v>89963.27</v>
      </c>
      <c r="AF227" s="71">
        <f t="shared" si="68"/>
        <v>8951.569154228855</v>
      </c>
      <c r="AG227" s="71">
        <f t="shared" si="69"/>
        <v>9578.686567164179</v>
      </c>
      <c r="AH227" s="72">
        <f t="shared" si="70"/>
        <v>627.12</v>
      </c>
      <c r="AI227" s="36">
        <v>2.13</v>
      </c>
      <c r="AJ227" s="36">
        <v>18574.21</v>
      </c>
      <c r="AK227" s="71">
        <f t="shared" si="71"/>
        <v>8720.2863849765254</v>
      </c>
      <c r="AL227" s="71">
        <f t="shared" si="72"/>
        <v>9337.9061032863865</v>
      </c>
      <c r="AM227" s="72">
        <f t="shared" si="73"/>
        <v>617.62</v>
      </c>
      <c r="AN227" s="70">
        <v>0</v>
      </c>
      <c r="AO227" s="70">
        <v>0</v>
      </c>
      <c r="AP227" s="3">
        <v>0</v>
      </c>
    </row>
    <row r="228" spans="1:42" s="3" customFormat="1" ht="15">
      <c r="A228" s="59" t="s">
        <v>805</v>
      </c>
      <c r="B228" s="59" t="s">
        <v>718</v>
      </c>
      <c r="C228" s="62" t="str">
        <f>CONCATENATE(B228," ",A228," TRIBAL COMPACT")</f>
        <v>05903 QUILEUTE TRIBAL COMPACT</v>
      </c>
      <c r="D228" s="36">
        <v>0</v>
      </c>
      <c r="E228" s="36">
        <v>8061.59</v>
      </c>
      <c r="F228" s="36">
        <v>3727.51</v>
      </c>
      <c r="G228" s="36">
        <v>174559.12</v>
      </c>
      <c r="H228" s="36">
        <v>30230.03</v>
      </c>
      <c r="I228" s="36">
        <v>35172.71</v>
      </c>
      <c r="J228" s="36">
        <v>71897.16</v>
      </c>
      <c r="K228" s="36">
        <v>0</v>
      </c>
      <c r="L228" s="36">
        <v>0</v>
      </c>
      <c r="M228" s="36">
        <v>199141.41</v>
      </c>
      <c r="N228" s="50">
        <v>0.08</v>
      </c>
      <c r="O228" s="53">
        <v>0.1</v>
      </c>
      <c r="P228" s="36">
        <v>0</v>
      </c>
      <c r="Q228" s="69">
        <v>0</v>
      </c>
      <c r="R228" s="69">
        <v>0</v>
      </c>
      <c r="S228" s="70">
        <v>0</v>
      </c>
      <c r="T228" s="70">
        <v>0</v>
      </c>
      <c r="U228" s="70">
        <v>0</v>
      </c>
      <c r="V228" s="36">
        <v>0</v>
      </c>
      <c r="W228" s="70">
        <v>0</v>
      </c>
      <c r="X228" s="70">
        <v>0</v>
      </c>
      <c r="Y228" s="36">
        <v>0</v>
      </c>
      <c r="Z228" s="36">
        <v>0</v>
      </c>
      <c r="AA228" s="36">
        <v>0</v>
      </c>
      <c r="AB228" s="36">
        <v>32907.910000000003</v>
      </c>
      <c r="AC228" s="36">
        <v>81149.38</v>
      </c>
      <c r="AD228" s="36">
        <v>8.44</v>
      </c>
      <c r="AE228" s="36">
        <v>72379.09</v>
      </c>
      <c r="AF228" s="71">
        <f t="shared" si="68"/>
        <v>8575.721563981042</v>
      </c>
      <c r="AG228" s="71">
        <f t="shared" si="69"/>
        <v>9614.855450236968</v>
      </c>
      <c r="AH228" s="72">
        <f t="shared" si="70"/>
        <v>1039.1300000000001</v>
      </c>
      <c r="AI228" s="36">
        <v>3.67</v>
      </c>
      <c r="AJ228" s="36">
        <v>30364.94</v>
      </c>
      <c r="AK228" s="71">
        <f t="shared" si="71"/>
        <v>8273.8256130790196</v>
      </c>
      <c r="AL228" s="71">
        <f t="shared" si="72"/>
        <v>8966.7329700272494</v>
      </c>
      <c r="AM228" s="72">
        <f t="shared" si="73"/>
        <v>692.91</v>
      </c>
      <c r="AN228" s="70">
        <v>0</v>
      </c>
      <c r="AO228" s="70">
        <v>0</v>
      </c>
      <c r="AP228" s="3">
        <v>0</v>
      </c>
    </row>
    <row r="229" spans="1:42" s="3" customFormat="1" ht="15">
      <c r="A229" s="59" t="s">
        <v>444</v>
      </c>
      <c r="B229" s="59" t="s">
        <v>36</v>
      </c>
      <c r="C229" s="59" t="str">
        <f>CONCATENATE(B229," ",A229," SCHOOL DISTRICT")</f>
        <v>05402 QUILLAYUTE VALLEY SCHOOL DISTRICT</v>
      </c>
      <c r="D229" s="36">
        <v>0</v>
      </c>
      <c r="E229" s="36">
        <v>126405.31</v>
      </c>
      <c r="F229" s="36">
        <v>26898.75</v>
      </c>
      <c r="G229" s="36">
        <v>3986875.4</v>
      </c>
      <c r="H229" s="36">
        <v>698360.83</v>
      </c>
      <c r="I229" s="36">
        <v>1064284.78</v>
      </c>
      <c r="J229" s="36">
        <v>1461632.94</v>
      </c>
      <c r="K229" s="36">
        <v>463468.63</v>
      </c>
      <c r="L229" s="36">
        <v>96104.24</v>
      </c>
      <c r="M229" s="36">
        <v>652870.47</v>
      </c>
      <c r="N229" s="50">
        <v>1.3599999999999999E-2</v>
      </c>
      <c r="O229" s="53">
        <v>9.5600000000000004E-2</v>
      </c>
      <c r="P229" s="36">
        <v>0</v>
      </c>
      <c r="Q229" s="69">
        <v>0</v>
      </c>
      <c r="R229" s="69">
        <v>0</v>
      </c>
      <c r="S229" s="70">
        <v>0</v>
      </c>
      <c r="T229" s="70">
        <v>0</v>
      </c>
      <c r="U229" s="70">
        <v>0</v>
      </c>
      <c r="V229" s="36">
        <v>0</v>
      </c>
      <c r="W229" s="70">
        <v>0</v>
      </c>
      <c r="X229" s="70">
        <v>0</v>
      </c>
      <c r="Y229" s="36">
        <v>1092.8</v>
      </c>
      <c r="Z229" s="36">
        <v>6384.41</v>
      </c>
      <c r="AA229" s="36">
        <v>0</v>
      </c>
      <c r="AB229" s="36">
        <v>137280.82999999999</v>
      </c>
      <c r="AC229" s="36">
        <v>396702.65</v>
      </c>
      <c r="AD229" s="36">
        <v>30.17</v>
      </c>
      <c r="AE229" s="36">
        <v>259231.59</v>
      </c>
      <c r="AF229" s="71">
        <f t="shared" si="68"/>
        <v>8592.362943321179</v>
      </c>
      <c r="AG229" s="71">
        <f t="shared" si="69"/>
        <v>13148.911170036459</v>
      </c>
      <c r="AH229" s="72">
        <f t="shared" si="70"/>
        <v>4556.55</v>
      </c>
      <c r="AI229" s="36">
        <v>15.3</v>
      </c>
      <c r="AJ229" s="36">
        <v>127570.12</v>
      </c>
      <c r="AK229" s="71">
        <f t="shared" si="71"/>
        <v>8337.9163398692799</v>
      </c>
      <c r="AL229" s="71">
        <f t="shared" si="72"/>
        <v>8972.6032679738546</v>
      </c>
      <c r="AM229" s="72">
        <f t="shared" si="73"/>
        <v>634.69000000000005</v>
      </c>
      <c r="AN229" s="70">
        <v>0</v>
      </c>
      <c r="AO229" s="70">
        <v>0</v>
      </c>
      <c r="AP229" s="3">
        <v>0</v>
      </c>
    </row>
    <row r="230" spans="1:42" s="3" customFormat="1" ht="15">
      <c r="A230" s="59" t="s">
        <v>495</v>
      </c>
      <c r="B230" s="59" t="s">
        <v>87</v>
      </c>
      <c r="C230" s="59" t="str">
        <f>CONCATENATE(B230," ",A230," SCHOOL DISTRICT")</f>
        <v>14097 QUINAULT SCHOOL DISTRICT</v>
      </c>
      <c r="D230" s="36">
        <v>0</v>
      </c>
      <c r="E230" s="36">
        <v>11241.22</v>
      </c>
      <c r="F230" s="36">
        <v>4883.74</v>
      </c>
      <c r="G230" s="36">
        <v>0</v>
      </c>
      <c r="H230" s="36">
        <v>0</v>
      </c>
      <c r="I230" s="36">
        <v>53897</v>
      </c>
      <c r="J230" s="36">
        <v>117414.77</v>
      </c>
      <c r="K230" s="36">
        <v>78767.33</v>
      </c>
      <c r="L230" s="36">
        <v>6000.05</v>
      </c>
      <c r="M230" s="36">
        <v>266828.71999999997</v>
      </c>
      <c r="N230" s="50">
        <v>4.5999999999999999E-2</v>
      </c>
      <c r="O230" s="53">
        <v>0.24560000000000001</v>
      </c>
      <c r="P230" s="36">
        <v>0</v>
      </c>
      <c r="Q230" s="69">
        <v>0</v>
      </c>
      <c r="R230" s="69">
        <v>0</v>
      </c>
      <c r="S230" s="70">
        <v>0</v>
      </c>
      <c r="T230" s="70">
        <v>0</v>
      </c>
      <c r="U230" s="70">
        <v>0</v>
      </c>
      <c r="V230" s="36">
        <v>0</v>
      </c>
      <c r="W230" s="70">
        <v>0</v>
      </c>
      <c r="X230" s="70">
        <v>0</v>
      </c>
      <c r="Y230" s="36">
        <v>235.7</v>
      </c>
      <c r="Z230" s="36">
        <v>0</v>
      </c>
      <c r="AA230" s="36">
        <v>0</v>
      </c>
      <c r="AB230" s="36">
        <v>0</v>
      </c>
      <c r="AC230" s="36">
        <v>77838.210000000006</v>
      </c>
      <c r="AD230" s="36">
        <v>7.47</v>
      </c>
      <c r="AE230" s="36">
        <v>64125.09</v>
      </c>
      <c r="AF230" s="71">
        <f t="shared" si="68"/>
        <v>8584.3493975903621</v>
      </c>
      <c r="AG230" s="71">
        <f t="shared" si="69"/>
        <v>10420.10843373494</v>
      </c>
      <c r="AH230" s="72">
        <f t="shared" si="70"/>
        <v>1835.76</v>
      </c>
      <c r="AI230" s="36">
        <v>0</v>
      </c>
      <c r="AJ230" s="36">
        <v>0</v>
      </c>
      <c r="AK230" s="71">
        <f t="shared" si="71"/>
        <v>0</v>
      </c>
      <c r="AL230" s="71">
        <f t="shared" si="72"/>
        <v>0</v>
      </c>
      <c r="AM230" s="72">
        <f t="shared" si="73"/>
        <v>0</v>
      </c>
      <c r="AN230" s="70">
        <v>563.65</v>
      </c>
      <c r="AO230" s="70">
        <v>0</v>
      </c>
      <c r="AP230" s="3">
        <v>0</v>
      </c>
    </row>
    <row r="231" spans="1:42" s="3" customFormat="1" ht="15">
      <c r="A231" s="59" t="s">
        <v>479</v>
      </c>
      <c r="B231" s="59" t="s">
        <v>71</v>
      </c>
      <c r="C231" s="59" t="str">
        <f>CONCATENATE(B231," ",A231," SCHOOL DISTRICT")</f>
        <v>13144 QUINCY SCHOOL DISTRICT</v>
      </c>
      <c r="D231" s="36">
        <v>0</v>
      </c>
      <c r="E231" s="36">
        <v>124358.84</v>
      </c>
      <c r="F231" s="36">
        <v>2881.99</v>
      </c>
      <c r="G231" s="36">
        <v>4088164.83</v>
      </c>
      <c r="H231" s="36">
        <v>611886.88</v>
      </c>
      <c r="I231" s="36">
        <v>954628.69</v>
      </c>
      <c r="J231" s="36">
        <v>1683221</v>
      </c>
      <c r="K231" s="36">
        <v>1977912.78</v>
      </c>
      <c r="L231" s="36">
        <v>92897.33</v>
      </c>
      <c r="M231" s="36">
        <v>1698592.46</v>
      </c>
      <c r="N231" s="50">
        <v>3.7699999999999997E-2</v>
      </c>
      <c r="O231" s="53">
        <v>0.14960000000000001</v>
      </c>
      <c r="P231" s="36">
        <v>0</v>
      </c>
      <c r="Q231" s="69">
        <v>0</v>
      </c>
      <c r="R231" s="69">
        <v>0</v>
      </c>
      <c r="S231" s="70">
        <v>0</v>
      </c>
      <c r="T231" s="70">
        <v>0</v>
      </c>
      <c r="U231" s="70">
        <v>0</v>
      </c>
      <c r="V231" s="36">
        <v>0</v>
      </c>
      <c r="W231" s="70">
        <v>0</v>
      </c>
      <c r="X231" s="70">
        <v>0</v>
      </c>
      <c r="Y231" s="36">
        <v>0</v>
      </c>
      <c r="Z231" s="36">
        <v>13493.86</v>
      </c>
      <c r="AA231" s="36">
        <v>54276.36</v>
      </c>
      <c r="AB231" s="36">
        <v>417558.3</v>
      </c>
      <c r="AC231" s="36">
        <v>2164878.52</v>
      </c>
      <c r="AD231" s="36">
        <v>238.4</v>
      </c>
      <c r="AE231" s="36">
        <v>2048016.56</v>
      </c>
      <c r="AF231" s="71">
        <f t="shared" si="68"/>
        <v>8590.6734899328858</v>
      </c>
      <c r="AG231" s="71">
        <f t="shared" si="69"/>
        <v>9080.8662751677857</v>
      </c>
      <c r="AH231" s="72">
        <f t="shared" si="70"/>
        <v>490.19</v>
      </c>
      <c r="AI231" s="36">
        <v>46.51</v>
      </c>
      <c r="AJ231" s="36">
        <v>387689.6</v>
      </c>
      <c r="AK231" s="71">
        <f t="shared" si="71"/>
        <v>8335.6181466351318</v>
      </c>
      <c r="AL231" s="71">
        <f t="shared" si="72"/>
        <v>8977.817673618576</v>
      </c>
      <c r="AM231" s="72">
        <f t="shared" si="73"/>
        <v>642.20000000000005</v>
      </c>
      <c r="AN231" s="70">
        <v>5440.56</v>
      </c>
      <c r="AO231" s="70">
        <v>0</v>
      </c>
      <c r="AP231" s="3">
        <v>0</v>
      </c>
    </row>
    <row r="232" spans="1:42" s="3" customFormat="1" ht="15">
      <c r="A232" s="59" t="s">
        <v>664</v>
      </c>
      <c r="B232" s="59" t="s">
        <v>260</v>
      </c>
      <c r="C232" s="59" t="str">
        <f>CONCATENATE(B232," ",A232," SCHOOL DISTRICT")</f>
        <v>34307 RAINIER SCHOOL DISTRICT</v>
      </c>
      <c r="D232" s="36">
        <v>0</v>
      </c>
      <c r="E232" s="36">
        <v>2488.33</v>
      </c>
      <c r="F232" s="36">
        <v>0</v>
      </c>
      <c r="G232" s="36">
        <v>1261556.33</v>
      </c>
      <c r="H232" s="36">
        <v>214929.92000000001</v>
      </c>
      <c r="I232" s="36">
        <v>0</v>
      </c>
      <c r="J232" s="36">
        <v>237208.87</v>
      </c>
      <c r="K232" s="36">
        <v>0</v>
      </c>
      <c r="L232" s="36">
        <v>26586.44</v>
      </c>
      <c r="M232" s="36">
        <v>590153.48</v>
      </c>
      <c r="N232" s="50">
        <v>4.5199999999999997E-2</v>
      </c>
      <c r="O232" s="54">
        <v>0.2132</v>
      </c>
      <c r="P232" s="36">
        <v>0</v>
      </c>
      <c r="Q232" s="69">
        <v>0</v>
      </c>
      <c r="R232" s="69">
        <v>0</v>
      </c>
      <c r="S232" s="70">
        <v>0</v>
      </c>
      <c r="T232" s="70">
        <v>0</v>
      </c>
      <c r="U232" s="70">
        <v>0</v>
      </c>
      <c r="V232" s="36">
        <v>0</v>
      </c>
      <c r="W232" s="70">
        <v>0</v>
      </c>
      <c r="X232" s="70">
        <v>0</v>
      </c>
      <c r="Y232" s="36">
        <v>1053.33</v>
      </c>
      <c r="Z232" s="36">
        <v>0</v>
      </c>
      <c r="AA232" s="36">
        <v>0</v>
      </c>
      <c r="AB232" s="36">
        <v>121369.56</v>
      </c>
      <c r="AC232" s="36">
        <v>600661.59</v>
      </c>
      <c r="AD232" s="36">
        <v>64.39</v>
      </c>
      <c r="AE232" s="36">
        <v>553204.89</v>
      </c>
      <c r="AF232" s="71">
        <f t="shared" si="68"/>
        <v>8591.4721230004652</v>
      </c>
      <c r="AG232" s="71">
        <f t="shared" si="69"/>
        <v>9328.491846560024</v>
      </c>
      <c r="AH232" s="72">
        <f t="shared" si="70"/>
        <v>737.02</v>
      </c>
      <c r="AI232" s="36">
        <v>13.54</v>
      </c>
      <c r="AJ232" s="36">
        <v>112837.62</v>
      </c>
      <c r="AK232" s="71">
        <f t="shared" si="71"/>
        <v>8333.649926144757</v>
      </c>
      <c r="AL232" s="71">
        <f t="shared" si="72"/>
        <v>8963.7784342688337</v>
      </c>
      <c r="AM232" s="72">
        <f t="shared" si="73"/>
        <v>630.13</v>
      </c>
      <c r="AN232" s="70">
        <v>0</v>
      </c>
      <c r="AO232" s="70">
        <v>1368.17</v>
      </c>
      <c r="AP232" s="3">
        <v>0</v>
      </c>
    </row>
    <row r="233" spans="1:42" s="3" customFormat="1" ht="15">
      <c r="A233" s="59" t="s">
        <v>780</v>
      </c>
      <c r="B233" s="59" t="s">
        <v>416</v>
      </c>
      <c r="C233" s="62" t="str">
        <f>CONCATENATE(B233," ",A233," CHARTER")</f>
        <v>17908 RAINIER PREP CHARTER</v>
      </c>
      <c r="D233" s="36">
        <v>0</v>
      </c>
      <c r="E233" s="36">
        <v>0</v>
      </c>
      <c r="F233" s="36">
        <v>0</v>
      </c>
      <c r="G233" s="36">
        <v>214210.05</v>
      </c>
      <c r="H233" s="36">
        <v>22174.93</v>
      </c>
      <c r="I233" s="36">
        <v>115256.76</v>
      </c>
      <c r="J233" s="36">
        <v>191455.6</v>
      </c>
      <c r="K233" s="36">
        <v>229471.44</v>
      </c>
      <c r="L233" s="36">
        <v>0</v>
      </c>
      <c r="M233" s="36">
        <v>252222.75</v>
      </c>
      <c r="N233" s="50">
        <v>0</v>
      </c>
      <c r="O233" s="53">
        <v>0.10920000000000001</v>
      </c>
      <c r="P233" s="36">
        <v>0</v>
      </c>
      <c r="Q233" s="69">
        <v>0</v>
      </c>
      <c r="R233" s="69">
        <v>0</v>
      </c>
      <c r="S233" s="70">
        <v>0</v>
      </c>
      <c r="T233" s="70">
        <v>0</v>
      </c>
      <c r="U233" s="70">
        <v>0</v>
      </c>
      <c r="V233" s="36">
        <v>0</v>
      </c>
      <c r="W233" s="70">
        <v>0</v>
      </c>
      <c r="X233" s="70">
        <v>0</v>
      </c>
      <c r="Y233" s="36">
        <v>374.42</v>
      </c>
      <c r="Z233" s="36">
        <v>0</v>
      </c>
      <c r="AA233" s="36">
        <v>0</v>
      </c>
      <c r="AB233" s="36">
        <v>0</v>
      </c>
      <c r="AC233" s="36">
        <v>0</v>
      </c>
      <c r="AD233" s="36">
        <v>0</v>
      </c>
      <c r="AE233" s="36">
        <v>0</v>
      </c>
      <c r="AF233" s="71">
        <f t="shared" si="68"/>
        <v>0</v>
      </c>
      <c r="AG233" s="71">
        <f t="shared" si="69"/>
        <v>0</v>
      </c>
      <c r="AH233" s="72">
        <f t="shared" si="70"/>
        <v>0</v>
      </c>
      <c r="AI233" s="36">
        <v>0</v>
      </c>
      <c r="AJ233" s="36">
        <v>0</v>
      </c>
      <c r="AK233" s="71">
        <f t="shared" si="71"/>
        <v>0</v>
      </c>
      <c r="AL233" s="71">
        <f t="shared" si="72"/>
        <v>0</v>
      </c>
      <c r="AM233" s="72">
        <f t="shared" si="73"/>
        <v>0</v>
      </c>
      <c r="AN233" s="70">
        <v>0</v>
      </c>
      <c r="AO233" s="70">
        <v>0</v>
      </c>
      <c r="AP233" s="3">
        <v>0</v>
      </c>
    </row>
    <row r="234" spans="1:42" s="3" customFormat="1" ht="15">
      <c r="A234" s="59" t="s">
        <v>768</v>
      </c>
      <c r="B234" s="59" t="s">
        <v>723</v>
      </c>
      <c r="C234" s="62" t="str">
        <f>CONCATENATE(B234," ",A234," CHARTER")</f>
        <v>17910 RAINIER VALLEY LEADERSHIP ACADEMY CHARTER</v>
      </c>
      <c r="D234" s="36">
        <v>0</v>
      </c>
      <c r="E234" s="36">
        <v>0</v>
      </c>
      <c r="F234" s="36">
        <v>0</v>
      </c>
      <c r="G234" s="36">
        <v>189056.34</v>
      </c>
      <c r="H234" s="36">
        <v>84828.6</v>
      </c>
      <c r="I234" s="36">
        <v>54992.57</v>
      </c>
      <c r="J234" s="36">
        <v>92133.51</v>
      </c>
      <c r="K234" s="36">
        <v>34796.89</v>
      </c>
      <c r="L234" s="36">
        <v>0</v>
      </c>
      <c r="M234" s="36">
        <v>57304.18</v>
      </c>
      <c r="N234" s="50">
        <v>0.08</v>
      </c>
      <c r="O234" s="53">
        <v>0.1</v>
      </c>
      <c r="P234" s="36">
        <v>0</v>
      </c>
      <c r="Q234" s="69">
        <v>0</v>
      </c>
      <c r="R234" s="69">
        <v>0</v>
      </c>
      <c r="S234" s="70">
        <v>0</v>
      </c>
      <c r="T234" s="70">
        <v>0</v>
      </c>
      <c r="U234" s="70">
        <v>0</v>
      </c>
      <c r="V234" s="36">
        <v>0</v>
      </c>
      <c r="W234" s="70">
        <v>0</v>
      </c>
      <c r="X234" s="70">
        <v>0</v>
      </c>
      <c r="Y234" s="36">
        <v>0</v>
      </c>
      <c r="Z234" s="36">
        <v>0</v>
      </c>
      <c r="AA234" s="36">
        <v>0</v>
      </c>
      <c r="AB234" s="36">
        <v>0</v>
      </c>
      <c r="AC234" s="36">
        <v>1434.66</v>
      </c>
      <c r="AD234" s="36">
        <v>0</v>
      </c>
      <c r="AE234" s="36">
        <v>0</v>
      </c>
      <c r="AF234" s="71">
        <f t="shared" si="68"/>
        <v>0</v>
      </c>
      <c r="AG234" s="71">
        <f t="shared" si="69"/>
        <v>0</v>
      </c>
      <c r="AH234" s="72">
        <f t="shared" si="70"/>
        <v>0</v>
      </c>
      <c r="AI234" s="36">
        <v>0</v>
      </c>
      <c r="AJ234" s="36">
        <v>0</v>
      </c>
      <c r="AK234" s="71">
        <f t="shared" si="71"/>
        <v>0</v>
      </c>
      <c r="AL234" s="71">
        <f t="shared" si="72"/>
        <v>0</v>
      </c>
      <c r="AM234" s="72">
        <f t="shared" si="73"/>
        <v>0</v>
      </c>
      <c r="AN234" s="70">
        <v>0</v>
      </c>
      <c r="AO234" s="70">
        <v>0</v>
      </c>
      <c r="AP234" s="3">
        <v>0</v>
      </c>
    </row>
    <row r="235" spans="1:42" s="3" customFormat="1" ht="15">
      <c r="A235" s="59" t="s">
        <v>586</v>
      </c>
      <c r="B235" s="59" t="s">
        <v>178</v>
      </c>
      <c r="C235" s="59" t="str">
        <f t="shared" ref="C235:C267" si="75">CONCATENATE(B235," ",A235," SCHOOL DISTRICT")</f>
        <v>25116 RAYMOND SCHOOL DISTRICT</v>
      </c>
      <c r="D235" s="36">
        <v>0</v>
      </c>
      <c r="E235" s="36">
        <v>0</v>
      </c>
      <c r="F235" s="36">
        <v>0</v>
      </c>
      <c r="G235" s="36">
        <v>0</v>
      </c>
      <c r="H235" s="36">
        <v>0</v>
      </c>
      <c r="I235" s="36">
        <v>156518.54999999999</v>
      </c>
      <c r="J235" s="36">
        <v>239898.56</v>
      </c>
      <c r="K235" s="36">
        <v>95820.06</v>
      </c>
      <c r="L235" s="36">
        <v>14379.43</v>
      </c>
      <c r="M235" s="36">
        <v>501934.89</v>
      </c>
      <c r="N235" s="50">
        <v>2.3800000000000002E-2</v>
      </c>
      <c r="O235" s="53">
        <v>0.1898</v>
      </c>
      <c r="P235" s="36">
        <v>0</v>
      </c>
      <c r="Q235" s="69">
        <v>0</v>
      </c>
      <c r="R235" s="69">
        <v>0</v>
      </c>
      <c r="S235" s="70">
        <v>0</v>
      </c>
      <c r="T235" s="70">
        <v>0</v>
      </c>
      <c r="U235" s="70">
        <v>0</v>
      </c>
      <c r="V235" s="36">
        <v>0</v>
      </c>
      <c r="W235" s="70">
        <v>0</v>
      </c>
      <c r="X235" s="70">
        <v>0</v>
      </c>
      <c r="Y235" s="36">
        <v>0</v>
      </c>
      <c r="Z235" s="36">
        <v>0</v>
      </c>
      <c r="AA235" s="36">
        <v>0</v>
      </c>
      <c r="AB235" s="36">
        <v>0</v>
      </c>
      <c r="AC235" s="36">
        <v>348324.02</v>
      </c>
      <c r="AD235" s="36">
        <v>38.19</v>
      </c>
      <c r="AE235" s="36">
        <v>328232.37</v>
      </c>
      <c r="AF235" s="71">
        <f t="shared" si="68"/>
        <v>8594.7203456402203</v>
      </c>
      <c r="AG235" s="71">
        <f t="shared" si="69"/>
        <v>9120.8174914899191</v>
      </c>
      <c r="AH235" s="72">
        <f t="shared" si="70"/>
        <v>526.1</v>
      </c>
      <c r="AI235" s="36">
        <v>0</v>
      </c>
      <c r="AJ235" s="36">
        <v>0</v>
      </c>
      <c r="AK235" s="71">
        <f t="shared" si="71"/>
        <v>0</v>
      </c>
      <c r="AL235" s="71">
        <f t="shared" si="72"/>
        <v>0</v>
      </c>
      <c r="AM235" s="72">
        <f t="shared" si="73"/>
        <v>0</v>
      </c>
      <c r="AN235" s="70">
        <v>0</v>
      </c>
      <c r="AO235" s="70">
        <v>0</v>
      </c>
      <c r="AP235" s="3">
        <v>0</v>
      </c>
    </row>
    <row r="236" spans="1:42" s="3" customFormat="1" ht="15">
      <c r="A236" s="59" t="s">
        <v>563</v>
      </c>
      <c r="B236" s="59" t="s">
        <v>155</v>
      </c>
      <c r="C236" s="59" t="str">
        <f t="shared" si="75"/>
        <v>22009 REARDAN SCHOOL DISTRICT</v>
      </c>
      <c r="D236" s="36">
        <v>0</v>
      </c>
      <c r="E236" s="36">
        <v>0</v>
      </c>
      <c r="F236" s="36">
        <v>0</v>
      </c>
      <c r="G236" s="36">
        <v>798504.63</v>
      </c>
      <c r="H236" s="36">
        <v>142681.82</v>
      </c>
      <c r="I236" s="36">
        <v>0</v>
      </c>
      <c r="J236" s="36">
        <v>221277.71</v>
      </c>
      <c r="K236" s="36">
        <v>13297.07</v>
      </c>
      <c r="L236" s="36">
        <v>21931.23</v>
      </c>
      <c r="M236" s="36">
        <v>932804.9</v>
      </c>
      <c r="N236" s="50">
        <v>3.1399999999999997E-2</v>
      </c>
      <c r="O236" s="53">
        <v>0.29930000000000001</v>
      </c>
      <c r="P236" s="36">
        <v>0</v>
      </c>
      <c r="Q236" s="69">
        <v>0</v>
      </c>
      <c r="R236" s="69">
        <v>0</v>
      </c>
      <c r="S236" s="70">
        <v>0</v>
      </c>
      <c r="T236" s="70">
        <v>0</v>
      </c>
      <c r="U236" s="70">
        <v>0</v>
      </c>
      <c r="V236" s="36">
        <v>0</v>
      </c>
      <c r="W236" s="70">
        <v>0</v>
      </c>
      <c r="X236" s="70">
        <v>0</v>
      </c>
      <c r="Y236" s="36">
        <v>0</v>
      </c>
      <c r="Z236" s="36">
        <v>0</v>
      </c>
      <c r="AA236" s="36">
        <v>0</v>
      </c>
      <c r="AB236" s="36">
        <v>103449.91</v>
      </c>
      <c r="AC236" s="36">
        <v>412100.93</v>
      </c>
      <c r="AD236" s="36">
        <v>45.6</v>
      </c>
      <c r="AE236" s="36">
        <v>391802.04</v>
      </c>
      <c r="AF236" s="71">
        <f t="shared" si="68"/>
        <v>8592.15</v>
      </c>
      <c r="AG236" s="71">
        <f t="shared" si="69"/>
        <v>9037.3010964912282</v>
      </c>
      <c r="AH236" s="72">
        <f t="shared" si="70"/>
        <v>445.15</v>
      </c>
      <c r="AI236" s="36">
        <v>11.52</v>
      </c>
      <c r="AJ236" s="36">
        <v>96114.65</v>
      </c>
      <c r="AK236" s="71">
        <f t="shared" si="71"/>
        <v>8343.2855902777774</v>
      </c>
      <c r="AL236" s="71">
        <f t="shared" si="72"/>
        <v>8980.0269097222226</v>
      </c>
      <c r="AM236" s="72">
        <f t="shared" si="73"/>
        <v>636.74</v>
      </c>
      <c r="AN236" s="70">
        <v>153.47999999999999</v>
      </c>
      <c r="AO236" s="70">
        <v>0</v>
      </c>
      <c r="AP236" s="3">
        <v>0</v>
      </c>
    </row>
    <row r="237" spans="1:42" s="3" customFormat="1" ht="15">
      <c r="A237" s="59" t="s">
        <v>515</v>
      </c>
      <c r="B237" s="59" t="s">
        <v>107</v>
      </c>
      <c r="C237" s="59" t="str">
        <f t="shared" si="75"/>
        <v>17403 RENTON SCHOOL DISTRICT</v>
      </c>
      <c r="D237" s="36">
        <v>0</v>
      </c>
      <c r="E237" s="36">
        <v>583467.93000000005</v>
      </c>
      <c r="F237" s="36">
        <v>246949.96</v>
      </c>
      <c r="G237" s="36">
        <v>26456002.059999999</v>
      </c>
      <c r="H237" s="36">
        <v>5529048.2400000002</v>
      </c>
      <c r="I237" s="36">
        <v>2471430.5</v>
      </c>
      <c r="J237" s="36">
        <v>5949021.2000000002</v>
      </c>
      <c r="K237" s="36">
        <v>6227234.0300000003</v>
      </c>
      <c r="L237" s="36">
        <v>502361.25</v>
      </c>
      <c r="M237" s="36">
        <v>8746814.2799999993</v>
      </c>
      <c r="N237" s="50">
        <v>3.1E-2</v>
      </c>
      <c r="O237" s="53">
        <v>0.1205</v>
      </c>
      <c r="P237" s="36">
        <v>0</v>
      </c>
      <c r="Q237" s="69">
        <v>0</v>
      </c>
      <c r="R237" s="69">
        <v>0</v>
      </c>
      <c r="S237" s="70">
        <v>0</v>
      </c>
      <c r="T237" s="70">
        <v>0</v>
      </c>
      <c r="U237" s="70">
        <v>0</v>
      </c>
      <c r="V237" s="36">
        <v>0</v>
      </c>
      <c r="W237" s="70">
        <v>0</v>
      </c>
      <c r="X237" s="70">
        <v>0</v>
      </c>
      <c r="Y237" s="36">
        <v>11203.2</v>
      </c>
      <c r="Z237" s="36">
        <v>140479.75</v>
      </c>
      <c r="AA237" s="36">
        <v>936498.51</v>
      </c>
      <c r="AB237" s="36">
        <v>1960416.47</v>
      </c>
      <c r="AC237" s="36">
        <v>13510126.939999999</v>
      </c>
      <c r="AD237" s="36">
        <v>1286.9100000000001</v>
      </c>
      <c r="AE237" s="36">
        <v>12439623.029999999</v>
      </c>
      <c r="AF237" s="71">
        <f t="shared" si="68"/>
        <v>9666.2727230342443</v>
      </c>
      <c r="AG237" s="71">
        <f t="shared" si="69"/>
        <v>10498.113263553783</v>
      </c>
      <c r="AH237" s="72">
        <f t="shared" si="70"/>
        <v>831.84</v>
      </c>
      <c r="AI237" s="36">
        <v>193.69</v>
      </c>
      <c r="AJ237" s="36">
        <v>1821159.84</v>
      </c>
      <c r="AK237" s="71">
        <f t="shared" si="71"/>
        <v>9402.446383396149</v>
      </c>
      <c r="AL237" s="71">
        <f t="shared" si="72"/>
        <v>10121.412927874439</v>
      </c>
      <c r="AM237" s="72">
        <f t="shared" si="73"/>
        <v>718.97</v>
      </c>
      <c r="AN237" s="70">
        <v>0</v>
      </c>
      <c r="AO237" s="70">
        <v>0</v>
      </c>
      <c r="AP237" s="3">
        <v>0</v>
      </c>
    </row>
    <row r="238" spans="1:42" s="3" customFormat="1" ht="15">
      <c r="A238" s="59" t="s">
        <v>472</v>
      </c>
      <c r="B238" s="59" t="s">
        <v>64</v>
      </c>
      <c r="C238" s="59" t="str">
        <f t="shared" si="75"/>
        <v>10309 REPUBLIC SCHOOL DISTRICT</v>
      </c>
      <c r="D238" s="36">
        <v>0</v>
      </c>
      <c r="E238" s="36">
        <v>13659.56</v>
      </c>
      <c r="F238" s="36">
        <v>0</v>
      </c>
      <c r="G238" s="36">
        <v>478005.49</v>
      </c>
      <c r="H238" s="36">
        <v>82824.2</v>
      </c>
      <c r="I238" s="36">
        <v>95504.19</v>
      </c>
      <c r="J238" s="36">
        <v>176661.34</v>
      </c>
      <c r="K238" s="36">
        <v>0</v>
      </c>
      <c r="L238" s="36">
        <v>11777.42</v>
      </c>
      <c r="M238" s="36">
        <v>373796.55</v>
      </c>
      <c r="N238" s="50">
        <v>7.9399999999999998E-2</v>
      </c>
      <c r="O238" s="53">
        <v>0.2389</v>
      </c>
      <c r="P238" s="36">
        <v>0</v>
      </c>
      <c r="Q238" s="69">
        <v>0</v>
      </c>
      <c r="R238" s="69">
        <v>0</v>
      </c>
      <c r="S238" s="70">
        <v>0</v>
      </c>
      <c r="T238" s="70">
        <v>0</v>
      </c>
      <c r="U238" s="70">
        <v>0</v>
      </c>
      <c r="V238" s="36">
        <v>0</v>
      </c>
      <c r="W238" s="70">
        <v>0</v>
      </c>
      <c r="X238" s="70">
        <v>0</v>
      </c>
      <c r="Y238" s="36">
        <v>0</v>
      </c>
      <c r="Z238" s="36">
        <v>0</v>
      </c>
      <c r="AA238" s="36">
        <v>1155.0899999999999</v>
      </c>
      <c r="AB238" s="36">
        <v>0</v>
      </c>
      <c r="AC238" s="36">
        <v>116200.28</v>
      </c>
      <c r="AD238" s="36">
        <v>11.63</v>
      </c>
      <c r="AE238" s="36">
        <v>101994.07</v>
      </c>
      <c r="AF238" s="71">
        <f t="shared" si="68"/>
        <v>8769.9114359415307</v>
      </c>
      <c r="AG238" s="71">
        <f t="shared" si="69"/>
        <v>9991.4256233877895</v>
      </c>
      <c r="AH238" s="72">
        <f t="shared" si="70"/>
        <v>1221.51</v>
      </c>
      <c r="AI238" s="36">
        <v>0</v>
      </c>
      <c r="AJ238" s="36">
        <v>0</v>
      </c>
      <c r="AK238" s="71">
        <f t="shared" si="71"/>
        <v>0</v>
      </c>
      <c r="AL238" s="71">
        <f t="shared" si="72"/>
        <v>0</v>
      </c>
      <c r="AM238" s="72">
        <f t="shared" si="73"/>
        <v>0</v>
      </c>
      <c r="AN238" s="70">
        <v>6068.42</v>
      </c>
      <c r="AO238" s="70">
        <v>0</v>
      </c>
      <c r="AP238" s="3">
        <v>0</v>
      </c>
    </row>
    <row r="239" spans="1:42" s="3" customFormat="1" ht="15">
      <c r="A239" s="59" t="s">
        <v>432</v>
      </c>
      <c r="B239" s="59" t="s">
        <v>24</v>
      </c>
      <c r="C239" s="59" t="str">
        <f t="shared" si="75"/>
        <v>03400 RICHLAND SCHOOL DISTRICT</v>
      </c>
      <c r="D239" s="36">
        <v>0</v>
      </c>
      <c r="E239" s="36">
        <v>299061.02</v>
      </c>
      <c r="F239" s="36">
        <v>50009.34</v>
      </c>
      <c r="G239" s="36">
        <v>19136475.309999999</v>
      </c>
      <c r="H239" s="36">
        <v>4407336.97</v>
      </c>
      <c r="I239" s="36">
        <v>777844.44</v>
      </c>
      <c r="J239" s="36">
        <v>3449866.37</v>
      </c>
      <c r="K239" s="36">
        <v>1465496.73</v>
      </c>
      <c r="L239" s="36">
        <v>416952.65</v>
      </c>
      <c r="M239" s="36">
        <v>5185579.95</v>
      </c>
      <c r="N239" s="50">
        <v>3.5000000000000003E-2</v>
      </c>
      <c r="O239" s="53">
        <v>0.14069999999999999</v>
      </c>
      <c r="P239" s="36">
        <v>0</v>
      </c>
      <c r="Q239" s="69">
        <v>0</v>
      </c>
      <c r="R239" s="69">
        <v>0</v>
      </c>
      <c r="S239" s="70">
        <v>145288.08000000002</v>
      </c>
      <c r="T239" s="70">
        <v>14031.131999999998</v>
      </c>
      <c r="U239" s="70">
        <v>5678.05</v>
      </c>
      <c r="V239" s="36">
        <v>0</v>
      </c>
      <c r="W239" s="70">
        <v>0</v>
      </c>
      <c r="X239" s="70">
        <v>0</v>
      </c>
      <c r="Y239" s="36">
        <v>2017.57</v>
      </c>
      <c r="Z239" s="36">
        <v>21687.7</v>
      </c>
      <c r="AA239" s="36">
        <v>454749.93</v>
      </c>
      <c r="AB239" s="36">
        <v>444937.72</v>
      </c>
      <c r="AC239" s="36">
        <v>6476624.1600000001</v>
      </c>
      <c r="AD239" s="36">
        <v>687.84</v>
      </c>
      <c r="AE239" s="36">
        <v>6032004.79</v>
      </c>
      <c r="AF239" s="71">
        <f t="shared" si="68"/>
        <v>8769.4882385438468</v>
      </c>
      <c r="AG239" s="71">
        <f t="shared" si="69"/>
        <v>9415.8876482902997</v>
      </c>
      <c r="AH239" s="72">
        <f t="shared" si="70"/>
        <v>646.4</v>
      </c>
      <c r="AI239" s="36">
        <v>48.52</v>
      </c>
      <c r="AJ239" s="36">
        <v>413212.97</v>
      </c>
      <c r="AK239" s="71">
        <f t="shared" si="71"/>
        <v>8516.3431574608403</v>
      </c>
      <c r="AL239" s="71">
        <f t="shared" si="72"/>
        <v>9170.1920857378391</v>
      </c>
      <c r="AM239" s="72">
        <f t="shared" si="73"/>
        <v>653.85</v>
      </c>
      <c r="AN239" s="70">
        <v>0</v>
      </c>
      <c r="AO239" s="70">
        <v>0</v>
      </c>
      <c r="AP239" s="3">
        <v>0</v>
      </c>
    </row>
    <row r="240" spans="1:42" s="3" customFormat="1" ht="15">
      <c r="A240" s="59" t="s">
        <v>453</v>
      </c>
      <c r="B240" s="59" t="s">
        <v>45</v>
      </c>
      <c r="C240" s="59" t="str">
        <f t="shared" si="75"/>
        <v>06122 RIDGEFIELD SCHOOL DISTRICT</v>
      </c>
      <c r="D240" s="36">
        <v>0</v>
      </c>
      <c r="E240" s="36">
        <v>0</v>
      </c>
      <c r="F240" s="36">
        <v>0</v>
      </c>
      <c r="G240" s="36">
        <v>5273592.1900000004</v>
      </c>
      <c r="H240" s="36">
        <v>806774.69</v>
      </c>
      <c r="I240" s="36">
        <v>0</v>
      </c>
      <c r="J240" s="36">
        <v>619655.78</v>
      </c>
      <c r="K240" s="36">
        <v>240958.54</v>
      </c>
      <c r="L240" s="36">
        <v>121535.31</v>
      </c>
      <c r="M240" s="36">
        <v>0</v>
      </c>
      <c r="N240" s="50">
        <v>4.4499999999999998E-2</v>
      </c>
      <c r="O240" s="53">
        <v>0.1953</v>
      </c>
      <c r="P240" s="36">
        <v>0</v>
      </c>
      <c r="Q240" s="69">
        <v>0</v>
      </c>
      <c r="R240" s="69">
        <v>0</v>
      </c>
      <c r="S240" s="70">
        <v>0</v>
      </c>
      <c r="T240" s="70">
        <v>0</v>
      </c>
      <c r="U240" s="70">
        <v>0</v>
      </c>
      <c r="V240" s="36">
        <v>0</v>
      </c>
      <c r="W240" s="70">
        <v>0</v>
      </c>
      <c r="X240" s="70">
        <v>0</v>
      </c>
      <c r="Y240" s="36">
        <v>4364.4399999999996</v>
      </c>
      <c r="Z240" s="36">
        <v>0</v>
      </c>
      <c r="AA240" s="36">
        <v>0</v>
      </c>
      <c r="AB240" s="36">
        <v>580883.93000000005</v>
      </c>
      <c r="AC240" s="36">
        <v>1859175.02</v>
      </c>
      <c r="AD240" s="36">
        <v>197.95</v>
      </c>
      <c r="AE240" s="36">
        <v>1771381.99</v>
      </c>
      <c r="AF240" s="71">
        <f t="shared" si="68"/>
        <v>8948.6334427885831</v>
      </c>
      <c r="AG240" s="71">
        <f t="shared" si="69"/>
        <v>9392.1445819651435</v>
      </c>
      <c r="AH240" s="72">
        <f t="shared" si="70"/>
        <v>443.51</v>
      </c>
      <c r="AI240" s="36">
        <v>62.08</v>
      </c>
      <c r="AJ240" s="36">
        <v>539392.19999999995</v>
      </c>
      <c r="AK240" s="71">
        <f t="shared" si="71"/>
        <v>8688.663015463917</v>
      </c>
      <c r="AL240" s="71">
        <f t="shared" si="72"/>
        <v>9357.0220682989693</v>
      </c>
      <c r="AM240" s="72">
        <f t="shared" si="73"/>
        <v>668.36</v>
      </c>
      <c r="AN240" s="70">
        <v>0</v>
      </c>
      <c r="AO240" s="70">
        <v>11593.02</v>
      </c>
      <c r="AP240" s="3">
        <v>0</v>
      </c>
    </row>
    <row r="241" spans="1:42" s="3" customFormat="1" ht="15">
      <c r="A241" s="59" t="s">
        <v>424</v>
      </c>
      <c r="B241" s="59" t="s">
        <v>16</v>
      </c>
      <c r="C241" s="59" t="str">
        <f t="shared" si="75"/>
        <v>01160 RITZVILLE SCHOOL DISTRICT</v>
      </c>
      <c r="D241" s="36">
        <v>0</v>
      </c>
      <c r="E241" s="36">
        <v>10267.450000000001</v>
      </c>
      <c r="F241" s="36">
        <v>3137.58</v>
      </c>
      <c r="G241" s="36">
        <v>323490.59999999998</v>
      </c>
      <c r="H241" s="36">
        <v>36322.47</v>
      </c>
      <c r="I241" s="36">
        <v>50749.98</v>
      </c>
      <c r="J241" s="36">
        <v>108994.69</v>
      </c>
      <c r="K241" s="36">
        <v>0</v>
      </c>
      <c r="L241" s="36">
        <v>10813.81</v>
      </c>
      <c r="M241" s="36">
        <v>0</v>
      </c>
      <c r="N241" s="50">
        <v>3.78E-2</v>
      </c>
      <c r="O241" s="53">
        <v>0.24279999999999999</v>
      </c>
      <c r="P241" s="36">
        <v>0</v>
      </c>
      <c r="Q241" s="69">
        <v>0</v>
      </c>
      <c r="R241" s="69">
        <v>0</v>
      </c>
      <c r="S241" s="70">
        <v>0</v>
      </c>
      <c r="T241" s="70">
        <v>0</v>
      </c>
      <c r="U241" s="70">
        <v>0</v>
      </c>
      <c r="V241" s="36">
        <v>0</v>
      </c>
      <c r="W241" s="70">
        <v>0</v>
      </c>
      <c r="X241" s="70">
        <v>0</v>
      </c>
      <c r="Y241" s="36">
        <v>0</v>
      </c>
      <c r="Z241" s="36">
        <v>0</v>
      </c>
      <c r="AA241" s="36">
        <v>0</v>
      </c>
      <c r="AB241" s="36">
        <v>108451.14</v>
      </c>
      <c r="AC241" s="36">
        <v>281874.84000000003</v>
      </c>
      <c r="AD241" s="36">
        <v>30.71</v>
      </c>
      <c r="AE241" s="36">
        <v>269049.88</v>
      </c>
      <c r="AF241" s="71">
        <f t="shared" si="68"/>
        <v>8760.9859980462388</v>
      </c>
      <c r="AG241" s="71">
        <f t="shared" si="69"/>
        <v>9178.6011071312278</v>
      </c>
      <c r="AH241" s="72">
        <f t="shared" si="70"/>
        <v>417.62</v>
      </c>
      <c r="AI241" s="36">
        <v>11.82</v>
      </c>
      <c r="AJ241" s="36">
        <v>100392.84</v>
      </c>
      <c r="AK241" s="71">
        <f t="shared" si="71"/>
        <v>8493.4720812182732</v>
      </c>
      <c r="AL241" s="71">
        <f t="shared" si="72"/>
        <v>9175.2233502538074</v>
      </c>
      <c r="AM241" s="72">
        <f t="shared" si="73"/>
        <v>681.75</v>
      </c>
      <c r="AN241" s="70">
        <v>862.01</v>
      </c>
      <c r="AO241" s="70">
        <v>0</v>
      </c>
      <c r="AP241" s="3">
        <v>0</v>
      </c>
    </row>
    <row r="242" spans="1:42" s="3" customFormat="1" ht="15">
      <c r="A242" s="59" t="s">
        <v>649</v>
      </c>
      <c r="B242" s="59" t="s">
        <v>243</v>
      </c>
      <c r="C242" s="59" t="str">
        <f t="shared" si="75"/>
        <v>32416 RIVERSIDE SCHOOL DISTRICT</v>
      </c>
      <c r="D242" s="36">
        <v>0</v>
      </c>
      <c r="E242" s="36">
        <v>25091.03</v>
      </c>
      <c r="F242" s="36">
        <v>9509.5400000000009</v>
      </c>
      <c r="G242" s="36">
        <v>2061631.44</v>
      </c>
      <c r="H242" s="36">
        <v>407784.23</v>
      </c>
      <c r="I242" s="36">
        <v>116069.95</v>
      </c>
      <c r="J242" s="36">
        <v>463245.26</v>
      </c>
      <c r="K242" s="36">
        <v>21112.87</v>
      </c>
      <c r="L242" s="36">
        <v>44896.93</v>
      </c>
      <c r="M242" s="36">
        <v>1595372.3</v>
      </c>
      <c r="N242" s="50">
        <v>3.8699999999999998E-2</v>
      </c>
      <c r="O242" s="53">
        <v>0.21060000000000001</v>
      </c>
      <c r="P242" s="36">
        <v>0</v>
      </c>
      <c r="Q242" s="69">
        <v>0</v>
      </c>
      <c r="R242" s="69">
        <v>0</v>
      </c>
      <c r="S242" s="70">
        <v>0</v>
      </c>
      <c r="T242" s="70">
        <v>0</v>
      </c>
      <c r="U242" s="70">
        <v>0</v>
      </c>
      <c r="V242" s="36">
        <v>0</v>
      </c>
      <c r="W242" s="70">
        <v>0</v>
      </c>
      <c r="X242" s="70">
        <v>0</v>
      </c>
      <c r="Y242" s="36">
        <v>1822.47</v>
      </c>
      <c r="Z242" s="36">
        <v>5642.13</v>
      </c>
      <c r="AA242" s="36">
        <v>34527.81</v>
      </c>
      <c r="AB242" s="36">
        <v>343788.17</v>
      </c>
      <c r="AC242" s="36">
        <v>1078154.83</v>
      </c>
      <c r="AD242" s="36">
        <v>113.47</v>
      </c>
      <c r="AE242" s="36">
        <v>974945.16</v>
      </c>
      <c r="AF242" s="71">
        <f t="shared" si="68"/>
        <v>8592.0962368908076</v>
      </c>
      <c r="AG242" s="71">
        <f t="shared" si="69"/>
        <v>9501.6729532034915</v>
      </c>
      <c r="AH242" s="72">
        <f t="shared" si="70"/>
        <v>909.58</v>
      </c>
      <c r="AI242" s="36">
        <v>38.29</v>
      </c>
      <c r="AJ242" s="36">
        <v>319293.90000000002</v>
      </c>
      <c r="AK242" s="71">
        <f t="shared" si="71"/>
        <v>8338.8325933664146</v>
      </c>
      <c r="AL242" s="71">
        <f t="shared" si="72"/>
        <v>8978.5366936536957</v>
      </c>
      <c r="AM242" s="72">
        <f t="shared" si="73"/>
        <v>639.70000000000005</v>
      </c>
      <c r="AN242" s="70">
        <v>0</v>
      </c>
      <c r="AO242" s="70">
        <v>0</v>
      </c>
      <c r="AP242" s="3">
        <v>0</v>
      </c>
    </row>
    <row r="243" spans="1:42" s="3" customFormat="1" ht="15">
      <c r="A243" s="59" t="s">
        <v>519</v>
      </c>
      <c r="B243" s="59" t="s">
        <v>111</v>
      </c>
      <c r="C243" s="59" t="str">
        <f t="shared" si="75"/>
        <v>17407 RIVERVIEW SCHOOL DISTRICT</v>
      </c>
      <c r="D243" s="36">
        <v>0</v>
      </c>
      <c r="E243" s="36">
        <v>0</v>
      </c>
      <c r="F243" s="36">
        <v>0</v>
      </c>
      <c r="G243" s="36">
        <v>3453620.09</v>
      </c>
      <c r="H243" s="36">
        <v>542020.06000000006</v>
      </c>
      <c r="I243" s="36">
        <v>0</v>
      </c>
      <c r="J243" s="36">
        <v>290178.62</v>
      </c>
      <c r="K243" s="36">
        <v>380767.42</v>
      </c>
      <c r="L243" s="36">
        <v>105552.17</v>
      </c>
      <c r="M243" s="36">
        <v>2550084.0099999998</v>
      </c>
      <c r="N243" s="50">
        <v>3.5499999999999997E-2</v>
      </c>
      <c r="O243" s="53">
        <v>0.1593</v>
      </c>
      <c r="P243" s="36">
        <v>0</v>
      </c>
      <c r="Q243" s="69">
        <v>0</v>
      </c>
      <c r="R243" s="69">
        <v>0</v>
      </c>
      <c r="S243" s="70">
        <v>0</v>
      </c>
      <c r="T243" s="70">
        <v>0</v>
      </c>
      <c r="U243" s="70">
        <v>0</v>
      </c>
      <c r="V243" s="36">
        <v>0</v>
      </c>
      <c r="W243" s="70">
        <v>0</v>
      </c>
      <c r="X243" s="70">
        <v>0</v>
      </c>
      <c r="Y243" s="36">
        <v>3512.98</v>
      </c>
      <c r="Z243" s="36">
        <v>0</v>
      </c>
      <c r="AA243" s="36">
        <v>0</v>
      </c>
      <c r="AB243" s="36">
        <v>224928.94</v>
      </c>
      <c r="AC243" s="36">
        <v>1834871.74</v>
      </c>
      <c r="AD243" s="36">
        <v>173.4</v>
      </c>
      <c r="AE243" s="36">
        <v>1676162.93</v>
      </c>
      <c r="AF243" s="71">
        <f t="shared" si="68"/>
        <v>9666.4528835063429</v>
      </c>
      <c r="AG243" s="71">
        <f t="shared" si="69"/>
        <v>10581.72860438293</v>
      </c>
      <c r="AH243" s="72">
        <f t="shared" si="70"/>
        <v>915.28</v>
      </c>
      <c r="AI243" s="36">
        <v>22.23</v>
      </c>
      <c r="AJ243" s="36">
        <v>208948.62</v>
      </c>
      <c r="AK243" s="71">
        <f t="shared" si="71"/>
        <v>9399.3981106612682</v>
      </c>
      <c r="AL243" s="71">
        <f t="shared" si="72"/>
        <v>10118.260908681961</v>
      </c>
      <c r="AM243" s="72">
        <f t="shared" si="73"/>
        <v>718.86</v>
      </c>
      <c r="AN243" s="70">
        <v>0</v>
      </c>
      <c r="AO243" s="70">
        <v>0</v>
      </c>
      <c r="AP243" s="3">
        <v>0</v>
      </c>
    </row>
    <row r="244" spans="1:42" s="3" customFormat="1" ht="15">
      <c r="A244" s="59" t="s">
        <v>666</v>
      </c>
      <c r="B244" s="59" t="s">
        <v>262</v>
      </c>
      <c r="C244" s="59" t="str">
        <f t="shared" si="75"/>
        <v>34401 ROCHESTER SCHOOL DISTRICT</v>
      </c>
      <c r="D244" s="36">
        <v>0</v>
      </c>
      <c r="E244" s="36">
        <v>64900.44</v>
      </c>
      <c r="F244" s="36">
        <v>36208.44</v>
      </c>
      <c r="G244" s="36">
        <v>3383773.75</v>
      </c>
      <c r="H244" s="36">
        <v>515426.36</v>
      </c>
      <c r="I244" s="36">
        <v>302278.40000000002</v>
      </c>
      <c r="J244" s="36">
        <v>658971.05000000005</v>
      </c>
      <c r="K244" s="36">
        <v>351915.42</v>
      </c>
      <c r="L244" s="36">
        <v>62793.63</v>
      </c>
      <c r="M244" s="36">
        <v>1574698.86</v>
      </c>
      <c r="N244" s="50">
        <v>2.1299999999999999E-2</v>
      </c>
      <c r="O244" s="53">
        <v>0.14610000000000001</v>
      </c>
      <c r="P244" s="36">
        <v>0</v>
      </c>
      <c r="Q244" s="69">
        <v>0</v>
      </c>
      <c r="R244" s="69">
        <v>0</v>
      </c>
      <c r="S244" s="70">
        <v>0</v>
      </c>
      <c r="T244" s="70">
        <v>0</v>
      </c>
      <c r="U244" s="70">
        <v>0</v>
      </c>
      <c r="V244" s="36">
        <v>0</v>
      </c>
      <c r="W244" s="70">
        <v>0</v>
      </c>
      <c r="X244" s="70">
        <v>0</v>
      </c>
      <c r="Y244" s="36">
        <v>2444.9899999999998</v>
      </c>
      <c r="Z244" s="36">
        <v>0</v>
      </c>
      <c r="AA244" s="36">
        <v>73380.289999999994</v>
      </c>
      <c r="AB244" s="36">
        <v>0</v>
      </c>
      <c r="AC244" s="36">
        <v>908059.73</v>
      </c>
      <c r="AD244" s="36">
        <v>94.48</v>
      </c>
      <c r="AE244" s="36">
        <v>811559.29</v>
      </c>
      <c r="AF244" s="71">
        <f t="shared" si="68"/>
        <v>8589.7469305673167</v>
      </c>
      <c r="AG244" s="71">
        <f t="shared" si="69"/>
        <v>9611.131773920406</v>
      </c>
      <c r="AH244" s="72">
        <f t="shared" si="70"/>
        <v>1021.38</v>
      </c>
      <c r="AI244" s="36">
        <v>0</v>
      </c>
      <c r="AJ244" s="36">
        <v>0</v>
      </c>
      <c r="AK244" s="71">
        <f t="shared" si="71"/>
        <v>0</v>
      </c>
      <c r="AL244" s="71">
        <f t="shared" si="72"/>
        <v>0</v>
      </c>
      <c r="AM244" s="72">
        <f t="shared" si="73"/>
        <v>0</v>
      </c>
      <c r="AN244" s="70">
        <v>3543.75</v>
      </c>
      <c r="AO244" s="70">
        <v>3171.07</v>
      </c>
      <c r="AP244" s="3">
        <v>0</v>
      </c>
    </row>
    <row r="245" spans="1:42" s="3" customFormat="1" ht="15">
      <c r="A245" s="59" t="s">
        <v>545</v>
      </c>
      <c r="B245" s="59" t="s">
        <v>137</v>
      </c>
      <c r="C245" s="59" t="str">
        <f t="shared" si="75"/>
        <v>20403 ROOSEVELT SCHOOL DISTRICT</v>
      </c>
      <c r="D245" s="36">
        <v>0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24868.54</v>
      </c>
      <c r="L245" s="36">
        <v>0</v>
      </c>
      <c r="M245" s="36">
        <v>105994.92</v>
      </c>
      <c r="N245" s="50">
        <v>3.3500000000000002E-2</v>
      </c>
      <c r="O245" s="53">
        <v>0.47960000000000003</v>
      </c>
      <c r="P245" s="36">
        <v>0</v>
      </c>
      <c r="Q245" s="69">
        <v>0</v>
      </c>
      <c r="R245" s="69">
        <v>0</v>
      </c>
      <c r="S245" s="70">
        <v>0</v>
      </c>
      <c r="T245" s="70">
        <v>0</v>
      </c>
      <c r="U245" s="70">
        <v>0</v>
      </c>
      <c r="V245" s="36">
        <v>0</v>
      </c>
      <c r="W245" s="70">
        <v>0</v>
      </c>
      <c r="X245" s="70">
        <v>0</v>
      </c>
      <c r="Y245" s="36">
        <v>28.19</v>
      </c>
      <c r="Z245" s="36">
        <v>0</v>
      </c>
      <c r="AA245" s="36">
        <v>0</v>
      </c>
      <c r="AB245" s="36">
        <v>0</v>
      </c>
      <c r="AC245" s="36">
        <v>0</v>
      </c>
      <c r="AD245" s="36">
        <v>0</v>
      </c>
      <c r="AE245" s="36">
        <v>0</v>
      </c>
      <c r="AF245" s="71">
        <f t="shared" si="68"/>
        <v>0</v>
      </c>
      <c r="AG245" s="71">
        <f t="shared" si="69"/>
        <v>0</v>
      </c>
      <c r="AH245" s="72">
        <f t="shared" si="70"/>
        <v>0</v>
      </c>
      <c r="AI245" s="36">
        <v>0</v>
      </c>
      <c r="AJ245" s="36">
        <v>0</v>
      </c>
      <c r="AK245" s="71">
        <f t="shared" si="71"/>
        <v>0</v>
      </c>
      <c r="AL245" s="71">
        <f t="shared" si="72"/>
        <v>0</v>
      </c>
      <c r="AM245" s="72">
        <f t="shared" si="73"/>
        <v>0</v>
      </c>
      <c r="AN245" s="70">
        <v>0</v>
      </c>
      <c r="AO245" s="70">
        <v>0</v>
      </c>
      <c r="AP245" s="3">
        <v>0</v>
      </c>
    </row>
    <row r="246" spans="1:42" s="3" customFormat="1" ht="15">
      <c r="A246" s="59" t="s">
        <v>693</v>
      </c>
      <c r="B246" s="59" t="s">
        <v>289</v>
      </c>
      <c r="C246" s="59" t="str">
        <f t="shared" si="75"/>
        <v>38320 ROSALIA SCHOOL DISTRICT</v>
      </c>
      <c r="D246" s="36">
        <v>0</v>
      </c>
      <c r="E246" s="36">
        <v>0</v>
      </c>
      <c r="F246" s="36">
        <v>3068.19</v>
      </c>
      <c r="G246" s="36">
        <v>203452.25</v>
      </c>
      <c r="H246" s="36">
        <v>37132.339999999997</v>
      </c>
      <c r="I246" s="36">
        <v>47859.16</v>
      </c>
      <c r="J246" s="36">
        <v>66488.899999999994</v>
      </c>
      <c r="K246" s="36">
        <v>0</v>
      </c>
      <c r="L246" s="36">
        <v>4603.91</v>
      </c>
      <c r="M246" s="36">
        <v>223887.77</v>
      </c>
      <c r="N246" s="50">
        <v>4.36E-2</v>
      </c>
      <c r="O246" s="53">
        <v>0.23749999999999999</v>
      </c>
      <c r="P246" s="36">
        <v>0</v>
      </c>
      <c r="Q246" s="69">
        <v>0</v>
      </c>
      <c r="R246" s="69">
        <v>0</v>
      </c>
      <c r="S246" s="70">
        <v>0</v>
      </c>
      <c r="T246" s="70">
        <v>0</v>
      </c>
      <c r="U246" s="70">
        <v>0</v>
      </c>
      <c r="V246" s="36">
        <v>0</v>
      </c>
      <c r="W246" s="70">
        <v>0</v>
      </c>
      <c r="X246" s="70">
        <v>0</v>
      </c>
      <c r="Y246" s="36">
        <v>0</v>
      </c>
      <c r="Z246" s="36">
        <v>0</v>
      </c>
      <c r="AA246" s="36">
        <v>0</v>
      </c>
      <c r="AB246" s="36">
        <v>18402.95</v>
      </c>
      <c r="AC246" s="36">
        <v>50740.959999999999</v>
      </c>
      <c r="AD246" s="36">
        <v>5.52</v>
      </c>
      <c r="AE246" s="36">
        <v>48262.66</v>
      </c>
      <c r="AF246" s="71">
        <f t="shared" si="68"/>
        <v>8743.2355072463779</v>
      </c>
      <c r="AG246" s="71">
        <f t="shared" si="69"/>
        <v>9192.2028985507259</v>
      </c>
      <c r="AH246" s="72">
        <f t="shared" si="70"/>
        <v>448.97</v>
      </c>
      <c r="AI246" s="36">
        <v>2.02</v>
      </c>
      <c r="AJ246" s="36">
        <v>17173.78</v>
      </c>
      <c r="AK246" s="71">
        <f t="shared" si="71"/>
        <v>8501.8712871287116</v>
      </c>
      <c r="AL246" s="71">
        <f t="shared" si="72"/>
        <v>9110.3712871287134</v>
      </c>
      <c r="AM246" s="72">
        <f t="shared" si="73"/>
        <v>608.5</v>
      </c>
      <c r="AN246" s="70">
        <v>0</v>
      </c>
      <c r="AO246" s="70">
        <v>0</v>
      </c>
      <c r="AP246" s="3">
        <v>0</v>
      </c>
    </row>
    <row r="247" spans="1:42" s="3" customFormat="1" ht="15">
      <c r="A247" s="59" t="s">
        <v>483</v>
      </c>
      <c r="B247" s="59" t="s">
        <v>75</v>
      </c>
      <c r="C247" s="59" t="str">
        <f t="shared" si="75"/>
        <v>13160 ROYAL SCHOOL DISTRICT</v>
      </c>
      <c r="D247" s="36">
        <v>216546.71</v>
      </c>
      <c r="E247" s="36">
        <v>57933.51</v>
      </c>
      <c r="F247" s="36">
        <v>44461.46</v>
      </c>
      <c r="G247" s="36">
        <v>2158873.85</v>
      </c>
      <c r="H247" s="36">
        <v>394112.13</v>
      </c>
      <c r="I247" s="36">
        <v>531004.44999999995</v>
      </c>
      <c r="J247" s="36">
        <v>891007.46</v>
      </c>
      <c r="K247" s="36">
        <v>1288495.57</v>
      </c>
      <c r="L247" s="36">
        <v>51621.11</v>
      </c>
      <c r="M247" s="36">
        <v>1419592.54</v>
      </c>
      <c r="N247" s="50">
        <v>3.0599999999999999E-2</v>
      </c>
      <c r="O247" s="53">
        <v>0.1623</v>
      </c>
      <c r="P247" s="36">
        <v>0</v>
      </c>
      <c r="Q247" s="69">
        <v>0</v>
      </c>
      <c r="R247" s="69">
        <v>0</v>
      </c>
      <c r="S247" s="70">
        <v>0</v>
      </c>
      <c r="T247" s="70">
        <v>0</v>
      </c>
      <c r="U247" s="70">
        <v>0</v>
      </c>
      <c r="V247" s="36">
        <v>0</v>
      </c>
      <c r="W247" s="70">
        <v>0</v>
      </c>
      <c r="X247" s="70">
        <v>0</v>
      </c>
      <c r="Y247" s="36">
        <v>1999.52</v>
      </c>
      <c r="Z247" s="36">
        <v>22782.38</v>
      </c>
      <c r="AA247" s="36">
        <v>58418.25</v>
      </c>
      <c r="AB247" s="36">
        <v>139493.75</v>
      </c>
      <c r="AC247" s="36">
        <v>901483.96</v>
      </c>
      <c r="AD247" s="36">
        <v>98</v>
      </c>
      <c r="AE247" s="36">
        <v>841956.02</v>
      </c>
      <c r="AF247" s="71">
        <f t="shared" si="68"/>
        <v>8591.387959183674</v>
      </c>
      <c r="AG247" s="71">
        <f t="shared" si="69"/>
        <v>9198.815918367347</v>
      </c>
      <c r="AH247" s="72">
        <f t="shared" si="70"/>
        <v>607.42999999999995</v>
      </c>
      <c r="AI247" s="36">
        <v>15.54</v>
      </c>
      <c r="AJ247" s="36">
        <v>129676.48</v>
      </c>
      <c r="AK247" s="71">
        <f t="shared" si="71"/>
        <v>8344.6898326898336</v>
      </c>
      <c r="AL247" s="71">
        <f t="shared" si="72"/>
        <v>8976.4317889317899</v>
      </c>
      <c r="AM247" s="72">
        <f t="shared" si="73"/>
        <v>631.74</v>
      </c>
      <c r="AN247" s="70">
        <v>10027.16</v>
      </c>
      <c r="AO247" s="70">
        <v>0</v>
      </c>
      <c r="AP247" s="3">
        <v>0</v>
      </c>
    </row>
    <row r="248" spans="1:42" s="3" customFormat="1" ht="15">
      <c r="A248" s="59" t="s">
        <v>611</v>
      </c>
      <c r="B248" s="59" t="s">
        <v>204</v>
      </c>
      <c r="C248" s="59" t="str">
        <f t="shared" si="75"/>
        <v>28149 SAN JUAN SCHOOL DISTRICT</v>
      </c>
      <c r="D248" s="36">
        <v>0</v>
      </c>
      <c r="E248" s="36">
        <v>639.02</v>
      </c>
      <c r="F248" s="36">
        <v>0</v>
      </c>
      <c r="G248" s="36">
        <v>1274436.68</v>
      </c>
      <c r="H248" s="36">
        <v>170166.31</v>
      </c>
      <c r="I248" s="36">
        <v>0</v>
      </c>
      <c r="J248" s="36">
        <v>201381</v>
      </c>
      <c r="K248" s="36">
        <v>105810.4</v>
      </c>
      <c r="L248" s="36">
        <v>25615.759999999998</v>
      </c>
      <c r="M248" s="36">
        <v>364617.26</v>
      </c>
      <c r="N248" s="50">
        <v>3.9899999999999998E-2</v>
      </c>
      <c r="O248" s="53">
        <v>0.19950000000000001</v>
      </c>
      <c r="P248" s="36">
        <v>0</v>
      </c>
      <c r="Q248" s="69">
        <v>0</v>
      </c>
      <c r="R248" s="69">
        <v>0</v>
      </c>
      <c r="S248" s="70">
        <v>0</v>
      </c>
      <c r="T248" s="70">
        <v>0</v>
      </c>
      <c r="U248" s="70">
        <v>0</v>
      </c>
      <c r="V248" s="36">
        <v>0</v>
      </c>
      <c r="W248" s="70">
        <v>0</v>
      </c>
      <c r="X248" s="70">
        <v>0</v>
      </c>
      <c r="Y248" s="36">
        <v>0</v>
      </c>
      <c r="Z248" s="36">
        <v>0</v>
      </c>
      <c r="AA248" s="36">
        <v>0</v>
      </c>
      <c r="AB248" s="36">
        <v>0</v>
      </c>
      <c r="AC248" s="36">
        <v>261385.87</v>
      </c>
      <c r="AD248" s="36">
        <v>26.6</v>
      </c>
      <c r="AE248" s="36">
        <v>247454.58</v>
      </c>
      <c r="AF248" s="71">
        <f t="shared" si="68"/>
        <v>9302.8037593984955</v>
      </c>
      <c r="AG248" s="71">
        <f t="shared" si="69"/>
        <v>9826.536466165413</v>
      </c>
      <c r="AH248" s="72">
        <f t="shared" si="70"/>
        <v>523.73</v>
      </c>
      <c r="AI248" s="36">
        <v>0</v>
      </c>
      <c r="AJ248" s="36">
        <v>0</v>
      </c>
      <c r="AK248" s="71">
        <f t="shared" si="71"/>
        <v>0</v>
      </c>
      <c r="AL248" s="71">
        <f t="shared" si="72"/>
        <v>0</v>
      </c>
      <c r="AM248" s="72">
        <f t="shared" si="73"/>
        <v>0</v>
      </c>
      <c r="AN248" s="70">
        <v>595.85</v>
      </c>
      <c r="AO248" s="70">
        <v>0</v>
      </c>
      <c r="AP248" s="3">
        <v>0</v>
      </c>
    </row>
    <row r="249" spans="1:42" s="3" customFormat="1" ht="15">
      <c r="A249" s="59" t="s">
        <v>497</v>
      </c>
      <c r="B249" s="59" t="s">
        <v>89</v>
      </c>
      <c r="C249" s="59" t="str">
        <f t="shared" si="75"/>
        <v>14104 SATSOP SCHOOL DISTRICT</v>
      </c>
      <c r="D249" s="36">
        <v>0</v>
      </c>
      <c r="E249" s="36">
        <v>0</v>
      </c>
      <c r="F249" s="36">
        <v>0</v>
      </c>
      <c r="G249" s="36">
        <v>88633.97</v>
      </c>
      <c r="H249" s="36">
        <v>5032.33</v>
      </c>
      <c r="I249" s="36">
        <v>16344.96</v>
      </c>
      <c r="J249" s="36">
        <v>22448.47</v>
      </c>
      <c r="K249" s="36">
        <v>0</v>
      </c>
      <c r="L249" s="36">
        <v>0</v>
      </c>
      <c r="M249" s="36">
        <v>0</v>
      </c>
      <c r="N249" s="50">
        <v>0.1457</v>
      </c>
      <c r="O249" s="53">
        <v>0.35920000000000002</v>
      </c>
      <c r="P249" s="36">
        <v>0</v>
      </c>
      <c r="Q249" s="69">
        <v>0</v>
      </c>
      <c r="R249" s="69">
        <v>0</v>
      </c>
      <c r="S249" s="70">
        <v>0</v>
      </c>
      <c r="T249" s="70">
        <v>0</v>
      </c>
      <c r="U249" s="70">
        <v>0</v>
      </c>
      <c r="V249" s="36">
        <v>0</v>
      </c>
      <c r="W249" s="70">
        <v>0</v>
      </c>
      <c r="X249" s="70">
        <v>0</v>
      </c>
      <c r="Y249" s="36">
        <v>59.77</v>
      </c>
      <c r="Z249" s="36">
        <v>0</v>
      </c>
      <c r="AA249" s="36">
        <v>0</v>
      </c>
      <c r="AB249" s="36">
        <v>0</v>
      </c>
      <c r="AC249" s="36">
        <v>0</v>
      </c>
      <c r="AD249" s="36">
        <v>0</v>
      </c>
      <c r="AE249" s="36">
        <v>0</v>
      </c>
      <c r="AF249" s="71">
        <f t="shared" si="68"/>
        <v>0</v>
      </c>
      <c r="AG249" s="71">
        <f t="shared" si="69"/>
        <v>0</v>
      </c>
      <c r="AH249" s="72">
        <f t="shared" si="70"/>
        <v>0</v>
      </c>
      <c r="AI249" s="36">
        <v>0</v>
      </c>
      <c r="AJ249" s="36">
        <v>0</v>
      </c>
      <c r="AK249" s="71">
        <f t="shared" si="71"/>
        <v>0</v>
      </c>
      <c r="AL249" s="71">
        <f t="shared" si="72"/>
        <v>0</v>
      </c>
      <c r="AM249" s="72">
        <f t="shared" si="73"/>
        <v>0</v>
      </c>
      <c r="AN249" s="70">
        <v>283.88</v>
      </c>
      <c r="AO249" s="70">
        <v>0</v>
      </c>
      <c r="AP249" s="3">
        <v>0</v>
      </c>
    </row>
    <row r="250" spans="1:42" s="3" customFormat="1" ht="15">
      <c r="A250" s="59" t="s">
        <v>509</v>
      </c>
      <c r="B250" s="59" t="s">
        <v>101</v>
      </c>
      <c r="C250" s="59" t="str">
        <f t="shared" si="75"/>
        <v>17001 SEATTLE SCHOOL DISTRICT</v>
      </c>
      <c r="D250" s="36">
        <v>0</v>
      </c>
      <c r="E250" s="36">
        <v>684863.78</v>
      </c>
      <c r="F250" s="36">
        <v>459661.57</v>
      </c>
      <c r="G250" s="36">
        <v>91839908.150000006</v>
      </c>
      <c r="H250" s="36">
        <v>15840570.73</v>
      </c>
      <c r="I250" s="36">
        <v>4674487.67</v>
      </c>
      <c r="J250" s="36">
        <v>15658024.1</v>
      </c>
      <c r="K250" s="36">
        <v>12482211.49</v>
      </c>
      <c r="L250" s="36">
        <v>1735919.93</v>
      </c>
      <c r="M250" s="36">
        <v>31358098.030000001</v>
      </c>
      <c r="N250" s="50">
        <v>4.6600000000000003E-2</v>
      </c>
      <c r="O250" s="53">
        <v>0.12620000000000001</v>
      </c>
      <c r="P250" s="36">
        <v>0</v>
      </c>
      <c r="Q250" s="69">
        <v>0</v>
      </c>
      <c r="R250" s="69">
        <v>0</v>
      </c>
      <c r="S250" s="70">
        <v>871696.65</v>
      </c>
      <c r="T250" s="70">
        <v>74289.713000000003</v>
      </c>
      <c r="U250" s="70">
        <v>28487.07</v>
      </c>
      <c r="V250" s="36">
        <v>0</v>
      </c>
      <c r="W250" s="70">
        <v>0</v>
      </c>
      <c r="X250" s="70">
        <v>0</v>
      </c>
      <c r="Y250" s="36">
        <v>0</v>
      </c>
      <c r="Z250" s="36">
        <v>185092.29</v>
      </c>
      <c r="AA250" s="36">
        <v>1256156.73</v>
      </c>
      <c r="AB250" s="36">
        <v>1933806.85</v>
      </c>
      <c r="AC250" s="36">
        <v>18355943.370000001</v>
      </c>
      <c r="AD250" s="36">
        <v>1783.67</v>
      </c>
      <c r="AE250" s="36">
        <v>17241353.23</v>
      </c>
      <c r="AF250" s="71">
        <f t="shared" si="68"/>
        <v>9666.2237016936997</v>
      </c>
      <c r="AG250" s="71">
        <f t="shared" si="69"/>
        <v>10291.109549412167</v>
      </c>
      <c r="AH250" s="72">
        <f t="shared" si="70"/>
        <v>624.89</v>
      </c>
      <c r="AI250" s="36">
        <v>191.07</v>
      </c>
      <c r="AJ250" s="36">
        <v>1796414.78</v>
      </c>
      <c r="AK250" s="71">
        <f t="shared" si="71"/>
        <v>9401.8672737740108</v>
      </c>
      <c r="AL250" s="71">
        <f t="shared" si="72"/>
        <v>10120.933950908046</v>
      </c>
      <c r="AM250" s="72">
        <f t="shared" si="73"/>
        <v>719.07</v>
      </c>
      <c r="AN250" s="70">
        <v>0</v>
      </c>
      <c r="AO250" s="70">
        <v>0</v>
      </c>
      <c r="AP250" s="3">
        <v>0</v>
      </c>
    </row>
    <row r="251" spans="1:42" s="3" customFormat="1" ht="15">
      <c r="A251" s="59" t="s">
        <v>614</v>
      </c>
      <c r="B251" s="59" t="s">
        <v>207</v>
      </c>
      <c r="C251" s="59" t="str">
        <f t="shared" si="75"/>
        <v>29101 SEDRO WOOLLEY SCHOOL DISTRICT</v>
      </c>
      <c r="D251" s="36">
        <v>0</v>
      </c>
      <c r="E251" s="36">
        <v>146286.85999999999</v>
      </c>
      <c r="F251" s="36">
        <v>68175.97</v>
      </c>
      <c r="G251" s="36">
        <v>7743715.9000000004</v>
      </c>
      <c r="H251" s="36">
        <v>1515865.22</v>
      </c>
      <c r="I251" s="36">
        <v>718842.14</v>
      </c>
      <c r="J251" s="36">
        <v>1620768.32</v>
      </c>
      <c r="K251" s="36">
        <v>684457.56</v>
      </c>
      <c r="L251" s="36">
        <v>143859.91</v>
      </c>
      <c r="M251" s="36">
        <v>3437257.4</v>
      </c>
      <c r="N251" s="50">
        <v>4.0099999999999997E-2</v>
      </c>
      <c r="O251" s="53">
        <v>0.1308</v>
      </c>
      <c r="P251" s="36">
        <v>0</v>
      </c>
      <c r="Q251" s="69">
        <v>0</v>
      </c>
      <c r="R251" s="69">
        <v>0</v>
      </c>
      <c r="S251" s="70">
        <v>0</v>
      </c>
      <c r="T251" s="70">
        <v>0</v>
      </c>
      <c r="U251" s="70">
        <v>0</v>
      </c>
      <c r="V251" s="36">
        <v>0</v>
      </c>
      <c r="W251" s="70">
        <v>0</v>
      </c>
      <c r="X251" s="70">
        <v>0</v>
      </c>
      <c r="Y251" s="36">
        <v>1026.26</v>
      </c>
      <c r="Z251" s="36">
        <v>0</v>
      </c>
      <c r="AA251" s="36">
        <v>263978.86</v>
      </c>
      <c r="AB251" s="36">
        <v>208077.95</v>
      </c>
      <c r="AC251" s="36">
        <v>2844601.77</v>
      </c>
      <c r="AD251" s="36">
        <v>286.42</v>
      </c>
      <c r="AE251" s="36">
        <v>2665877.4300000002</v>
      </c>
      <c r="AF251" s="71">
        <f t="shared" si="68"/>
        <v>9307.5812792402758</v>
      </c>
      <c r="AG251" s="71">
        <f t="shared" si="69"/>
        <v>9931.5752042455133</v>
      </c>
      <c r="AH251" s="72">
        <f t="shared" si="70"/>
        <v>623.99</v>
      </c>
      <c r="AI251" s="36">
        <v>21.35</v>
      </c>
      <c r="AJ251" s="36">
        <v>193246.91</v>
      </c>
      <c r="AK251" s="71">
        <f t="shared" si="71"/>
        <v>9051.3775175644023</v>
      </c>
      <c r="AL251" s="71">
        <f t="shared" si="72"/>
        <v>9746.0398126463697</v>
      </c>
      <c r="AM251" s="72">
        <f t="shared" si="73"/>
        <v>694.66</v>
      </c>
      <c r="AN251" s="70">
        <v>0</v>
      </c>
      <c r="AO251" s="70">
        <v>0</v>
      </c>
      <c r="AP251" s="3">
        <v>0</v>
      </c>
    </row>
    <row r="252" spans="1:42" s="3" customFormat="1" ht="15">
      <c r="A252" s="59" t="s">
        <v>699</v>
      </c>
      <c r="B252" s="59" t="s">
        <v>296</v>
      </c>
      <c r="C252" s="59" t="str">
        <f t="shared" si="75"/>
        <v>39119 SELAH SCHOOL DISTRICT</v>
      </c>
      <c r="D252" s="36">
        <v>0</v>
      </c>
      <c r="E252" s="36">
        <v>76950.899999999994</v>
      </c>
      <c r="F252" s="36">
        <v>0</v>
      </c>
      <c r="G252" s="36">
        <v>4651566.66</v>
      </c>
      <c r="H252" s="36">
        <v>627325.57999999996</v>
      </c>
      <c r="I252" s="36">
        <v>755592.53</v>
      </c>
      <c r="J252" s="36">
        <v>1332631.8700000001</v>
      </c>
      <c r="K252" s="36">
        <v>617247.64</v>
      </c>
      <c r="L252" s="36">
        <v>109863</v>
      </c>
      <c r="M252" s="36">
        <v>1827055.97</v>
      </c>
      <c r="N252" s="50">
        <v>4.2799999999999998E-2</v>
      </c>
      <c r="O252" s="53">
        <v>0.15179999999999999</v>
      </c>
      <c r="P252" s="36">
        <v>0</v>
      </c>
      <c r="Q252" s="69">
        <v>0</v>
      </c>
      <c r="R252" s="69">
        <v>0</v>
      </c>
      <c r="S252" s="70">
        <v>0</v>
      </c>
      <c r="T252" s="70">
        <v>0</v>
      </c>
      <c r="U252" s="70">
        <v>0</v>
      </c>
      <c r="V252" s="36">
        <v>219256.62</v>
      </c>
      <c r="W252" s="70">
        <v>0</v>
      </c>
      <c r="X252" s="70">
        <v>8702.2999999999993</v>
      </c>
      <c r="Y252" s="36">
        <v>0</v>
      </c>
      <c r="Z252" s="36">
        <v>2489.4299999999998</v>
      </c>
      <c r="AA252" s="36">
        <v>349.93</v>
      </c>
      <c r="AB252" s="36">
        <v>1615667.23</v>
      </c>
      <c r="AC252" s="36">
        <v>3712804.95</v>
      </c>
      <c r="AD252" s="36">
        <v>409.74</v>
      </c>
      <c r="AE252" s="36">
        <v>3519661.34</v>
      </c>
      <c r="AF252" s="71">
        <f t="shared" si="68"/>
        <v>8589.9871625909109</v>
      </c>
      <c r="AG252" s="71">
        <f t="shared" si="69"/>
        <v>9061.3680626738915</v>
      </c>
      <c r="AH252" s="72">
        <f t="shared" si="70"/>
        <v>471.38</v>
      </c>
      <c r="AI252" s="36">
        <v>179.98</v>
      </c>
      <c r="AJ252" s="36">
        <v>1500321.32</v>
      </c>
      <c r="AK252" s="71">
        <f t="shared" si="71"/>
        <v>8336.0446716301813</v>
      </c>
      <c r="AL252" s="71">
        <f t="shared" si="72"/>
        <v>8976.9264918324261</v>
      </c>
      <c r="AM252" s="72">
        <f t="shared" si="73"/>
        <v>640.88</v>
      </c>
      <c r="AN252" s="70">
        <v>20000</v>
      </c>
      <c r="AO252" s="70">
        <v>0</v>
      </c>
      <c r="AP252" s="3">
        <v>0</v>
      </c>
    </row>
    <row r="253" spans="1:42" s="3" customFormat="1" ht="15">
      <c r="A253" s="59" t="s">
        <v>592</v>
      </c>
      <c r="B253" s="59" t="s">
        <v>185</v>
      </c>
      <c r="C253" s="59" t="str">
        <f t="shared" si="75"/>
        <v>26070 SELKIRK SCHOOL DISTRICT</v>
      </c>
      <c r="D253" s="36">
        <v>0</v>
      </c>
      <c r="E253" s="36">
        <v>0</v>
      </c>
      <c r="F253" s="36">
        <v>0</v>
      </c>
      <c r="G253" s="36">
        <v>341073.13</v>
      </c>
      <c r="H253" s="36">
        <v>82840.22</v>
      </c>
      <c r="I253" s="36">
        <v>53069.4</v>
      </c>
      <c r="J253" s="36">
        <v>90931.8</v>
      </c>
      <c r="K253" s="36">
        <v>0</v>
      </c>
      <c r="L253" s="36">
        <v>0</v>
      </c>
      <c r="M253" s="36">
        <v>376899.84000000003</v>
      </c>
      <c r="N253" s="50">
        <v>4.0899999999999999E-2</v>
      </c>
      <c r="O253" s="53">
        <v>0.24199999999999999</v>
      </c>
      <c r="P253" s="36">
        <v>0</v>
      </c>
      <c r="Q253" s="69">
        <v>0</v>
      </c>
      <c r="R253" s="69">
        <v>0</v>
      </c>
      <c r="S253" s="70">
        <v>0</v>
      </c>
      <c r="T253" s="70">
        <v>0</v>
      </c>
      <c r="U253" s="70">
        <v>0</v>
      </c>
      <c r="V253" s="36">
        <v>0</v>
      </c>
      <c r="W253" s="70">
        <v>0</v>
      </c>
      <c r="X253" s="70">
        <v>0</v>
      </c>
      <c r="Y253" s="36">
        <v>297.73</v>
      </c>
      <c r="Z253" s="36">
        <v>0</v>
      </c>
      <c r="AA253" s="36">
        <v>0</v>
      </c>
      <c r="AB253" s="36">
        <v>57314.46</v>
      </c>
      <c r="AC253" s="36">
        <v>153123.12</v>
      </c>
      <c r="AD253" s="36">
        <v>17.03</v>
      </c>
      <c r="AE253" s="36">
        <v>146161.46</v>
      </c>
      <c r="AF253" s="71">
        <f t="shared" si="68"/>
        <v>8582.587199060481</v>
      </c>
      <c r="AG253" s="71">
        <f t="shared" si="69"/>
        <v>8991.3752201996467</v>
      </c>
      <c r="AH253" s="72">
        <f t="shared" si="70"/>
        <v>408.79</v>
      </c>
      <c r="AI253" s="36">
        <v>6.39</v>
      </c>
      <c r="AJ253" s="36">
        <v>53376.18</v>
      </c>
      <c r="AK253" s="71">
        <f t="shared" si="71"/>
        <v>8353.0798122065735</v>
      </c>
      <c r="AL253" s="71">
        <f t="shared" si="72"/>
        <v>8969.3990610328638</v>
      </c>
      <c r="AM253" s="72">
        <f t="shared" si="73"/>
        <v>616.32000000000005</v>
      </c>
      <c r="AN253" s="70">
        <v>120</v>
      </c>
      <c r="AO253" s="70">
        <v>0</v>
      </c>
      <c r="AP253" s="3">
        <v>0</v>
      </c>
    </row>
    <row r="254" spans="1:42" s="3" customFormat="1" ht="15">
      <c r="A254" s="59" t="s">
        <v>442</v>
      </c>
      <c r="B254" s="59" t="s">
        <v>34</v>
      </c>
      <c r="C254" s="59" t="str">
        <f t="shared" si="75"/>
        <v>05323 SEQUIM SCHOOL DISTRICT</v>
      </c>
      <c r="D254" s="36">
        <v>0</v>
      </c>
      <c r="E254" s="36">
        <v>0</v>
      </c>
      <c r="F254" s="36">
        <v>0</v>
      </c>
      <c r="G254" s="36">
        <v>3713063.35</v>
      </c>
      <c r="H254" s="36">
        <v>510144.58</v>
      </c>
      <c r="I254" s="36">
        <v>0</v>
      </c>
      <c r="J254" s="36">
        <v>779198.08</v>
      </c>
      <c r="K254" s="36">
        <v>84308.78</v>
      </c>
      <c r="L254" s="36">
        <v>80479.02</v>
      </c>
      <c r="M254" s="36">
        <v>1514062.45</v>
      </c>
      <c r="N254" s="50">
        <v>5.2299999999999999E-2</v>
      </c>
      <c r="O254" s="53">
        <v>0.17430000000000001</v>
      </c>
      <c r="P254" s="36">
        <v>0</v>
      </c>
      <c r="Q254" s="69">
        <v>0</v>
      </c>
      <c r="R254" s="69">
        <v>0</v>
      </c>
      <c r="S254" s="70">
        <v>0</v>
      </c>
      <c r="T254" s="70">
        <v>0</v>
      </c>
      <c r="U254" s="70">
        <v>0</v>
      </c>
      <c r="V254" s="36">
        <v>0</v>
      </c>
      <c r="W254" s="70">
        <v>0</v>
      </c>
      <c r="X254" s="70">
        <v>0</v>
      </c>
      <c r="Y254" s="36">
        <v>2894.97</v>
      </c>
      <c r="Z254" s="36">
        <v>0</v>
      </c>
      <c r="AA254" s="36">
        <v>117040.95</v>
      </c>
      <c r="AB254" s="36">
        <v>401299.15</v>
      </c>
      <c r="AC254" s="36">
        <v>2147742.5499999998</v>
      </c>
      <c r="AD254" s="36">
        <v>224.87</v>
      </c>
      <c r="AE254" s="36">
        <v>2012392.36</v>
      </c>
      <c r="AF254" s="71">
        <f t="shared" si="68"/>
        <v>8949.1366567350033</v>
      </c>
      <c r="AG254" s="71">
        <f t="shared" si="69"/>
        <v>9551.04082358696</v>
      </c>
      <c r="AH254" s="72">
        <f t="shared" si="70"/>
        <v>601.9</v>
      </c>
      <c r="AI254" s="36">
        <v>42.87</v>
      </c>
      <c r="AJ254" s="36">
        <v>372568.81</v>
      </c>
      <c r="AK254" s="71">
        <f t="shared" si="71"/>
        <v>8690.6650338231866</v>
      </c>
      <c r="AL254" s="71">
        <f t="shared" si="72"/>
        <v>9360.838581758806</v>
      </c>
      <c r="AM254" s="72">
        <f t="shared" si="73"/>
        <v>670.17</v>
      </c>
      <c r="AN254" s="70">
        <v>0</v>
      </c>
      <c r="AO254" s="70">
        <v>0</v>
      </c>
      <c r="AP254" s="3">
        <v>0</v>
      </c>
    </row>
    <row r="255" spans="1:42" s="3" customFormat="1" ht="15">
      <c r="A255" s="59" t="s">
        <v>608</v>
      </c>
      <c r="B255" s="59" t="s">
        <v>201</v>
      </c>
      <c r="C255" s="59" t="str">
        <f t="shared" si="75"/>
        <v>28010 SHAW SCHOOL DISTRICT</v>
      </c>
      <c r="D255" s="36">
        <v>0</v>
      </c>
      <c r="E255" s="36">
        <v>0</v>
      </c>
      <c r="F255" s="36">
        <v>0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343.07</v>
      </c>
      <c r="M255" s="36">
        <v>0</v>
      </c>
      <c r="N255" s="50">
        <v>0.36670000000000003</v>
      </c>
      <c r="O255" s="53">
        <v>0.57230000000000003</v>
      </c>
      <c r="P255" s="36">
        <v>0</v>
      </c>
      <c r="Q255" s="69">
        <v>0</v>
      </c>
      <c r="R255" s="69">
        <v>0</v>
      </c>
      <c r="S255" s="70">
        <v>0</v>
      </c>
      <c r="T255" s="70">
        <v>0</v>
      </c>
      <c r="U255" s="70">
        <v>0</v>
      </c>
      <c r="V255" s="36">
        <v>0</v>
      </c>
      <c r="W255" s="70">
        <v>0</v>
      </c>
      <c r="X255" s="70">
        <v>0</v>
      </c>
      <c r="Y255" s="36">
        <v>0</v>
      </c>
      <c r="Z255" s="36">
        <v>0</v>
      </c>
      <c r="AA255" s="36">
        <v>0</v>
      </c>
      <c r="AB255" s="36">
        <v>0</v>
      </c>
      <c r="AC255" s="36">
        <v>0</v>
      </c>
      <c r="AD255" s="36">
        <v>0</v>
      </c>
      <c r="AE255" s="36">
        <v>0</v>
      </c>
      <c r="AF255" s="71">
        <f t="shared" si="68"/>
        <v>0</v>
      </c>
      <c r="AG255" s="71">
        <f t="shared" si="69"/>
        <v>0</v>
      </c>
      <c r="AH255" s="72">
        <f t="shared" si="70"/>
        <v>0</v>
      </c>
      <c r="AI255" s="36">
        <v>0</v>
      </c>
      <c r="AJ255" s="36">
        <v>0</v>
      </c>
      <c r="AK255" s="71">
        <f t="shared" si="71"/>
        <v>0</v>
      </c>
      <c r="AL255" s="71">
        <f t="shared" si="72"/>
        <v>0</v>
      </c>
      <c r="AM255" s="72">
        <f t="shared" si="73"/>
        <v>0</v>
      </c>
      <c r="AN255" s="70">
        <v>0</v>
      </c>
      <c r="AO255" s="70">
        <v>0</v>
      </c>
      <c r="AP255" s="3">
        <v>0</v>
      </c>
    </row>
    <row r="256" spans="1:42" s="3" customFormat="1" ht="15">
      <c r="A256" s="59" t="s">
        <v>572</v>
      </c>
      <c r="B256" s="59" t="s">
        <v>164</v>
      </c>
      <c r="C256" s="59" t="str">
        <f t="shared" si="75"/>
        <v>23309 SHELTON SCHOOL DISTRICT</v>
      </c>
      <c r="D256" s="36">
        <v>0</v>
      </c>
      <c r="E256" s="36">
        <v>178089.76</v>
      </c>
      <c r="F256" s="36">
        <v>114714.45</v>
      </c>
      <c r="G256" s="36">
        <v>6594768.4199999999</v>
      </c>
      <c r="H256" s="36">
        <v>970111.73</v>
      </c>
      <c r="I256" s="36">
        <v>1287424.5900000001</v>
      </c>
      <c r="J256" s="36">
        <v>1878636.44</v>
      </c>
      <c r="K256" s="36">
        <v>1496071.87</v>
      </c>
      <c r="L256" s="36">
        <v>129207.97</v>
      </c>
      <c r="M256" s="36">
        <v>3120690.17</v>
      </c>
      <c r="N256" s="50">
        <v>1.9E-2</v>
      </c>
      <c r="O256" s="53">
        <v>0.13830000000000001</v>
      </c>
      <c r="P256" s="36">
        <v>0</v>
      </c>
      <c r="Q256" s="69">
        <v>0</v>
      </c>
      <c r="R256" s="69">
        <v>0</v>
      </c>
      <c r="S256" s="70">
        <v>139875.51</v>
      </c>
      <c r="T256" s="70">
        <v>13231.406000000001</v>
      </c>
      <c r="U256" s="70">
        <v>5473.49</v>
      </c>
      <c r="V256" s="36">
        <v>0</v>
      </c>
      <c r="W256" s="70">
        <v>0</v>
      </c>
      <c r="X256" s="70">
        <v>0</v>
      </c>
      <c r="Y256" s="36">
        <v>0</v>
      </c>
      <c r="Z256" s="36">
        <v>96584.99</v>
      </c>
      <c r="AA256" s="36">
        <v>421854.92</v>
      </c>
      <c r="AB256" s="36">
        <v>1192973.67</v>
      </c>
      <c r="AC256" s="36">
        <v>6070511.9500000002</v>
      </c>
      <c r="AD256" s="36">
        <v>668.71</v>
      </c>
      <c r="AE256" s="36">
        <v>5744372.7999999998</v>
      </c>
      <c r="AF256" s="71">
        <f t="shared" si="68"/>
        <v>8590.2301446067795</v>
      </c>
      <c r="AG256" s="71">
        <f t="shared" si="69"/>
        <v>9077.9440265585981</v>
      </c>
      <c r="AH256" s="72">
        <f t="shared" si="70"/>
        <v>487.71</v>
      </c>
      <c r="AI256" s="36">
        <v>132.88999999999999</v>
      </c>
      <c r="AJ256" s="36">
        <v>1107675.26</v>
      </c>
      <c r="AK256" s="71">
        <f t="shared" si="71"/>
        <v>8335.2792535179487</v>
      </c>
      <c r="AL256" s="71">
        <f t="shared" si="72"/>
        <v>8977.151553916774</v>
      </c>
      <c r="AM256" s="72">
        <f t="shared" si="73"/>
        <v>641.87</v>
      </c>
      <c r="AN256" s="70">
        <v>4014.56</v>
      </c>
      <c r="AO256" s="70">
        <v>0</v>
      </c>
      <c r="AP256" s="3">
        <v>0</v>
      </c>
    </row>
    <row r="257" spans="1:42" s="3" customFormat="1" ht="15">
      <c r="A257" s="59" t="s">
        <v>524</v>
      </c>
      <c r="B257" s="59" t="s">
        <v>116</v>
      </c>
      <c r="C257" s="59" t="str">
        <f t="shared" si="75"/>
        <v>17412 SHORELINE SCHOOL DISTRICT</v>
      </c>
      <c r="D257" s="36">
        <v>0</v>
      </c>
      <c r="E257" s="36">
        <v>158216.07</v>
      </c>
      <c r="F257" s="36">
        <v>0</v>
      </c>
      <c r="G257" s="36">
        <v>14500613.42</v>
      </c>
      <c r="H257" s="36">
        <v>2208026.64</v>
      </c>
      <c r="I257" s="36">
        <v>0</v>
      </c>
      <c r="J257" s="36">
        <v>1785640.87</v>
      </c>
      <c r="K257" s="36">
        <v>1805206.63</v>
      </c>
      <c r="L257" s="36">
        <v>315338.62</v>
      </c>
      <c r="M257" s="36">
        <v>4488470.18</v>
      </c>
      <c r="N257" s="50">
        <v>3.3399999999999999E-2</v>
      </c>
      <c r="O257" s="53">
        <v>0.1125</v>
      </c>
      <c r="P257" s="36">
        <v>0</v>
      </c>
      <c r="Q257" s="69">
        <v>0</v>
      </c>
      <c r="R257" s="69">
        <v>0</v>
      </c>
      <c r="S257" s="70">
        <v>0</v>
      </c>
      <c r="T257" s="70">
        <v>0</v>
      </c>
      <c r="U257" s="70">
        <v>0</v>
      </c>
      <c r="V257" s="36">
        <v>242572.11000000002</v>
      </c>
      <c r="W257" s="70">
        <v>0</v>
      </c>
      <c r="X257" s="70">
        <v>10157.200000000001</v>
      </c>
      <c r="Y257" s="36">
        <v>10628.04</v>
      </c>
      <c r="Z257" s="36">
        <v>29369.88</v>
      </c>
      <c r="AA257" s="36">
        <v>307298.95</v>
      </c>
      <c r="AB257" s="36">
        <v>240475.6</v>
      </c>
      <c r="AC257" s="36">
        <v>4208509.34</v>
      </c>
      <c r="AD257" s="36">
        <v>404.86</v>
      </c>
      <c r="AE257" s="36">
        <v>3913396.56</v>
      </c>
      <c r="AF257" s="71">
        <f t="shared" si="68"/>
        <v>9666.0489057945961</v>
      </c>
      <c r="AG257" s="71">
        <f t="shared" si="69"/>
        <v>10394.974410907473</v>
      </c>
      <c r="AH257" s="72">
        <f t="shared" si="70"/>
        <v>728.93</v>
      </c>
      <c r="AI257" s="36">
        <v>23.77</v>
      </c>
      <c r="AJ257" s="36">
        <v>223386.65</v>
      </c>
      <c r="AK257" s="71">
        <f t="shared" si="71"/>
        <v>9397.8397139251156</v>
      </c>
      <c r="AL257" s="71">
        <f t="shared" si="72"/>
        <v>10116.769036600757</v>
      </c>
      <c r="AM257" s="72">
        <f t="shared" si="73"/>
        <v>718.93</v>
      </c>
      <c r="AN257" s="70">
        <v>0</v>
      </c>
      <c r="AO257" s="70">
        <v>0</v>
      </c>
      <c r="AP257" s="3">
        <v>0</v>
      </c>
    </row>
    <row r="258" spans="1:42" s="3" customFormat="1" ht="15">
      <c r="A258" s="59" t="s">
        <v>619</v>
      </c>
      <c r="B258" s="61" t="s">
        <v>212</v>
      </c>
      <c r="C258" s="59" t="str">
        <f t="shared" si="75"/>
        <v>30002 SKAMANIA SCHOOL DISTRICT</v>
      </c>
      <c r="D258" s="36">
        <v>0</v>
      </c>
      <c r="E258" s="36">
        <v>0</v>
      </c>
      <c r="F258" s="36">
        <v>0</v>
      </c>
      <c r="G258" s="36">
        <v>0</v>
      </c>
      <c r="H258" s="36">
        <v>0</v>
      </c>
      <c r="I258" s="36">
        <v>0</v>
      </c>
      <c r="J258" s="36">
        <v>15620.82</v>
      </c>
      <c r="K258" s="36">
        <v>0</v>
      </c>
      <c r="L258" s="36">
        <v>2172.4299999999998</v>
      </c>
      <c r="M258" s="36">
        <v>89322.54</v>
      </c>
      <c r="N258" s="50">
        <v>9.6000000000000002E-2</v>
      </c>
      <c r="O258" s="53">
        <v>0.24890000000000001</v>
      </c>
      <c r="P258" s="36">
        <v>0</v>
      </c>
      <c r="Q258" s="69">
        <v>0</v>
      </c>
      <c r="R258" s="69">
        <v>0</v>
      </c>
      <c r="S258" s="70">
        <v>0</v>
      </c>
      <c r="T258" s="70">
        <v>0</v>
      </c>
      <c r="U258" s="70">
        <v>0</v>
      </c>
      <c r="V258" s="36">
        <v>0</v>
      </c>
      <c r="W258" s="70">
        <v>0</v>
      </c>
      <c r="X258" s="70">
        <v>0</v>
      </c>
      <c r="Y258" s="36">
        <v>0</v>
      </c>
      <c r="Z258" s="36">
        <v>0</v>
      </c>
      <c r="AA258" s="36">
        <v>0</v>
      </c>
      <c r="AB258" s="36">
        <v>0</v>
      </c>
      <c r="AC258" s="36">
        <v>0</v>
      </c>
      <c r="AD258" s="36">
        <v>0</v>
      </c>
      <c r="AE258" s="36">
        <v>0</v>
      </c>
      <c r="AF258" s="71">
        <f t="shared" si="68"/>
        <v>0</v>
      </c>
      <c r="AG258" s="71">
        <f t="shared" si="69"/>
        <v>0</v>
      </c>
      <c r="AH258" s="72">
        <f t="shared" si="70"/>
        <v>0</v>
      </c>
      <c r="AI258" s="36">
        <v>0</v>
      </c>
      <c r="AJ258" s="36">
        <v>0</v>
      </c>
      <c r="AK258" s="71">
        <f t="shared" si="71"/>
        <v>0</v>
      </c>
      <c r="AL258" s="71">
        <f t="shared" si="72"/>
        <v>0</v>
      </c>
      <c r="AM258" s="72">
        <f t="shared" si="73"/>
        <v>0</v>
      </c>
      <c r="AN258" s="70">
        <v>0</v>
      </c>
      <c r="AO258" s="70">
        <v>24870.95</v>
      </c>
      <c r="AP258" s="3">
        <v>0</v>
      </c>
    </row>
    <row r="259" spans="1:42" s="3" customFormat="1" ht="15">
      <c r="A259" s="59" t="s">
        <v>516</v>
      </c>
      <c r="B259" s="59" t="s">
        <v>108</v>
      </c>
      <c r="C259" s="59" t="str">
        <f t="shared" si="75"/>
        <v>17404 SKYKOMISH SCHOOL DISTRICT</v>
      </c>
      <c r="D259" s="36">
        <v>0</v>
      </c>
      <c r="E259" s="36">
        <v>2452.33</v>
      </c>
      <c r="F259" s="36">
        <v>1099.3800000000001</v>
      </c>
      <c r="G259" s="36">
        <v>55641.89</v>
      </c>
      <c r="H259" s="36">
        <v>10538.84</v>
      </c>
      <c r="I259" s="36">
        <v>12100.75</v>
      </c>
      <c r="J259" s="36">
        <v>20127.990000000002</v>
      </c>
      <c r="K259" s="36">
        <v>0</v>
      </c>
      <c r="L259" s="36">
        <v>0</v>
      </c>
      <c r="M259" s="36">
        <v>35938.83</v>
      </c>
      <c r="N259" s="50">
        <v>3.1800000000000002E-2</v>
      </c>
      <c r="O259" s="53">
        <v>0.33910000000000001</v>
      </c>
      <c r="P259" s="36">
        <v>0</v>
      </c>
      <c r="Q259" s="69">
        <v>0</v>
      </c>
      <c r="R259" s="69">
        <v>0</v>
      </c>
      <c r="S259" s="70">
        <v>0</v>
      </c>
      <c r="T259" s="70">
        <v>0</v>
      </c>
      <c r="U259" s="70">
        <v>0</v>
      </c>
      <c r="V259" s="36">
        <v>0</v>
      </c>
      <c r="W259" s="70">
        <v>0</v>
      </c>
      <c r="X259" s="70">
        <v>0</v>
      </c>
      <c r="Y259" s="36">
        <v>0</v>
      </c>
      <c r="Z259" s="36">
        <v>0</v>
      </c>
      <c r="AA259" s="36">
        <v>0</v>
      </c>
      <c r="AB259" s="36">
        <v>0</v>
      </c>
      <c r="AC259" s="36">
        <v>11354.75</v>
      </c>
      <c r="AD259" s="36">
        <v>1.1200000000000001</v>
      </c>
      <c r="AE259" s="36">
        <v>10942.77</v>
      </c>
      <c r="AF259" s="71">
        <f t="shared" si="68"/>
        <v>9770.3303571428569</v>
      </c>
      <c r="AG259" s="71">
        <f t="shared" si="69"/>
        <v>10138.169642857141</v>
      </c>
      <c r="AH259" s="72">
        <f t="shared" si="70"/>
        <v>367.84</v>
      </c>
      <c r="AI259" s="36">
        <v>0</v>
      </c>
      <c r="AJ259" s="36">
        <v>0</v>
      </c>
      <c r="AK259" s="71">
        <f t="shared" si="71"/>
        <v>0</v>
      </c>
      <c r="AL259" s="71">
        <f t="shared" si="72"/>
        <v>0</v>
      </c>
      <c r="AM259" s="72">
        <f t="shared" si="73"/>
        <v>0</v>
      </c>
      <c r="AN259" s="70">
        <v>0</v>
      </c>
      <c r="AO259" s="70">
        <v>0</v>
      </c>
      <c r="AP259" s="3">
        <v>0</v>
      </c>
    </row>
    <row r="260" spans="1:42" s="3" customFormat="1" ht="15">
      <c r="A260" s="59" t="s">
        <v>631</v>
      </c>
      <c r="B260" s="59" t="s">
        <v>224</v>
      </c>
      <c r="C260" s="59" t="str">
        <f t="shared" si="75"/>
        <v>31201 SNOHOMISH SCHOOL DISTRICT</v>
      </c>
      <c r="D260" s="36">
        <v>0</v>
      </c>
      <c r="E260" s="36">
        <v>90286.85</v>
      </c>
      <c r="F260" s="36">
        <v>0</v>
      </c>
      <c r="G260" s="36">
        <v>14932143.35</v>
      </c>
      <c r="H260" s="36">
        <v>2548026.06</v>
      </c>
      <c r="I260" s="36">
        <v>0</v>
      </c>
      <c r="J260" s="36">
        <v>1363791.6</v>
      </c>
      <c r="K260" s="36">
        <v>961499.42</v>
      </c>
      <c r="L260" s="36">
        <v>319052.71999999997</v>
      </c>
      <c r="M260" s="36">
        <v>6234975.0099999998</v>
      </c>
      <c r="N260" s="50">
        <v>5.5100000000000003E-2</v>
      </c>
      <c r="O260" s="53">
        <v>0.15670000000000001</v>
      </c>
      <c r="P260" s="36">
        <v>0</v>
      </c>
      <c r="Q260" s="69">
        <v>0</v>
      </c>
      <c r="R260" s="69">
        <v>0</v>
      </c>
      <c r="S260" s="70">
        <v>0</v>
      </c>
      <c r="T260" s="70">
        <v>0</v>
      </c>
      <c r="U260" s="70">
        <v>0</v>
      </c>
      <c r="V260" s="36">
        <v>0</v>
      </c>
      <c r="W260" s="70">
        <v>0</v>
      </c>
      <c r="X260" s="70">
        <v>0</v>
      </c>
      <c r="Y260" s="36">
        <v>10665.26</v>
      </c>
      <c r="Z260" s="36">
        <v>120751.27</v>
      </c>
      <c r="AA260" s="36">
        <v>402299.27</v>
      </c>
      <c r="AB260" s="36">
        <v>1223543.1100000001</v>
      </c>
      <c r="AC260" s="36">
        <v>4084003.29</v>
      </c>
      <c r="AD260" s="36">
        <v>387.73</v>
      </c>
      <c r="AE260" s="36">
        <v>3748070.94</v>
      </c>
      <c r="AF260" s="71">
        <f t="shared" si="68"/>
        <v>9666.7034792252343</v>
      </c>
      <c r="AG260" s="71">
        <f t="shared" si="69"/>
        <v>10533.111417739148</v>
      </c>
      <c r="AH260" s="72">
        <f t="shared" si="70"/>
        <v>866.41</v>
      </c>
      <c r="AI260" s="36">
        <v>120.89</v>
      </c>
      <c r="AJ260" s="36">
        <v>1136706.1200000001</v>
      </c>
      <c r="AK260" s="71">
        <f t="shared" si="71"/>
        <v>9402.8134667879895</v>
      </c>
      <c r="AL260" s="71">
        <f t="shared" si="72"/>
        <v>10121.127553974689</v>
      </c>
      <c r="AM260" s="72">
        <f t="shared" si="73"/>
        <v>718.31</v>
      </c>
      <c r="AN260" s="70">
        <v>0</v>
      </c>
      <c r="AO260" s="70">
        <v>0</v>
      </c>
      <c r="AP260" s="3">
        <v>0</v>
      </c>
    </row>
    <row r="261" spans="1:42" s="3" customFormat="1" ht="15">
      <c r="A261" s="59" t="s">
        <v>522</v>
      </c>
      <c r="B261" s="59" t="s">
        <v>114</v>
      </c>
      <c r="C261" s="59" t="str">
        <f t="shared" si="75"/>
        <v>17410 SNOQUALMIE VALLEY SCHOOL DISTRICT</v>
      </c>
      <c r="D261" s="36">
        <v>0</v>
      </c>
      <c r="E261" s="36">
        <v>0</v>
      </c>
      <c r="F261" s="36">
        <v>0</v>
      </c>
      <c r="G261" s="36">
        <v>10538013.74</v>
      </c>
      <c r="H261" s="36">
        <v>1372128.64</v>
      </c>
      <c r="I261" s="36">
        <v>0</v>
      </c>
      <c r="J261" s="36">
        <v>572210.19999999995</v>
      </c>
      <c r="K261" s="36">
        <v>554751.9</v>
      </c>
      <c r="L261" s="36">
        <v>241775.59</v>
      </c>
      <c r="M261" s="36">
        <v>3740008.78</v>
      </c>
      <c r="N261" s="50">
        <v>3.32E-2</v>
      </c>
      <c r="O261" s="53">
        <v>0.17680000000000001</v>
      </c>
      <c r="P261" s="36">
        <v>0</v>
      </c>
      <c r="Q261" s="69">
        <v>0</v>
      </c>
      <c r="R261" s="69">
        <v>0</v>
      </c>
      <c r="S261" s="70">
        <v>0</v>
      </c>
      <c r="T261" s="70">
        <v>0</v>
      </c>
      <c r="U261" s="70">
        <v>0</v>
      </c>
      <c r="V261" s="36">
        <v>0</v>
      </c>
      <c r="W261" s="70">
        <v>0</v>
      </c>
      <c r="X261" s="70">
        <v>0</v>
      </c>
      <c r="Y261" s="36">
        <v>1987.12</v>
      </c>
      <c r="Z261" s="36">
        <v>66654.48</v>
      </c>
      <c r="AA261" s="36">
        <v>183990.94</v>
      </c>
      <c r="AB261" s="36">
        <v>548596.16</v>
      </c>
      <c r="AC261" s="36">
        <v>4156744.49</v>
      </c>
      <c r="AD261" s="36">
        <v>387.35</v>
      </c>
      <c r="AE261" s="36">
        <v>3744267.12</v>
      </c>
      <c r="AF261" s="71">
        <f t="shared" si="68"/>
        <v>9666.3666451529625</v>
      </c>
      <c r="AG261" s="71">
        <f t="shared" si="69"/>
        <v>10731.236581902673</v>
      </c>
      <c r="AH261" s="72">
        <f t="shared" si="70"/>
        <v>1064.8699999999999</v>
      </c>
      <c r="AI261" s="36">
        <v>54.2</v>
      </c>
      <c r="AJ261" s="36">
        <v>509740.4</v>
      </c>
      <c r="AK261" s="71">
        <f t="shared" si="71"/>
        <v>9404.8044280442809</v>
      </c>
      <c r="AL261" s="71">
        <f t="shared" si="72"/>
        <v>10121.700369003691</v>
      </c>
      <c r="AM261" s="72">
        <f t="shared" si="73"/>
        <v>716.9</v>
      </c>
      <c r="AN261" s="70">
        <v>26636.95</v>
      </c>
      <c r="AO261" s="70">
        <v>0</v>
      </c>
      <c r="AP261" s="3">
        <v>0</v>
      </c>
    </row>
    <row r="262" spans="1:42" s="3" customFormat="1" ht="15">
      <c r="A262" s="59" t="s">
        <v>482</v>
      </c>
      <c r="B262" s="59" t="s">
        <v>74</v>
      </c>
      <c r="C262" s="59" t="str">
        <f t="shared" si="75"/>
        <v>13156 SOAP LAKE SCHOOL DISTRICT</v>
      </c>
      <c r="D262" s="36">
        <v>0</v>
      </c>
      <c r="E262" s="36">
        <v>0</v>
      </c>
      <c r="F262" s="36">
        <v>12843.1</v>
      </c>
      <c r="G262" s="36">
        <v>687628.22</v>
      </c>
      <c r="H262" s="36">
        <v>115794.06</v>
      </c>
      <c r="I262" s="36">
        <v>159828.93</v>
      </c>
      <c r="J262" s="36">
        <v>290588.64</v>
      </c>
      <c r="K262" s="36">
        <v>191640.11</v>
      </c>
      <c r="L262" s="36">
        <v>14689.78</v>
      </c>
      <c r="M262" s="36">
        <v>397564.33</v>
      </c>
      <c r="N262" s="50">
        <v>7.0199999999999999E-2</v>
      </c>
      <c r="O262" s="53">
        <v>0.24179999999999999</v>
      </c>
      <c r="P262" s="36">
        <v>0</v>
      </c>
      <c r="Q262" s="69">
        <v>0</v>
      </c>
      <c r="R262" s="69">
        <v>0</v>
      </c>
      <c r="S262" s="70">
        <v>0</v>
      </c>
      <c r="T262" s="70">
        <v>0</v>
      </c>
      <c r="U262" s="70">
        <v>0</v>
      </c>
      <c r="V262" s="36">
        <v>0</v>
      </c>
      <c r="W262" s="70">
        <v>0</v>
      </c>
      <c r="X262" s="70">
        <v>0</v>
      </c>
      <c r="Y262" s="36">
        <v>0</v>
      </c>
      <c r="Z262" s="36">
        <v>0</v>
      </c>
      <c r="AA262" s="36">
        <v>0</v>
      </c>
      <c r="AB262" s="36">
        <v>23614.15</v>
      </c>
      <c r="AC262" s="36">
        <v>221199.99</v>
      </c>
      <c r="AD262" s="36">
        <v>23.33</v>
      </c>
      <c r="AE262" s="36">
        <v>200442.96</v>
      </c>
      <c r="AF262" s="71">
        <f t="shared" si="68"/>
        <v>8591.6399485640814</v>
      </c>
      <c r="AG262" s="71">
        <f t="shared" si="69"/>
        <v>9481.354050578655</v>
      </c>
      <c r="AH262" s="72">
        <f t="shared" si="70"/>
        <v>889.71</v>
      </c>
      <c r="AI262" s="36">
        <v>2.63</v>
      </c>
      <c r="AJ262" s="36">
        <v>21908.29</v>
      </c>
      <c r="AK262" s="71">
        <f t="shared" si="71"/>
        <v>8330.1482889733852</v>
      </c>
      <c r="AL262" s="71">
        <f t="shared" si="72"/>
        <v>8978.7642585551348</v>
      </c>
      <c r="AM262" s="72">
        <f t="shared" si="73"/>
        <v>648.62</v>
      </c>
      <c r="AN262" s="70">
        <v>0</v>
      </c>
      <c r="AO262" s="70">
        <v>0</v>
      </c>
      <c r="AP262" s="3">
        <v>0</v>
      </c>
    </row>
    <row r="263" spans="1:42" s="3" customFormat="1" ht="15">
      <c r="A263" s="59" t="s">
        <v>587</v>
      </c>
      <c r="B263" s="59" t="s">
        <v>179</v>
      </c>
      <c r="C263" s="59" t="str">
        <f t="shared" si="75"/>
        <v>25118 SOUTH BEND SCHOOL DISTRICT</v>
      </c>
      <c r="D263" s="36">
        <v>0</v>
      </c>
      <c r="E263" s="36">
        <v>0</v>
      </c>
      <c r="F263" s="36">
        <v>0</v>
      </c>
      <c r="G263" s="36">
        <v>724262.82</v>
      </c>
      <c r="H263" s="36">
        <v>168856.95999999999</v>
      </c>
      <c r="I263" s="36">
        <v>157759.94</v>
      </c>
      <c r="J263" s="36">
        <v>256036.63</v>
      </c>
      <c r="K263" s="36">
        <v>139365.4</v>
      </c>
      <c r="L263" s="36">
        <v>16862.21</v>
      </c>
      <c r="M263" s="36">
        <v>541348.6</v>
      </c>
      <c r="N263" s="50">
        <v>6.3799999999999996E-2</v>
      </c>
      <c r="O263" s="53">
        <v>0.20699999999999999</v>
      </c>
      <c r="P263" s="36">
        <v>0</v>
      </c>
      <c r="Q263" s="69">
        <v>0</v>
      </c>
      <c r="R263" s="69">
        <v>0</v>
      </c>
      <c r="S263" s="70">
        <v>0</v>
      </c>
      <c r="T263" s="70">
        <v>0</v>
      </c>
      <c r="U263" s="70">
        <v>0</v>
      </c>
      <c r="V263" s="36">
        <v>0</v>
      </c>
      <c r="W263" s="70">
        <v>0</v>
      </c>
      <c r="X263" s="70">
        <v>0</v>
      </c>
      <c r="Y263" s="36">
        <v>0</v>
      </c>
      <c r="Z263" s="36">
        <v>0</v>
      </c>
      <c r="AA263" s="36">
        <v>0</v>
      </c>
      <c r="AB263" s="36">
        <v>26658.58</v>
      </c>
      <c r="AC263" s="36">
        <v>396609.7</v>
      </c>
      <c r="AD263" s="36">
        <v>43.36</v>
      </c>
      <c r="AE263" s="36">
        <v>372423.81</v>
      </c>
      <c r="AF263" s="71">
        <f t="shared" ref="AF263:AF326" si="76">IFERROR(AE263/AD263,0)</f>
        <v>8589.1100092250927</v>
      </c>
      <c r="AG263" s="71">
        <f t="shared" ref="AG263:AG326" si="77">IFERROR(AC263/AD263,0)</f>
        <v>9146.9026752767531</v>
      </c>
      <c r="AH263" s="72">
        <f t="shared" ref="AH263:AH326" si="78">ROUND(AG263-AF263,2)</f>
        <v>557.79</v>
      </c>
      <c r="AI263" s="36">
        <v>2.96</v>
      </c>
      <c r="AJ263" s="36">
        <v>24827.03</v>
      </c>
      <c r="AK263" s="71">
        <f t="shared" ref="AK263:AK326" si="79">IFERROR(AJ263/AI263,0)</f>
        <v>8387.510135135135</v>
      </c>
      <c r="AL263" s="71">
        <f t="shared" ref="AL263:AL326" si="80">IFERROR(AB263/AI263,0)</f>
        <v>9006.2770270270285</v>
      </c>
      <c r="AM263" s="72">
        <f t="shared" ref="AM263:AM326" si="81">ROUND(AL263-AK263,2)</f>
        <v>618.77</v>
      </c>
      <c r="AN263" s="70">
        <v>4332.7700000000004</v>
      </c>
      <c r="AO263" s="70">
        <v>0</v>
      </c>
      <c r="AP263" s="3">
        <v>0</v>
      </c>
    </row>
    <row r="264" spans="1:42" s="3" customFormat="1" ht="15">
      <c r="A264" s="59" t="s">
        <v>532</v>
      </c>
      <c r="B264" s="59" t="s">
        <v>124</v>
      </c>
      <c r="C264" s="59" t="str">
        <f t="shared" si="75"/>
        <v>18402 SOUTH KITSAP SCHOOL DISTRICT</v>
      </c>
      <c r="D264" s="36">
        <v>0</v>
      </c>
      <c r="E264" s="36">
        <v>119794.86</v>
      </c>
      <c r="F264" s="36">
        <v>0</v>
      </c>
      <c r="G264" s="36">
        <v>15465312.99</v>
      </c>
      <c r="H264" s="36">
        <v>3379569.33</v>
      </c>
      <c r="I264" s="36">
        <v>216375.97</v>
      </c>
      <c r="J264" s="36">
        <v>2426022.6800000002</v>
      </c>
      <c r="K264" s="36">
        <v>446481.82</v>
      </c>
      <c r="L264" s="36">
        <v>309467.95</v>
      </c>
      <c r="M264" s="36">
        <v>6627622.5899999999</v>
      </c>
      <c r="N264" s="50">
        <v>4.7100000000000003E-2</v>
      </c>
      <c r="O264" s="53">
        <v>0.1396</v>
      </c>
      <c r="P264" s="36">
        <v>0</v>
      </c>
      <c r="Q264" s="69">
        <v>0</v>
      </c>
      <c r="R264" s="69">
        <v>0</v>
      </c>
      <c r="S264" s="70">
        <v>0</v>
      </c>
      <c r="T264" s="70">
        <v>0</v>
      </c>
      <c r="U264" s="70">
        <v>0</v>
      </c>
      <c r="V264" s="36">
        <v>0</v>
      </c>
      <c r="W264" s="70">
        <v>0</v>
      </c>
      <c r="X264" s="70">
        <v>0</v>
      </c>
      <c r="Y264" s="36">
        <v>10383.32</v>
      </c>
      <c r="Z264" s="36">
        <v>242757</v>
      </c>
      <c r="AA264" s="36">
        <v>0</v>
      </c>
      <c r="AB264" s="36">
        <v>3440498.03</v>
      </c>
      <c r="AC264" s="36">
        <v>6699570.6699999999</v>
      </c>
      <c r="AD264" s="36">
        <v>647.15</v>
      </c>
      <c r="AE264" s="36">
        <v>6255682.2000000002</v>
      </c>
      <c r="AF264" s="71">
        <f t="shared" si="76"/>
        <v>9666.5103917175311</v>
      </c>
      <c r="AG264" s="71">
        <f t="shared" si="77"/>
        <v>10352.423194004481</v>
      </c>
      <c r="AH264" s="72">
        <f t="shared" si="78"/>
        <v>685.91</v>
      </c>
      <c r="AI264" s="36">
        <v>339.93</v>
      </c>
      <c r="AJ264" s="36">
        <v>3196174.65</v>
      </c>
      <c r="AK264" s="71">
        <f t="shared" si="79"/>
        <v>9402.4494748918896</v>
      </c>
      <c r="AL264" s="71">
        <f t="shared" si="80"/>
        <v>10121.195628511752</v>
      </c>
      <c r="AM264" s="72">
        <f t="shared" si="81"/>
        <v>718.75</v>
      </c>
      <c r="AN264" s="70">
        <v>0</v>
      </c>
      <c r="AO264" s="70">
        <v>0</v>
      </c>
      <c r="AP264" s="3">
        <v>0</v>
      </c>
    </row>
    <row r="265" spans="1:42" s="3" customFormat="1" ht="15">
      <c r="A265" s="59" t="s">
        <v>503</v>
      </c>
      <c r="B265" s="59" t="s">
        <v>95</v>
      </c>
      <c r="C265" s="59" t="str">
        <f t="shared" si="75"/>
        <v>15206 SOUTH WHIDBEY SCHOOL DISTRICT</v>
      </c>
      <c r="D265" s="36">
        <v>0</v>
      </c>
      <c r="E265" s="36">
        <v>0</v>
      </c>
      <c r="F265" s="36">
        <v>0</v>
      </c>
      <c r="G265" s="36">
        <v>1840315.23</v>
      </c>
      <c r="H265" s="36">
        <v>300866.05</v>
      </c>
      <c r="I265" s="36">
        <v>10491.36</v>
      </c>
      <c r="J265" s="36">
        <v>267838.40999999997</v>
      </c>
      <c r="K265" s="36">
        <v>17802.78</v>
      </c>
      <c r="L265" s="36">
        <v>42212.31</v>
      </c>
      <c r="M265" s="36">
        <v>928647.32</v>
      </c>
      <c r="N265" s="50">
        <v>5.74E-2</v>
      </c>
      <c r="O265" s="53">
        <v>0.1787</v>
      </c>
      <c r="P265" s="36">
        <v>0</v>
      </c>
      <c r="Q265" s="69">
        <v>0</v>
      </c>
      <c r="R265" s="69">
        <v>0</v>
      </c>
      <c r="S265" s="70">
        <v>0</v>
      </c>
      <c r="T265" s="70">
        <v>0</v>
      </c>
      <c r="U265" s="70">
        <v>0</v>
      </c>
      <c r="V265" s="36">
        <v>0</v>
      </c>
      <c r="W265" s="70">
        <v>0</v>
      </c>
      <c r="X265" s="70">
        <v>0</v>
      </c>
      <c r="Y265" s="36">
        <v>1386.02</v>
      </c>
      <c r="Z265" s="36">
        <v>0</v>
      </c>
      <c r="AA265" s="36">
        <v>20835.669999999998</v>
      </c>
      <c r="AB265" s="36">
        <v>387.71</v>
      </c>
      <c r="AC265" s="36">
        <v>724384.91</v>
      </c>
      <c r="AD265" s="36">
        <v>67.13</v>
      </c>
      <c r="AE265" s="36">
        <v>660487.1</v>
      </c>
      <c r="AF265" s="71">
        <f t="shared" si="76"/>
        <v>9838.9259645464026</v>
      </c>
      <c r="AG265" s="71">
        <f t="shared" si="77"/>
        <v>10790.777744674513</v>
      </c>
      <c r="AH265" s="72">
        <f t="shared" si="78"/>
        <v>951.85</v>
      </c>
      <c r="AI265" s="36">
        <v>0.04</v>
      </c>
      <c r="AJ265" s="36">
        <v>398.76</v>
      </c>
      <c r="AK265" s="71">
        <f t="shared" si="79"/>
        <v>9969</v>
      </c>
      <c r="AL265" s="71">
        <f t="shared" si="80"/>
        <v>9692.75</v>
      </c>
      <c r="AM265" s="72">
        <f t="shared" si="81"/>
        <v>-276.25</v>
      </c>
      <c r="AN265" s="70">
        <v>0</v>
      </c>
      <c r="AO265" s="70">
        <v>0</v>
      </c>
      <c r="AP265" s="3">
        <v>0</v>
      </c>
    </row>
    <row r="266" spans="1:42" s="3" customFormat="1" ht="15">
      <c r="A266" s="59" t="s">
        <v>570</v>
      </c>
      <c r="B266" s="59" t="s">
        <v>162</v>
      </c>
      <c r="C266" s="59" t="str">
        <f t="shared" si="75"/>
        <v>23042 SOUTHSIDE SCHOOL DISTRICT</v>
      </c>
      <c r="D266" s="36">
        <v>0</v>
      </c>
      <c r="E266" s="36">
        <v>0</v>
      </c>
      <c r="F266" s="36">
        <v>0</v>
      </c>
      <c r="G266" s="36">
        <v>289538.78999999998</v>
      </c>
      <c r="H266" s="36">
        <v>32771.199999999997</v>
      </c>
      <c r="I266" s="36">
        <v>0</v>
      </c>
      <c r="J266" s="36">
        <v>56483.23</v>
      </c>
      <c r="K266" s="36">
        <v>9744.41</v>
      </c>
      <c r="L266" s="36">
        <v>5793.15</v>
      </c>
      <c r="M266" s="36">
        <v>125977.87</v>
      </c>
      <c r="N266" s="50">
        <v>4.6800000000000001E-2</v>
      </c>
      <c r="O266" s="53">
        <v>0.26419999999999999</v>
      </c>
      <c r="P266" s="36">
        <v>0</v>
      </c>
      <c r="Q266" s="69">
        <v>0</v>
      </c>
      <c r="R266" s="69">
        <v>0</v>
      </c>
      <c r="S266" s="70">
        <v>0</v>
      </c>
      <c r="T266" s="70">
        <v>0</v>
      </c>
      <c r="U266" s="70">
        <v>0</v>
      </c>
      <c r="V266" s="36">
        <v>0</v>
      </c>
      <c r="W266" s="70">
        <v>0</v>
      </c>
      <c r="X266" s="70">
        <v>0</v>
      </c>
      <c r="Y266" s="36">
        <v>219.91</v>
      </c>
      <c r="Z266" s="36">
        <v>0</v>
      </c>
      <c r="AA266" s="36">
        <v>0</v>
      </c>
      <c r="AB266" s="36">
        <v>0</v>
      </c>
      <c r="AC266" s="36">
        <v>0</v>
      </c>
      <c r="AD266" s="36">
        <v>0</v>
      </c>
      <c r="AE266" s="36">
        <v>0</v>
      </c>
      <c r="AF266" s="71">
        <f t="shared" si="76"/>
        <v>0</v>
      </c>
      <c r="AG266" s="71">
        <f t="shared" si="77"/>
        <v>0</v>
      </c>
      <c r="AH266" s="72">
        <f t="shared" si="78"/>
        <v>0</v>
      </c>
      <c r="AI266" s="36">
        <v>0</v>
      </c>
      <c r="AJ266" s="36">
        <v>0</v>
      </c>
      <c r="AK266" s="71">
        <f t="shared" si="79"/>
        <v>0</v>
      </c>
      <c r="AL266" s="71">
        <f t="shared" si="80"/>
        <v>0</v>
      </c>
      <c r="AM266" s="72">
        <f t="shared" si="81"/>
        <v>0</v>
      </c>
      <c r="AN266" s="70">
        <v>0</v>
      </c>
      <c r="AO266" s="70">
        <v>0</v>
      </c>
      <c r="AP266" s="3">
        <v>0</v>
      </c>
    </row>
    <row r="267" spans="1:42" s="3" customFormat="1" ht="15">
      <c r="A267" s="59" t="s">
        <v>637</v>
      </c>
      <c r="B267" s="59" t="s">
        <v>230</v>
      </c>
      <c r="C267" s="59" t="str">
        <f t="shared" si="75"/>
        <v>32081 SPOKANE SCHOOL DISTRICT</v>
      </c>
      <c r="D267" s="36">
        <v>0</v>
      </c>
      <c r="E267" s="36">
        <v>1064785.45</v>
      </c>
      <c r="F267" s="36">
        <v>395624.55</v>
      </c>
      <c r="G267" s="36">
        <v>41773392.780000001</v>
      </c>
      <c r="H267" s="36">
        <v>9500047.0899999999</v>
      </c>
      <c r="I267" s="36">
        <v>5282992.78</v>
      </c>
      <c r="J267" s="36">
        <v>11516047.24</v>
      </c>
      <c r="K267" s="36">
        <v>3406469.92</v>
      </c>
      <c r="L267" s="36">
        <v>874464.46</v>
      </c>
      <c r="M267" s="36">
        <v>11554701.699999999</v>
      </c>
      <c r="N267" s="50">
        <v>4.65E-2</v>
      </c>
      <c r="O267" s="53">
        <v>0.1232</v>
      </c>
      <c r="P267" s="36">
        <v>0</v>
      </c>
      <c r="Q267" s="69">
        <v>0</v>
      </c>
      <c r="R267" s="69">
        <v>0</v>
      </c>
      <c r="S267" s="70">
        <v>0</v>
      </c>
      <c r="T267" s="70">
        <v>0</v>
      </c>
      <c r="U267" s="70">
        <v>0</v>
      </c>
      <c r="V267" s="36">
        <v>0</v>
      </c>
      <c r="W267" s="70">
        <v>0</v>
      </c>
      <c r="X267" s="70">
        <v>0</v>
      </c>
      <c r="Y267" s="36">
        <v>1819.08</v>
      </c>
      <c r="Z267" s="36">
        <v>140147.74</v>
      </c>
      <c r="AA267" s="36">
        <v>0</v>
      </c>
      <c r="AB267" s="36">
        <v>2667455.52</v>
      </c>
      <c r="AC267" s="36">
        <v>11050931.09</v>
      </c>
      <c r="AD267" s="36">
        <v>1185.52</v>
      </c>
      <c r="AE267" s="36">
        <v>10396452.83</v>
      </c>
      <c r="AF267" s="71">
        <f t="shared" si="76"/>
        <v>8769.5296831770029</v>
      </c>
      <c r="AG267" s="71">
        <f t="shared" si="77"/>
        <v>9321.5897580808414</v>
      </c>
      <c r="AH267" s="72">
        <f t="shared" si="78"/>
        <v>552.05999999999995</v>
      </c>
      <c r="AI267" s="36">
        <v>290.97000000000003</v>
      </c>
      <c r="AJ267" s="36">
        <v>2477025.89</v>
      </c>
      <c r="AK267" s="71">
        <f t="shared" si="79"/>
        <v>8512.9940887376706</v>
      </c>
      <c r="AL267" s="71">
        <f t="shared" si="80"/>
        <v>9167.4589132900292</v>
      </c>
      <c r="AM267" s="72">
        <f t="shared" si="81"/>
        <v>654.46</v>
      </c>
      <c r="AN267" s="70">
        <v>0</v>
      </c>
      <c r="AO267" s="70">
        <v>0</v>
      </c>
      <c r="AP267" s="3">
        <v>0</v>
      </c>
    </row>
    <row r="268" spans="1:42" s="3" customFormat="1" ht="15">
      <c r="A268" s="59" t="s">
        <v>779</v>
      </c>
      <c r="B268" s="59" t="s">
        <v>418</v>
      </c>
      <c r="C268" s="62" t="str">
        <f>CONCATENATE(B268," ",A268," CHARTER")</f>
        <v>32901 SPOKANE INT'L CHARTER</v>
      </c>
      <c r="D268" s="36">
        <v>26768.09</v>
      </c>
      <c r="E268" s="36">
        <v>18036.939999999999</v>
      </c>
      <c r="F268" s="36">
        <v>0</v>
      </c>
      <c r="G268" s="36">
        <v>840258.96</v>
      </c>
      <c r="H268" s="36">
        <v>68828.320000000007</v>
      </c>
      <c r="I268" s="36">
        <v>0</v>
      </c>
      <c r="J268" s="36">
        <v>231675.74</v>
      </c>
      <c r="K268" s="36">
        <v>59069.93</v>
      </c>
      <c r="L268" s="36">
        <v>22403.11</v>
      </c>
      <c r="M268" s="36">
        <v>506646.96</v>
      </c>
      <c r="N268" s="50">
        <v>2.9100000000000001E-2</v>
      </c>
      <c r="O268" s="54">
        <v>0.30209999999999998</v>
      </c>
      <c r="P268" s="36">
        <v>0</v>
      </c>
      <c r="Q268" s="69">
        <v>0</v>
      </c>
      <c r="R268" s="69">
        <v>0</v>
      </c>
      <c r="S268" s="70">
        <v>0</v>
      </c>
      <c r="T268" s="70">
        <v>0</v>
      </c>
      <c r="U268" s="70">
        <v>0</v>
      </c>
      <c r="V268" s="36">
        <v>0</v>
      </c>
      <c r="W268" s="70">
        <v>0</v>
      </c>
      <c r="X268" s="70">
        <v>0</v>
      </c>
      <c r="Y268" s="36">
        <v>0</v>
      </c>
      <c r="Z268" s="36">
        <v>0</v>
      </c>
      <c r="AA268" s="36">
        <v>0</v>
      </c>
      <c r="AB268" s="36">
        <v>0</v>
      </c>
      <c r="AC268" s="36">
        <v>0</v>
      </c>
      <c r="AD268" s="36">
        <v>0</v>
      </c>
      <c r="AE268" s="36">
        <v>0</v>
      </c>
      <c r="AF268" s="71">
        <f t="shared" si="76"/>
        <v>0</v>
      </c>
      <c r="AG268" s="71">
        <f t="shared" si="77"/>
        <v>0</v>
      </c>
      <c r="AH268" s="72">
        <f t="shared" si="78"/>
        <v>0</v>
      </c>
      <c r="AI268" s="36">
        <v>0</v>
      </c>
      <c r="AJ268" s="36">
        <v>0</v>
      </c>
      <c r="AK268" s="71">
        <f t="shared" si="79"/>
        <v>0</v>
      </c>
      <c r="AL268" s="71">
        <f t="shared" si="80"/>
        <v>0</v>
      </c>
      <c r="AM268" s="72">
        <f t="shared" si="81"/>
        <v>0</v>
      </c>
      <c r="AN268" s="70">
        <v>0</v>
      </c>
      <c r="AO268" s="70">
        <v>0</v>
      </c>
      <c r="AP268" s="3">
        <v>0</v>
      </c>
    </row>
    <row r="269" spans="1:42" s="3" customFormat="1" ht="15">
      <c r="A269" s="59" t="s">
        <v>562</v>
      </c>
      <c r="B269" s="59" t="s">
        <v>154</v>
      </c>
      <c r="C269" s="59" t="str">
        <f t="shared" ref="C269:C279" si="82">CONCATENATE(B269," ",A269," SCHOOL DISTRICT")</f>
        <v>22008 SPRAGUE SCHOOL DISTRICT</v>
      </c>
      <c r="D269" s="36">
        <v>0</v>
      </c>
      <c r="E269" s="36">
        <v>0</v>
      </c>
      <c r="F269" s="36">
        <v>0</v>
      </c>
      <c r="G269" s="36">
        <v>93966.87</v>
      </c>
      <c r="H269" s="36">
        <v>15747.33</v>
      </c>
      <c r="I269" s="36">
        <v>11172.51</v>
      </c>
      <c r="J269" s="36">
        <v>25758.84</v>
      </c>
      <c r="K269" s="36">
        <v>0</v>
      </c>
      <c r="L269" s="36">
        <v>1965.53</v>
      </c>
      <c r="M269" s="36">
        <v>131484.99</v>
      </c>
      <c r="N269" s="50">
        <v>3.7199999999999997E-2</v>
      </c>
      <c r="O269" s="53">
        <v>0.25740000000000002</v>
      </c>
      <c r="P269" s="36">
        <v>0</v>
      </c>
      <c r="Q269" s="69">
        <v>0</v>
      </c>
      <c r="R269" s="69">
        <v>0</v>
      </c>
      <c r="S269" s="70">
        <v>0</v>
      </c>
      <c r="T269" s="70">
        <v>0</v>
      </c>
      <c r="U269" s="70">
        <v>0</v>
      </c>
      <c r="V269" s="36">
        <v>0</v>
      </c>
      <c r="W269" s="70">
        <v>0</v>
      </c>
      <c r="X269" s="70">
        <v>0</v>
      </c>
      <c r="Y269" s="36">
        <v>0</v>
      </c>
      <c r="Z269" s="36">
        <v>0</v>
      </c>
      <c r="AA269" s="36">
        <v>0</v>
      </c>
      <c r="AB269" s="36">
        <v>0</v>
      </c>
      <c r="AC269" s="36">
        <v>56315.06</v>
      </c>
      <c r="AD269" s="36">
        <v>6.27</v>
      </c>
      <c r="AE269" s="36">
        <v>54025</v>
      </c>
      <c r="AF269" s="71">
        <f t="shared" si="76"/>
        <v>8616.4274322169058</v>
      </c>
      <c r="AG269" s="71">
        <f t="shared" si="77"/>
        <v>8981.6682615629979</v>
      </c>
      <c r="AH269" s="72">
        <f t="shared" si="78"/>
        <v>365.24</v>
      </c>
      <c r="AI269" s="36">
        <v>0</v>
      </c>
      <c r="AJ269" s="36">
        <v>0</v>
      </c>
      <c r="AK269" s="71">
        <f t="shared" si="79"/>
        <v>0</v>
      </c>
      <c r="AL269" s="71">
        <f t="shared" si="80"/>
        <v>0</v>
      </c>
      <c r="AM269" s="72">
        <f t="shared" si="81"/>
        <v>0</v>
      </c>
      <c r="AN269" s="70">
        <v>0.35</v>
      </c>
      <c r="AO269" s="70">
        <v>0</v>
      </c>
      <c r="AP269" s="3">
        <v>0</v>
      </c>
    </row>
    <row r="270" spans="1:42" s="3" customFormat="1" ht="15">
      <c r="A270" s="59" t="s">
        <v>694</v>
      </c>
      <c r="B270" s="59" t="s">
        <v>290</v>
      </c>
      <c r="C270" s="59" t="str">
        <f t="shared" si="82"/>
        <v>38322 ST JOHN SCHOOL DISTRICT</v>
      </c>
      <c r="D270" s="36">
        <v>0</v>
      </c>
      <c r="E270" s="36">
        <v>0</v>
      </c>
      <c r="F270" s="36">
        <v>0</v>
      </c>
      <c r="G270" s="36">
        <v>179493.26</v>
      </c>
      <c r="H270" s="36">
        <v>20017.23</v>
      </c>
      <c r="I270" s="36">
        <v>0</v>
      </c>
      <c r="J270" s="36">
        <v>40448.620000000003</v>
      </c>
      <c r="K270" s="36">
        <v>0</v>
      </c>
      <c r="L270" s="36">
        <v>4241.42</v>
      </c>
      <c r="M270" s="36">
        <v>318837.18</v>
      </c>
      <c r="N270" s="50">
        <v>4.5199999999999997E-2</v>
      </c>
      <c r="O270" s="53">
        <v>0.2271</v>
      </c>
      <c r="P270" s="36">
        <v>0</v>
      </c>
      <c r="Q270" s="69">
        <v>0</v>
      </c>
      <c r="R270" s="69">
        <v>0</v>
      </c>
      <c r="S270" s="70">
        <v>0</v>
      </c>
      <c r="T270" s="70">
        <v>0</v>
      </c>
      <c r="U270" s="70">
        <v>0</v>
      </c>
      <c r="V270" s="36">
        <v>0</v>
      </c>
      <c r="W270" s="70">
        <v>0</v>
      </c>
      <c r="X270" s="70">
        <v>0</v>
      </c>
      <c r="Y270" s="36">
        <v>166.91</v>
      </c>
      <c r="Z270" s="36">
        <v>0</v>
      </c>
      <c r="AA270" s="36">
        <v>0</v>
      </c>
      <c r="AB270" s="36">
        <v>0</v>
      </c>
      <c r="AC270" s="36">
        <v>84027.27</v>
      </c>
      <c r="AD270" s="36">
        <v>9.36</v>
      </c>
      <c r="AE270" s="36">
        <v>80383.740000000005</v>
      </c>
      <c r="AF270" s="71">
        <f t="shared" si="76"/>
        <v>8588.006410256412</v>
      </c>
      <c r="AG270" s="71">
        <f t="shared" si="77"/>
        <v>8977.2724358974374</v>
      </c>
      <c r="AH270" s="72">
        <f t="shared" si="78"/>
        <v>389.27</v>
      </c>
      <c r="AI270" s="36">
        <v>0</v>
      </c>
      <c r="AJ270" s="36">
        <v>0</v>
      </c>
      <c r="AK270" s="71">
        <f t="shared" si="79"/>
        <v>0</v>
      </c>
      <c r="AL270" s="71">
        <f t="shared" si="80"/>
        <v>0</v>
      </c>
      <c r="AM270" s="72">
        <f t="shared" si="81"/>
        <v>0</v>
      </c>
      <c r="AN270" s="70">
        <v>0</v>
      </c>
      <c r="AO270" s="70">
        <v>0</v>
      </c>
      <c r="AP270" s="3">
        <v>0</v>
      </c>
    </row>
    <row r="271" spans="1:42" s="3" customFormat="1" ht="15">
      <c r="A271" s="59" t="s">
        <v>636</v>
      </c>
      <c r="B271" s="59" t="s">
        <v>229</v>
      </c>
      <c r="C271" s="59" t="str">
        <f t="shared" si="82"/>
        <v>31401 STANWOOD SCHOOL DISTRICT</v>
      </c>
      <c r="D271" s="36">
        <v>0</v>
      </c>
      <c r="E271" s="36">
        <v>18874.73</v>
      </c>
      <c r="F271" s="36">
        <v>0</v>
      </c>
      <c r="G271" s="36">
        <v>8293749.1399999997</v>
      </c>
      <c r="H271" s="36">
        <v>1647762.69</v>
      </c>
      <c r="I271" s="36">
        <v>0</v>
      </c>
      <c r="J271" s="36">
        <v>1032115.21</v>
      </c>
      <c r="K271" s="36">
        <v>265761.25</v>
      </c>
      <c r="L271" s="36">
        <v>163550</v>
      </c>
      <c r="M271" s="36">
        <v>3382400.7</v>
      </c>
      <c r="N271" s="50">
        <v>0.04</v>
      </c>
      <c r="O271" s="53">
        <v>0.14599999999999999</v>
      </c>
      <c r="P271" s="36">
        <v>0</v>
      </c>
      <c r="Q271" s="69">
        <v>0</v>
      </c>
      <c r="R271" s="69">
        <v>0</v>
      </c>
      <c r="S271" s="70">
        <v>0</v>
      </c>
      <c r="T271" s="70">
        <v>0</v>
      </c>
      <c r="U271" s="70">
        <v>0</v>
      </c>
      <c r="V271" s="36">
        <v>0</v>
      </c>
      <c r="W271" s="70">
        <v>0</v>
      </c>
      <c r="X271" s="70">
        <v>0</v>
      </c>
      <c r="Y271" s="36">
        <v>5426.8</v>
      </c>
      <c r="Z271" s="36">
        <v>0</v>
      </c>
      <c r="AA271" s="36">
        <v>27442.18</v>
      </c>
      <c r="AB271" s="36">
        <v>783818.5</v>
      </c>
      <c r="AC271" s="36">
        <v>3808319.92</v>
      </c>
      <c r="AD271" s="36">
        <v>369.84</v>
      </c>
      <c r="AE271" s="36">
        <v>3572561.18</v>
      </c>
      <c r="AF271" s="71">
        <f t="shared" si="76"/>
        <v>9659.7479450573228</v>
      </c>
      <c r="AG271" s="71">
        <f t="shared" si="77"/>
        <v>10297.209387843392</v>
      </c>
      <c r="AH271" s="72">
        <f t="shared" si="78"/>
        <v>637.46</v>
      </c>
      <c r="AI271" s="36">
        <v>77.44</v>
      </c>
      <c r="AJ271" s="36">
        <v>727765.41</v>
      </c>
      <c r="AK271" s="71">
        <f t="shared" si="79"/>
        <v>9397.7971332644629</v>
      </c>
      <c r="AL271" s="71">
        <f t="shared" si="80"/>
        <v>10121.623192148762</v>
      </c>
      <c r="AM271" s="72">
        <f t="shared" si="81"/>
        <v>723.83</v>
      </c>
      <c r="AN271" s="70">
        <v>0</v>
      </c>
      <c r="AO271" s="70">
        <v>0</v>
      </c>
      <c r="AP271" s="3">
        <v>0</v>
      </c>
    </row>
    <row r="272" spans="1:42" s="3" customFormat="1" ht="15">
      <c r="A272" s="59" t="s">
        <v>475</v>
      </c>
      <c r="B272" s="59" t="s">
        <v>67</v>
      </c>
      <c r="C272" s="59" t="str">
        <f t="shared" si="82"/>
        <v>11054 STAR SCHOOL DISTRICT</v>
      </c>
      <c r="D272" s="36">
        <v>0</v>
      </c>
      <c r="E272" s="36">
        <v>0</v>
      </c>
      <c r="F272" s="36">
        <v>0</v>
      </c>
      <c r="G272" s="36">
        <v>10949.84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91506.89</v>
      </c>
      <c r="N272" s="50">
        <v>0</v>
      </c>
      <c r="O272" s="53">
        <v>0.31900000000000001</v>
      </c>
      <c r="P272" s="36">
        <v>0</v>
      </c>
      <c r="Q272" s="69">
        <v>0</v>
      </c>
      <c r="R272" s="69">
        <v>0</v>
      </c>
      <c r="S272" s="70">
        <v>0</v>
      </c>
      <c r="T272" s="70">
        <v>0</v>
      </c>
      <c r="U272" s="70">
        <v>0</v>
      </c>
      <c r="V272" s="36">
        <v>0</v>
      </c>
      <c r="W272" s="70">
        <v>0</v>
      </c>
      <c r="X272" s="70">
        <v>0</v>
      </c>
      <c r="Y272" s="36">
        <v>6.77</v>
      </c>
      <c r="Z272" s="36">
        <v>0</v>
      </c>
      <c r="AA272" s="36">
        <v>0</v>
      </c>
      <c r="AB272" s="36">
        <v>0</v>
      </c>
      <c r="AC272" s="36">
        <v>0</v>
      </c>
      <c r="AD272" s="36">
        <v>0</v>
      </c>
      <c r="AE272" s="36">
        <v>0</v>
      </c>
      <c r="AF272" s="71">
        <f t="shared" si="76"/>
        <v>0</v>
      </c>
      <c r="AG272" s="71">
        <f t="shared" si="77"/>
        <v>0</v>
      </c>
      <c r="AH272" s="72">
        <f t="shared" si="78"/>
        <v>0</v>
      </c>
      <c r="AI272" s="36">
        <v>0</v>
      </c>
      <c r="AJ272" s="36">
        <v>0</v>
      </c>
      <c r="AK272" s="71">
        <f t="shared" si="79"/>
        <v>0</v>
      </c>
      <c r="AL272" s="71">
        <f t="shared" si="80"/>
        <v>0</v>
      </c>
      <c r="AM272" s="72">
        <f t="shared" si="81"/>
        <v>0</v>
      </c>
      <c r="AN272" s="70">
        <v>0</v>
      </c>
      <c r="AO272" s="70">
        <v>0</v>
      </c>
      <c r="AP272" s="3">
        <v>0</v>
      </c>
    </row>
    <row r="273" spans="1:42" s="3" customFormat="1" ht="15">
      <c r="A273" s="59" t="s">
        <v>455</v>
      </c>
      <c r="B273" s="59" t="s">
        <v>47</v>
      </c>
      <c r="C273" s="59" t="str">
        <f t="shared" si="82"/>
        <v>07035 STARBUCK SCHOOL DISTRICT</v>
      </c>
      <c r="D273" s="36">
        <v>0</v>
      </c>
      <c r="E273" s="36">
        <v>0</v>
      </c>
      <c r="F273" s="36">
        <v>0</v>
      </c>
      <c r="G273" s="36">
        <v>521486.72</v>
      </c>
      <c r="H273" s="36">
        <v>40017.769999999997</v>
      </c>
      <c r="I273" s="36">
        <v>8275.93</v>
      </c>
      <c r="J273" s="36">
        <v>174311.79</v>
      </c>
      <c r="K273" s="36">
        <v>0</v>
      </c>
      <c r="L273" s="36">
        <v>0</v>
      </c>
      <c r="M273" s="36">
        <v>73211.02</v>
      </c>
      <c r="N273" s="50">
        <v>0.12809999999999999</v>
      </c>
      <c r="O273" s="53">
        <v>0.30280000000000001</v>
      </c>
      <c r="P273" s="36">
        <v>0</v>
      </c>
      <c r="Q273" s="69">
        <v>0</v>
      </c>
      <c r="R273" s="69">
        <v>0</v>
      </c>
      <c r="S273" s="70">
        <v>0</v>
      </c>
      <c r="T273" s="70">
        <v>0</v>
      </c>
      <c r="U273" s="70">
        <v>0</v>
      </c>
      <c r="V273" s="36">
        <v>0</v>
      </c>
      <c r="W273" s="70">
        <v>0</v>
      </c>
      <c r="X273" s="70">
        <v>0</v>
      </c>
      <c r="Y273" s="36">
        <v>22.56</v>
      </c>
      <c r="Z273" s="36">
        <v>0</v>
      </c>
      <c r="AA273" s="36">
        <v>0</v>
      </c>
      <c r="AB273" s="36">
        <v>0</v>
      </c>
      <c r="AC273" s="36">
        <v>0</v>
      </c>
      <c r="AD273" s="36">
        <v>0</v>
      </c>
      <c r="AE273" s="36">
        <v>0</v>
      </c>
      <c r="AF273" s="71">
        <f t="shared" si="76"/>
        <v>0</v>
      </c>
      <c r="AG273" s="71">
        <f t="shared" si="77"/>
        <v>0</v>
      </c>
      <c r="AH273" s="72">
        <f t="shared" si="78"/>
        <v>0</v>
      </c>
      <c r="AI273" s="36">
        <v>0</v>
      </c>
      <c r="AJ273" s="36">
        <v>0</v>
      </c>
      <c r="AK273" s="71">
        <f t="shared" si="79"/>
        <v>0</v>
      </c>
      <c r="AL273" s="71">
        <f t="shared" si="80"/>
        <v>0</v>
      </c>
      <c r="AM273" s="72">
        <f t="shared" si="81"/>
        <v>0</v>
      </c>
      <c r="AN273" s="70">
        <v>0</v>
      </c>
      <c r="AO273" s="70">
        <v>0</v>
      </c>
      <c r="AP273" s="3">
        <v>0</v>
      </c>
    </row>
    <row r="274" spans="1:42" s="3" customFormat="1" ht="15">
      <c r="A274" s="59" t="s">
        <v>434</v>
      </c>
      <c r="B274" s="59" t="s">
        <v>26</v>
      </c>
      <c r="C274" s="59" t="str">
        <f t="shared" si="82"/>
        <v>04069 STEHEKIN SCHOOL DISTRICT</v>
      </c>
      <c r="D274" s="36">
        <v>0</v>
      </c>
      <c r="E274" s="36">
        <v>0</v>
      </c>
      <c r="F274" s="36"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50">
        <v>0.27710000000000001</v>
      </c>
      <c r="O274" s="53">
        <v>0.73470000000000002</v>
      </c>
      <c r="P274" s="36">
        <v>0</v>
      </c>
      <c r="Q274" s="69">
        <v>0</v>
      </c>
      <c r="R274" s="69">
        <v>0</v>
      </c>
      <c r="S274" s="70">
        <v>0</v>
      </c>
      <c r="T274" s="70">
        <v>0</v>
      </c>
      <c r="U274" s="70">
        <v>0</v>
      </c>
      <c r="V274" s="36">
        <v>0</v>
      </c>
      <c r="W274" s="70">
        <v>0</v>
      </c>
      <c r="X274" s="70">
        <v>0</v>
      </c>
      <c r="Y274" s="36">
        <v>0</v>
      </c>
      <c r="Z274" s="36">
        <v>0</v>
      </c>
      <c r="AA274" s="36">
        <v>0</v>
      </c>
      <c r="AB274" s="36">
        <v>0</v>
      </c>
      <c r="AC274" s="36">
        <v>0</v>
      </c>
      <c r="AD274" s="36">
        <v>0</v>
      </c>
      <c r="AE274" s="36">
        <v>0</v>
      </c>
      <c r="AF274" s="71">
        <f t="shared" si="76"/>
        <v>0</v>
      </c>
      <c r="AG274" s="71">
        <f t="shared" si="77"/>
        <v>0</v>
      </c>
      <c r="AH274" s="72">
        <f t="shared" si="78"/>
        <v>0</v>
      </c>
      <c r="AI274" s="36">
        <v>0</v>
      </c>
      <c r="AJ274" s="36">
        <v>0</v>
      </c>
      <c r="AK274" s="71">
        <f t="shared" si="79"/>
        <v>0</v>
      </c>
      <c r="AL274" s="71">
        <f t="shared" si="80"/>
        <v>0</v>
      </c>
      <c r="AM274" s="72">
        <f t="shared" si="81"/>
        <v>0</v>
      </c>
      <c r="AN274" s="70">
        <v>0</v>
      </c>
      <c r="AO274" s="70">
        <v>0</v>
      </c>
      <c r="AP274" s="3">
        <v>0</v>
      </c>
    </row>
    <row r="275" spans="1:42" s="3" customFormat="1" ht="15">
      <c r="A275" s="59" t="s">
        <v>593</v>
      </c>
      <c r="B275" s="59" t="s">
        <v>186</v>
      </c>
      <c r="C275" s="59" t="str">
        <f t="shared" si="82"/>
        <v>27001 STEILACOOM HIST. SCHOOL DISTRICT</v>
      </c>
      <c r="D275" s="36">
        <v>0</v>
      </c>
      <c r="E275" s="36">
        <v>0</v>
      </c>
      <c r="F275" s="36">
        <v>0</v>
      </c>
      <c r="G275" s="36">
        <v>4511690.8600000003</v>
      </c>
      <c r="H275" s="36">
        <v>782396.39</v>
      </c>
      <c r="I275" s="36">
        <v>5096.4399999999996</v>
      </c>
      <c r="J275" s="36">
        <v>496796.89</v>
      </c>
      <c r="K275" s="36">
        <v>212839.25</v>
      </c>
      <c r="L275" s="36">
        <v>93859.47</v>
      </c>
      <c r="M275" s="36">
        <v>2696688.29</v>
      </c>
      <c r="N275" s="50">
        <v>1.3100000000000001E-2</v>
      </c>
      <c r="O275" s="53">
        <v>0.192</v>
      </c>
      <c r="P275" s="36">
        <v>0</v>
      </c>
      <c r="Q275" s="69">
        <v>0</v>
      </c>
      <c r="R275" s="69">
        <v>0</v>
      </c>
      <c r="S275" s="70">
        <v>0</v>
      </c>
      <c r="T275" s="70">
        <v>0</v>
      </c>
      <c r="U275" s="70">
        <v>0</v>
      </c>
      <c r="V275" s="36">
        <v>0</v>
      </c>
      <c r="W275" s="70">
        <v>0</v>
      </c>
      <c r="X275" s="70">
        <v>0</v>
      </c>
      <c r="Y275" s="36">
        <v>3518.62</v>
      </c>
      <c r="Z275" s="36">
        <v>15461.2</v>
      </c>
      <c r="AA275" s="36">
        <v>150979.69</v>
      </c>
      <c r="AB275" s="36">
        <v>180327.41</v>
      </c>
      <c r="AC275" s="36">
        <v>2224177.19</v>
      </c>
      <c r="AD275" s="36">
        <v>235.41</v>
      </c>
      <c r="AE275" s="36">
        <v>2064481.27</v>
      </c>
      <c r="AF275" s="71">
        <f t="shared" si="76"/>
        <v>8769.7263072936585</v>
      </c>
      <c r="AG275" s="71">
        <f t="shared" si="77"/>
        <v>9448.0998683148555</v>
      </c>
      <c r="AH275" s="72">
        <f t="shared" si="78"/>
        <v>678.37</v>
      </c>
      <c r="AI275" s="36">
        <v>19.68</v>
      </c>
      <c r="AJ275" s="36">
        <v>167551.82</v>
      </c>
      <c r="AK275" s="71">
        <f t="shared" si="79"/>
        <v>8513.8119918699194</v>
      </c>
      <c r="AL275" s="71">
        <f t="shared" si="80"/>
        <v>9162.9781504065049</v>
      </c>
      <c r="AM275" s="72">
        <f t="shared" si="81"/>
        <v>649.16999999999996</v>
      </c>
      <c r="AN275" s="70">
        <v>0</v>
      </c>
      <c r="AO275" s="70">
        <v>0</v>
      </c>
      <c r="AP275" s="3">
        <v>0</v>
      </c>
    </row>
    <row r="276" spans="1:42" s="3" customFormat="1" ht="15">
      <c r="A276" s="59" t="s">
        <v>690</v>
      </c>
      <c r="B276" s="59" t="s">
        <v>286</v>
      </c>
      <c r="C276" s="59" t="str">
        <f t="shared" si="82"/>
        <v>38304 STEPTOE SCHOOL DISTRICT</v>
      </c>
      <c r="D276" s="36">
        <v>0</v>
      </c>
      <c r="E276" s="36">
        <v>0</v>
      </c>
      <c r="F276" s="36">
        <v>0</v>
      </c>
      <c r="G276" s="36">
        <v>44034.64</v>
      </c>
      <c r="H276" s="36">
        <v>3155.38</v>
      </c>
      <c r="I276" s="36">
        <v>0</v>
      </c>
      <c r="J276" s="36">
        <v>0</v>
      </c>
      <c r="K276" s="36">
        <v>0</v>
      </c>
      <c r="L276" s="36">
        <v>0</v>
      </c>
      <c r="M276" s="36">
        <v>86031.22</v>
      </c>
      <c r="N276" s="50">
        <v>0.1081</v>
      </c>
      <c r="O276" s="53">
        <v>0.28849999999999998</v>
      </c>
      <c r="P276" s="36">
        <v>0</v>
      </c>
      <c r="Q276" s="69">
        <v>0</v>
      </c>
      <c r="R276" s="69">
        <v>0</v>
      </c>
      <c r="S276" s="70">
        <v>0</v>
      </c>
      <c r="T276" s="70">
        <v>0</v>
      </c>
      <c r="U276" s="70">
        <v>0</v>
      </c>
      <c r="V276" s="36">
        <v>0</v>
      </c>
      <c r="W276" s="70">
        <v>0</v>
      </c>
      <c r="X276" s="70">
        <v>0</v>
      </c>
      <c r="Y276" s="36">
        <v>41.73</v>
      </c>
      <c r="Z276" s="36">
        <v>0</v>
      </c>
      <c r="AA276" s="36">
        <v>0</v>
      </c>
      <c r="AB276" s="36">
        <v>0</v>
      </c>
      <c r="AC276" s="36">
        <v>0</v>
      </c>
      <c r="AD276" s="36">
        <v>0</v>
      </c>
      <c r="AE276" s="36">
        <v>0</v>
      </c>
      <c r="AF276" s="71">
        <f t="shared" si="76"/>
        <v>0</v>
      </c>
      <c r="AG276" s="71">
        <f t="shared" si="77"/>
        <v>0</v>
      </c>
      <c r="AH276" s="72">
        <f t="shared" si="78"/>
        <v>0</v>
      </c>
      <c r="AI276" s="36">
        <v>0</v>
      </c>
      <c r="AJ276" s="36">
        <v>0</v>
      </c>
      <c r="AK276" s="71">
        <f t="shared" si="79"/>
        <v>0</v>
      </c>
      <c r="AL276" s="71">
        <f t="shared" si="80"/>
        <v>0</v>
      </c>
      <c r="AM276" s="72">
        <f t="shared" si="81"/>
        <v>0</v>
      </c>
      <c r="AN276" s="70">
        <v>0</v>
      </c>
      <c r="AO276" s="70">
        <v>0</v>
      </c>
      <c r="AP276" s="3">
        <v>0</v>
      </c>
    </row>
    <row r="277" spans="1:42" s="3" customFormat="1" ht="15">
      <c r="A277" s="59" t="s">
        <v>622</v>
      </c>
      <c r="B277" s="59" t="s">
        <v>215</v>
      </c>
      <c r="C277" s="59" t="str">
        <f t="shared" si="82"/>
        <v>30303 STEVENSON-CARSON SCHOOL DISTRICT</v>
      </c>
      <c r="D277" s="36">
        <v>0</v>
      </c>
      <c r="E277" s="36">
        <v>25091.97</v>
      </c>
      <c r="F277" s="36">
        <v>14491.84</v>
      </c>
      <c r="G277" s="36">
        <v>0</v>
      </c>
      <c r="H277" s="36">
        <v>0</v>
      </c>
      <c r="I277" s="36">
        <v>237002</v>
      </c>
      <c r="J277" s="36">
        <v>268347.07</v>
      </c>
      <c r="K277" s="36">
        <v>28015.19</v>
      </c>
      <c r="L277" s="36">
        <v>24310.55</v>
      </c>
      <c r="M277" s="36">
        <v>815515.53</v>
      </c>
      <c r="N277" s="50">
        <v>6.0400000000000002E-2</v>
      </c>
      <c r="O277" s="53">
        <v>0.2094</v>
      </c>
      <c r="P277" s="36">
        <v>0</v>
      </c>
      <c r="Q277" s="69">
        <v>0</v>
      </c>
      <c r="R277" s="69">
        <v>0</v>
      </c>
      <c r="S277" s="70">
        <v>0</v>
      </c>
      <c r="T277" s="70">
        <v>0</v>
      </c>
      <c r="U277" s="70">
        <v>0</v>
      </c>
      <c r="V277" s="36">
        <v>0</v>
      </c>
      <c r="W277" s="70">
        <v>0</v>
      </c>
      <c r="X277" s="70">
        <v>0</v>
      </c>
      <c r="Y277" s="36">
        <v>0</v>
      </c>
      <c r="Z277" s="36">
        <v>0</v>
      </c>
      <c r="AA277" s="36">
        <v>0</v>
      </c>
      <c r="AB277" s="36">
        <v>109699.26</v>
      </c>
      <c r="AC277" s="36">
        <v>279610.76</v>
      </c>
      <c r="AD277" s="36">
        <v>30.52</v>
      </c>
      <c r="AE277" s="36">
        <v>262247.12</v>
      </c>
      <c r="AF277" s="71">
        <f t="shared" si="76"/>
        <v>8592.6317169069462</v>
      </c>
      <c r="AG277" s="71">
        <f t="shared" si="77"/>
        <v>9161.5583224115344</v>
      </c>
      <c r="AH277" s="72">
        <f t="shared" si="78"/>
        <v>568.92999999999995</v>
      </c>
      <c r="AI277" s="36">
        <v>12.23</v>
      </c>
      <c r="AJ277" s="36">
        <v>101901.29</v>
      </c>
      <c r="AK277" s="71">
        <f t="shared" si="79"/>
        <v>8332.0760425183962</v>
      </c>
      <c r="AL277" s="71">
        <f t="shared" si="80"/>
        <v>8969.6860179885516</v>
      </c>
      <c r="AM277" s="72">
        <f t="shared" si="81"/>
        <v>637.61</v>
      </c>
      <c r="AN277" s="70">
        <v>0</v>
      </c>
      <c r="AO277" s="70">
        <v>494.47</v>
      </c>
      <c r="AP277" s="3">
        <v>0</v>
      </c>
    </row>
    <row r="278" spans="1:42" s="3" customFormat="1" ht="15">
      <c r="A278" s="59" t="s">
        <v>633</v>
      </c>
      <c r="B278" s="59" t="s">
        <v>226</v>
      </c>
      <c r="C278" s="59" t="str">
        <f t="shared" si="82"/>
        <v>31311 SULTAN SCHOOL DISTRICT</v>
      </c>
      <c r="D278" s="36">
        <v>0</v>
      </c>
      <c r="E278" s="36">
        <v>69188.52</v>
      </c>
      <c r="F278" s="36">
        <v>39829.29</v>
      </c>
      <c r="G278" s="36">
        <v>3522769.22</v>
      </c>
      <c r="H278" s="36">
        <v>776440.49</v>
      </c>
      <c r="I278" s="36">
        <v>652123.14</v>
      </c>
      <c r="J278" s="36">
        <v>817460.26</v>
      </c>
      <c r="K278" s="36">
        <v>482806.95</v>
      </c>
      <c r="L278" s="36">
        <v>69729.13</v>
      </c>
      <c r="M278" s="36">
        <v>1774416.83</v>
      </c>
      <c r="N278" s="50">
        <v>4.9399999999999999E-2</v>
      </c>
      <c r="O278" s="53">
        <v>0.16220000000000001</v>
      </c>
      <c r="P278" s="36">
        <v>0</v>
      </c>
      <c r="Q278" s="69">
        <v>0</v>
      </c>
      <c r="R278" s="69">
        <v>0</v>
      </c>
      <c r="S278" s="70">
        <v>0</v>
      </c>
      <c r="T278" s="70">
        <v>0</v>
      </c>
      <c r="U278" s="70">
        <v>0</v>
      </c>
      <c r="V278" s="36">
        <v>0</v>
      </c>
      <c r="W278" s="70">
        <v>0</v>
      </c>
      <c r="X278" s="70">
        <v>0</v>
      </c>
      <c r="Y278" s="36">
        <v>2299.5100000000002</v>
      </c>
      <c r="Z278" s="36">
        <v>0</v>
      </c>
      <c r="AA278" s="36">
        <v>134793.16</v>
      </c>
      <c r="AB278" s="36">
        <v>0</v>
      </c>
      <c r="AC278" s="36">
        <v>1461199.94</v>
      </c>
      <c r="AD278" s="36">
        <v>143.25</v>
      </c>
      <c r="AE278" s="36">
        <v>1384605</v>
      </c>
      <c r="AF278" s="71">
        <f t="shared" si="76"/>
        <v>9665.6544502617799</v>
      </c>
      <c r="AG278" s="71">
        <f t="shared" si="77"/>
        <v>10200.348621291449</v>
      </c>
      <c r="AH278" s="72">
        <f t="shared" si="78"/>
        <v>534.69000000000005</v>
      </c>
      <c r="AI278" s="36">
        <v>0</v>
      </c>
      <c r="AJ278" s="36">
        <v>0</v>
      </c>
      <c r="AK278" s="71">
        <f t="shared" si="79"/>
        <v>0</v>
      </c>
      <c r="AL278" s="71">
        <f t="shared" si="80"/>
        <v>0</v>
      </c>
      <c r="AM278" s="72">
        <f t="shared" si="81"/>
        <v>0</v>
      </c>
      <c r="AN278" s="70">
        <v>0</v>
      </c>
      <c r="AO278" s="70">
        <v>0</v>
      </c>
      <c r="AP278" s="3">
        <v>0</v>
      </c>
    </row>
    <row r="279" spans="1:42" s="3" customFormat="1" ht="15">
      <c r="A279" s="59" t="s">
        <v>656</v>
      </c>
      <c r="B279" s="59" t="s">
        <v>250</v>
      </c>
      <c r="C279" s="59" t="str">
        <f t="shared" si="82"/>
        <v>33202 SUMMIT VALLEY SCHOOL DISTRICT</v>
      </c>
      <c r="D279" s="36">
        <v>0</v>
      </c>
      <c r="E279" s="36">
        <v>0</v>
      </c>
      <c r="F279" s="36">
        <v>0</v>
      </c>
      <c r="G279" s="36">
        <v>99116.98</v>
      </c>
      <c r="H279" s="36">
        <v>20207.89</v>
      </c>
      <c r="I279" s="36">
        <v>21310.52</v>
      </c>
      <c r="J279" s="36">
        <v>39414.120000000003</v>
      </c>
      <c r="K279" s="36">
        <v>0</v>
      </c>
      <c r="L279" s="36">
        <v>2275.89</v>
      </c>
      <c r="M279" s="36">
        <v>0</v>
      </c>
      <c r="N279" s="50">
        <v>4.9700000000000001E-2</v>
      </c>
      <c r="O279" s="54">
        <v>0.29649999999999999</v>
      </c>
      <c r="P279" s="36">
        <v>0</v>
      </c>
      <c r="Q279" s="69">
        <v>0</v>
      </c>
      <c r="R279" s="69">
        <v>0</v>
      </c>
      <c r="S279" s="70">
        <v>0</v>
      </c>
      <c r="T279" s="70">
        <v>0</v>
      </c>
      <c r="U279" s="70">
        <v>0</v>
      </c>
      <c r="V279" s="36">
        <v>0</v>
      </c>
      <c r="W279" s="70">
        <v>0</v>
      </c>
      <c r="X279" s="70">
        <v>0</v>
      </c>
      <c r="Y279" s="36">
        <v>0</v>
      </c>
      <c r="Z279" s="36">
        <v>0</v>
      </c>
      <c r="AA279" s="36">
        <v>0</v>
      </c>
      <c r="AB279" s="36">
        <v>0</v>
      </c>
      <c r="AC279" s="36">
        <v>0</v>
      </c>
      <c r="AD279" s="36">
        <v>0</v>
      </c>
      <c r="AE279" s="36">
        <v>0</v>
      </c>
      <c r="AF279" s="71">
        <f t="shared" si="76"/>
        <v>0</v>
      </c>
      <c r="AG279" s="71">
        <f t="shared" si="77"/>
        <v>0</v>
      </c>
      <c r="AH279" s="72">
        <f t="shared" si="78"/>
        <v>0</v>
      </c>
      <c r="AI279" s="36">
        <v>0</v>
      </c>
      <c r="AJ279" s="36">
        <v>0</v>
      </c>
      <c r="AK279" s="71">
        <f t="shared" si="79"/>
        <v>0</v>
      </c>
      <c r="AL279" s="71">
        <f t="shared" si="80"/>
        <v>0</v>
      </c>
      <c r="AM279" s="72">
        <f t="shared" si="81"/>
        <v>0</v>
      </c>
      <c r="AN279" s="70">
        <v>0</v>
      </c>
      <c r="AO279" s="70">
        <v>0</v>
      </c>
      <c r="AP279" s="3">
        <v>0</v>
      </c>
    </row>
    <row r="280" spans="1:42" s="3" customFormat="1" ht="15">
      <c r="A280" s="59" t="s">
        <v>721</v>
      </c>
      <c r="B280" s="60" t="s">
        <v>722</v>
      </c>
      <c r="C280" s="60" t="str">
        <f>CONCATENATE(B280," ",A280," CHARTER")</f>
        <v>17905 SUMMIT: ATLAS CHARTER</v>
      </c>
      <c r="D280" s="36">
        <v>0</v>
      </c>
      <c r="E280" s="36">
        <v>0</v>
      </c>
      <c r="F280" s="36">
        <v>0</v>
      </c>
      <c r="G280" s="36">
        <v>626448.4</v>
      </c>
      <c r="H280" s="36">
        <v>98687.51</v>
      </c>
      <c r="I280" s="36">
        <v>0</v>
      </c>
      <c r="J280" s="36">
        <v>130712.17</v>
      </c>
      <c r="K280" s="36">
        <v>143184.53</v>
      </c>
      <c r="L280" s="36">
        <v>16174.28</v>
      </c>
      <c r="M280" s="36">
        <v>523445.24</v>
      </c>
      <c r="N280" s="50">
        <v>0.08</v>
      </c>
      <c r="O280" s="53">
        <v>0.1</v>
      </c>
      <c r="P280" s="36">
        <v>0</v>
      </c>
      <c r="Q280" s="69">
        <v>0</v>
      </c>
      <c r="R280" s="69">
        <v>0</v>
      </c>
      <c r="S280" s="70">
        <v>0</v>
      </c>
      <c r="T280" s="70">
        <v>0</v>
      </c>
      <c r="U280" s="70">
        <v>0</v>
      </c>
      <c r="V280" s="36">
        <v>0</v>
      </c>
      <c r="W280" s="70">
        <v>0</v>
      </c>
      <c r="X280" s="70">
        <v>0</v>
      </c>
      <c r="Y280" s="36">
        <v>0</v>
      </c>
      <c r="Z280" s="36">
        <v>0</v>
      </c>
      <c r="AA280" s="36">
        <v>0</v>
      </c>
      <c r="AB280" s="36">
        <v>0</v>
      </c>
      <c r="AC280" s="36">
        <v>1052.08</v>
      </c>
      <c r="AD280" s="36">
        <v>0</v>
      </c>
      <c r="AE280" s="36">
        <v>0</v>
      </c>
      <c r="AF280" s="71">
        <f t="shared" si="76"/>
        <v>0</v>
      </c>
      <c r="AG280" s="71">
        <f t="shared" si="77"/>
        <v>0</v>
      </c>
      <c r="AH280" s="72">
        <f t="shared" si="78"/>
        <v>0</v>
      </c>
      <c r="AI280" s="36">
        <v>0</v>
      </c>
      <c r="AJ280" s="36">
        <v>0</v>
      </c>
      <c r="AK280" s="71">
        <f t="shared" si="79"/>
        <v>0</v>
      </c>
      <c r="AL280" s="71">
        <f t="shared" si="80"/>
        <v>0</v>
      </c>
      <c r="AM280" s="72">
        <f t="shared" si="81"/>
        <v>0</v>
      </c>
      <c r="AN280" s="70">
        <v>0</v>
      </c>
      <c r="AO280" s="70">
        <v>0</v>
      </c>
      <c r="AP280" s="3">
        <v>0</v>
      </c>
    </row>
    <row r="281" spans="1:42" s="3" customFormat="1" ht="15">
      <c r="A281" s="59" t="s">
        <v>724</v>
      </c>
      <c r="B281" s="60" t="s">
        <v>417</v>
      </c>
      <c r="C281" s="60" t="str">
        <f>CONCATENATE(B281," ",A281," CHARTER")</f>
        <v>27905 SUMMIT: OLYMPUS CHARTER</v>
      </c>
      <c r="D281" s="36">
        <v>0</v>
      </c>
      <c r="E281" s="36">
        <v>0</v>
      </c>
      <c r="F281" s="36">
        <v>0</v>
      </c>
      <c r="G281" s="36">
        <v>195375.71</v>
      </c>
      <c r="H281" s="36">
        <v>21471.759999999998</v>
      </c>
      <c r="I281" s="36">
        <v>59122.080000000002</v>
      </c>
      <c r="J281" s="36">
        <v>76161.13</v>
      </c>
      <c r="K281" s="36">
        <v>20533.73</v>
      </c>
      <c r="L281" s="36">
        <v>5031.66</v>
      </c>
      <c r="M281" s="36">
        <v>142493.68</v>
      </c>
      <c r="N281" s="50">
        <v>0.1346</v>
      </c>
      <c r="O281" s="53">
        <v>0.36520000000000002</v>
      </c>
      <c r="P281" s="36">
        <v>0</v>
      </c>
      <c r="Q281" s="69">
        <v>0</v>
      </c>
      <c r="R281" s="69">
        <v>0</v>
      </c>
      <c r="S281" s="70">
        <v>0</v>
      </c>
      <c r="T281" s="70">
        <v>0</v>
      </c>
      <c r="U281" s="70">
        <v>0</v>
      </c>
      <c r="V281" s="36">
        <v>0</v>
      </c>
      <c r="W281" s="70">
        <v>0</v>
      </c>
      <c r="X281" s="70">
        <v>0</v>
      </c>
      <c r="Y281" s="36">
        <v>0</v>
      </c>
      <c r="Z281" s="36">
        <v>0</v>
      </c>
      <c r="AA281" s="36">
        <v>0</v>
      </c>
      <c r="AB281" s="36">
        <v>0</v>
      </c>
      <c r="AC281" s="36">
        <v>0</v>
      </c>
      <c r="AD281" s="36">
        <v>0</v>
      </c>
      <c r="AE281" s="36">
        <v>0</v>
      </c>
      <c r="AF281" s="71">
        <f t="shared" si="76"/>
        <v>0</v>
      </c>
      <c r="AG281" s="71">
        <f t="shared" si="77"/>
        <v>0</v>
      </c>
      <c r="AH281" s="72">
        <f t="shared" si="78"/>
        <v>0</v>
      </c>
      <c r="AI281" s="36">
        <v>0</v>
      </c>
      <c r="AJ281" s="36">
        <v>0</v>
      </c>
      <c r="AK281" s="71">
        <f t="shared" si="79"/>
        <v>0</v>
      </c>
      <c r="AL281" s="71">
        <f t="shared" si="80"/>
        <v>0</v>
      </c>
      <c r="AM281" s="72">
        <f t="shared" si="81"/>
        <v>0</v>
      </c>
      <c r="AN281" s="70">
        <v>0</v>
      </c>
      <c r="AO281" s="70">
        <v>0</v>
      </c>
      <c r="AP281" s="3">
        <v>0</v>
      </c>
    </row>
    <row r="282" spans="1:42" s="3" customFormat="1" ht="15">
      <c r="A282" s="59" t="s">
        <v>778</v>
      </c>
      <c r="B282" s="60" t="s">
        <v>415</v>
      </c>
      <c r="C282" s="60" t="str">
        <f>CONCATENATE(B282," ",A282," CHARTER")</f>
        <v>17902 SUMMIT: SIERRA CHARTER</v>
      </c>
      <c r="D282" s="36">
        <v>0</v>
      </c>
      <c r="E282" s="36">
        <v>0</v>
      </c>
      <c r="F282" s="36">
        <v>0</v>
      </c>
      <c r="G282" s="36">
        <v>379340.46</v>
      </c>
      <c r="H282" s="36">
        <v>54735.74</v>
      </c>
      <c r="I282" s="36">
        <v>0</v>
      </c>
      <c r="J282" s="36">
        <v>73443.22</v>
      </c>
      <c r="K282" s="36">
        <v>73943.41</v>
      </c>
      <c r="L282" s="36">
        <v>8147.04</v>
      </c>
      <c r="M282" s="36">
        <v>289872.03999999998</v>
      </c>
      <c r="N282" s="50">
        <v>0.1638</v>
      </c>
      <c r="O282" s="54">
        <v>0.30520000000000003</v>
      </c>
      <c r="P282" s="36">
        <v>0</v>
      </c>
      <c r="Q282" s="69">
        <v>0</v>
      </c>
      <c r="R282" s="69">
        <v>0</v>
      </c>
      <c r="S282" s="70">
        <v>0</v>
      </c>
      <c r="T282" s="70">
        <v>0</v>
      </c>
      <c r="U282" s="70">
        <v>0</v>
      </c>
      <c r="V282" s="36">
        <v>0</v>
      </c>
      <c r="W282" s="70">
        <v>0</v>
      </c>
      <c r="X282" s="70">
        <v>0</v>
      </c>
      <c r="Y282" s="36">
        <v>0</v>
      </c>
      <c r="Z282" s="36">
        <v>0</v>
      </c>
      <c r="AA282" s="36">
        <v>0</v>
      </c>
      <c r="AB282" s="36">
        <v>0</v>
      </c>
      <c r="AC282" s="36">
        <v>2104.17</v>
      </c>
      <c r="AD282" s="36">
        <v>0</v>
      </c>
      <c r="AE282" s="36">
        <v>0</v>
      </c>
      <c r="AF282" s="71">
        <f t="shared" si="76"/>
        <v>0</v>
      </c>
      <c r="AG282" s="71">
        <f t="shared" si="77"/>
        <v>0</v>
      </c>
      <c r="AH282" s="72">
        <f t="shared" si="78"/>
        <v>0</v>
      </c>
      <c r="AI282" s="36">
        <v>0</v>
      </c>
      <c r="AJ282" s="36">
        <v>0</v>
      </c>
      <c r="AK282" s="71">
        <f t="shared" si="79"/>
        <v>0</v>
      </c>
      <c r="AL282" s="71">
        <f t="shared" si="80"/>
        <v>0</v>
      </c>
      <c r="AM282" s="72">
        <f t="shared" si="81"/>
        <v>0</v>
      </c>
      <c r="AN282" s="70">
        <v>0</v>
      </c>
      <c r="AO282" s="70">
        <v>0</v>
      </c>
      <c r="AP282" s="3">
        <v>0</v>
      </c>
    </row>
    <row r="283" spans="1:42" s="3" customFormat="1" ht="15">
      <c r="A283" s="59" t="s">
        <v>598</v>
      </c>
      <c r="B283" s="59" t="s">
        <v>191</v>
      </c>
      <c r="C283" s="59" t="str">
        <f>CONCATENATE(B283," ",A283," SCHOOL DISTRICT")</f>
        <v>27320 SUMNER SCHOOL DISTRICT</v>
      </c>
      <c r="D283" s="36">
        <v>0</v>
      </c>
      <c r="E283" s="36">
        <v>62590.67</v>
      </c>
      <c r="F283" s="36">
        <v>10910.35</v>
      </c>
      <c r="G283" s="36">
        <v>14950880.93</v>
      </c>
      <c r="H283" s="36">
        <v>2795345.01</v>
      </c>
      <c r="I283" s="36">
        <v>141115.37</v>
      </c>
      <c r="J283" s="36">
        <v>2082194.97</v>
      </c>
      <c r="K283" s="36">
        <v>969461.2</v>
      </c>
      <c r="L283" s="36">
        <v>334034.03999999998</v>
      </c>
      <c r="M283" s="36">
        <v>5162869.4800000004</v>
      </c>
      <c r="N283" s="50">
        <v>3.7699999999999997E-2</v>
      </c>
      <c r="O283" s="53">
        <v>0.1348</v>
      </c>
      <c r="P283" s="36">
        <v>0</v>
      </c>
      <c r="Q283" s="69">
        <v>0</v>
      </c>
      <c r="R283" s="69">
        <v>0</v>
      </c>
      <c r="S283" s="70">
        <v>0</v>
      </c>
      <c r="T283" s="70">
        <v>0</v>
      </c>
      <c r="U283" s="70">
        <v>0</v>
      </c>
      <c r="V283" s="36">
        <v>0</v>
      </c>
      <c r="W283" s="70">
        <v>0</v>
      </c>
      <c r="X283" s="70">
        <v>0</v>
      </c>
      <c r="Y283" s="36">
        <v>7867.28</v>
      </c>
      <c r="Z283" s="36">
        <v>71253.61</v>
      </c>
      <c r="AA283" s="36">
        <v>133950.03</v>
      </c>
      <c r="AB283" s="36">
        <v>1116537.9099999999</v>
      </c>
      <c r="AC283" s="36">
        <v>5711842.5300000003</v>
      </c>
      <c r="AD283" s="36">
        <v>568.65</v>
      </c>
      <c r="AE283" s="36">
        <v>5292836.8</v>
      </c>
      <c r="AF283" s="71">
        <f t="shared" si="76"/>
        <v>9307.723204079839</v>
      </c>
      <c r="AG283" s="71">
        <f t="shared" si="77"/>
        <v>10044.566130308627</v>
      </c>
      <c r="AH283" s="72">
        <f t="shared" si="78"/>
        <v>736.84</v>
      </c>
      <c r="AI283" s="36">
        <v>114.64</v>
      </c>
      <c r="AJ283" s="36">
        <v>1037131.32</v>
      </c>
      <c r="AK283" s="71">
        <f t="shared" si="79"/>
        <v>9046.8538032100478</v>
      </c>
      <c r="AL283" s="71">
        <f t="shared" si="80"/>
        <v>9739.514218422888</v>
      </c>
      <c r="AM283" s="72">
        <f t="shared" si="81"/>
        <v>692.66</v>
      </c>
      <c r="AN283" s="70">
        <v>0</v>
      </c>
      <c r="AO283" s="70">
        <v>0</v>
      </c>
      <c r="AP283" s="3">
        <v>0</v>
      </c>
    </row>
    <row r="284" spans="1:42" s="3" customFormat="1" ht="15">
      <c r="A284" s="59" t="s">
        <v>702</v>
      </c>
      <c r="B284" s="59" t="s">
        <v>299</v>
      </c>
      <c r="C284" s="59" t="str">
        <f>CONCATENATE(B284," ",A284," SCHOOL DISTRICT")</f>
        <v>39201 SUNNYSIDE SCHOOL DISTRICT</v>
      </c>
      <c r="D284" s="36">
        <v>0</v>
      </c>
      <c r="E284" s="36">
        <v>217101.39</v>
      </c>
      <c r="F284" s="36">
        <v>189143.99</v>
      </c>
      <c r="G284" s="36">
        <v>8412819.4100000001</v>
      </c>
      <c r="H284" s="36">
        <v>2230353.9</v>
      </c>
      <c r="I284" s="36">
        <v>1952809.48</v>
      </c>
      <c r="J284" s="36">
        <v>3998516.29</v>
      </c>
      <c r="K284" s="36">
        <v>3199111.01</v>
      </c>
      <c r="L284" s="36">
        <v>186622.25</v>
      </c>
      <c r="M284" s="36">
        <v>3492346.21</v>
      </c>
      <c r="N284" s="50">
        <v>3.39E-2</v>
      </c>
      <c r="O284" s="53">
        <v>0.15479999999999999</v>
      </c>
      <c r="P284" s="36">
        <v>0</v>
      </c>
      <c r="Q284" s="69">
        <v>0</v>
      </c>
      <c r="R284" s="69">
        <v>0</v>
      </c>
      <c r="S284" s="70">
        <v>0</v>
      </c>
      <c r="T284" s="70">
        <v>0</v>
      </c>
      <c r="U284" s="70">
        <v>0</v>
      </c>
      <c r="V284" s="36">
        <v>0</v>
      </c>
      <c r="W284" s="70">
        <v>0</v>
      </c>
      <c r="X284" s="70">
        <v>0</v>
      </c>
      <c r="Y284" s="36">
        <v>508.62</v>
      </c>
      <c r="Z284" s="36">
        <v>0</v>
      </c>
      <c r="AA284" s="36">
        <v>160551.76</v>
      </c>
      <c r="AB284" s="36">
        <v>303201.77</v>
      </c>
      <c r="AC284" s="36">
        <v>2609706.66</v>
      </c>
      <c r="AD284" s="36">
        <v>277.39</v>
      </c>
      <c r="AE284" s="36">
        <v>2382836.23</v>
      </c>
      <c r="AF284" s="71">
        <f t="shared" si="76"/>
        <v>8590.2023504812714</v>
      </c>
      <c r="AG284" s="71">
        <f t="shared" si="77"/>
        <v>9408.0776524027551</v>
      </c>
      <c r="AH284" s="72">
        <f t="shared" si="78"/>
        <v>817.88</v>
      </c>
      <c r="AI284" s="36">
        <v>33.79</v>
      </c>
      <c r="AJ284" s="36">
        <v>281666.06</v>
      </c>
      <c r="AK284" s="71">
        <f t="shared" si="79"/>
        <v>8335.7815921870369</v>
      </c>
      <c r="AL284" s="71">
        <f t="shared" si="80"/>
        <v>8973.1213376738688</v>
      </c>
      <c r="AM284" s="72">
        <f t="shared" si="81"/>
        <v>637.34</v>
      </c>
      <c r="AN284" s="70">
        <v>5583</v>
      </c>
      <c r="AO284" s="70">
        <v>0</v>
      </c>
      <c r="AP284" s="3">
        <v>0</v>
      </c>
    </row>
    <row r="285" spans="1:42" s="3" customFormat="1" ht="15">
      <c r="A285" s="59" t="s">
        <v>806</v>
      </c>
      <c r="B285" s="59" t="s">
        <v>413</v>
      </c>
      <c r="C285" s="62" t="str">
        <f>CONCATENATE(B285," ",A285," TRIBAL COMPACT")</f>
        <v>18902 SUQUAMISH TRIBAL COMPACT</v>
      </c>
      <c r="D285" s="36">
        <v>0</v>
      </c>
      <c r="E285" s="36">
        <v>0</v>
      </c>
      <c r="F285" s="36">
        <v>2934.79</v>
      </c>
      <c r="G285" s="36">
        <v>100254.76</v>
      </c>
      <c r="H285" s="36">
        <v>24449.75</v>
      </c>
      <c r="I285" s="36">
        <v>29592.94</v>
      </c>
      <c r="J285" s="36">
        <v>40974.85</v>
      </c>
      <c r="K285" s="36">
        <v>0</v>
      </c>
      <c r="L285" s="36">
        <v>0</v>
      </c>
      <c r="M285" s="36">
        <v>61507.11</v>
      </c>
      <c r="N285" s="50">
        <v>0.08</v>
      </c>
      <c r="O285" s="53">
        <v>0.1</v>
      </c>
      <c r="P285" s="36">
        <v>0</v>
      </c>
      <c r="Q285" s="69">
        <v>0</v>
      </c>
      <c r="R285" s="69">
        <v>0</v>
      </c>
      <c r="S285" s="70">
        <v>0</v>
      </c>
      <c r="T285" s="70">
        <v>0</v>
      </c>
      <c r="U285" s="70">
        <v>0</v>
      </c>
      <c r="V285" s="36">
        <v>0</v>
      </c>
      <c r="W285" s="70">
        <v>0</v>
      </c>
      <c r="X285" s="70">
        <v>0</v>
      </c>
      <c r="Y285" s="36">
        <v>0</v>
      </c>
      <c r="Z285" s="36">
        <v>0</v>
      </c>
      <c r="AA285" s="36">
        <v>0</v>
      </c>
      <c r="AB285" s="36">
        <v>0</v>
      </c>
      <c r="AC285" s="36">
        <v>15828.2</v>
      </c>
      <c r="AD285" s="36">
        <v>1.56</v>
      </c>
      <c r="AE285" s="36">
        <v>14982.7</v>
      </c>
      <c r="AF285" s="71">
        <f t="shared" si="76"/>
        <v>9604.2948717948711</v>
      </c>
      <c r="AG285" s="71">
        <f t="shared" si="77"/>
        <v>10146.282051282051</v>
      </c>
      <c r="AH285" s="72">
        <f t="shared" si="78"/>
        <v>541.99</v>
      </c>
      <c r="AI285" s="36">
        <v>0</v>
      </c>
      <c r="AJ285" s="36">
        <v>0</v>
      </c>
      <c r="AK285" s="71">
        <f t="shared" si="79"/>
        <v>0</v>
      </c>
      <c r="AL285" s="71">
        <f t="shared" si="80"/>
        <v>0</v>
      </c>
      <c r="AM285" s="72">
        <f t="shared" si="81"/>
        <v>0</v>
      </c>
      <c r="AN285" s="70">
        <v>0</v>
      </c>
      <c r="AO285" s="70">
        <v>0</v>
      </c>
      <c r="AP285" s="3">
        <v>0</v>
      </c>
    </row>
    <row r="286" spans="1:42" s="3" customFormat="1" ht="15">
      <c r="A286" s="59" t="s">
        <v>595</v>
      </c>
      <c r="B286" s="59" t="s">
        <v>188</v>
      </c>
      <c r="C286" s="59" t="str">
        <f t="shared" ref="C286:C304" si="83">CONCATENATE(B286," ",A286," SCHOOL DISTRICT")</f>
        <v>27010 TACOMA SCHOOL DISTRICT</v>
      </c>
      <c r="D286" s="36">
        <v>0</v>
      </c>
      <c r="E286" s="36">
        <v>904742.11</v>
      </c>
      <c r="F286" s="36">
        <v>406621.32</v>
      </c>
      <c r="G286" s="36">
        <v>47351034.039999999</v>
      </c>
      <c r="H286" s="36">
        <v>10051120.630000001</v>
      </c>
      <c r="I286" s="36">
        <v>5921470.7000000002</v>
      </c>
      <c r="J286" s="36">
        <v>11395694.880000001</v>
      </c>
      <c r="K286" s="36">
        <v>5502365.5599999996</v>
      </c>
      <c r="L286" s="36">
        <v>881456.44</v>
      </c>
      <c r="M286" s="36">
        <v>14775769.41</v>
      </c>
      <c r="N286" s="50">
        <v>4.8099999999999997E-2</v>
      </c>
      <c r="O286" s="53">
        <v>0.12540000000000001</v>
      </c>
      <c r="P286" s="36">
        <v>177260.61000000002</v>
      </c>
      <c r="Q286" s="69">
        <v>17010.38</v>
      </c>
      <c r="R286" s="69">
        <v>7392.58</v>
      </c>
      <c r="S286" s="70">
        <v>447212.28</v>
      </c>
      <c r="T286" s="70">
        <v>0</v>
      </c>
      <c r="U286" s="70">
        <v>14463.77</v>
      </c>
      <c r="V286" s="36">
        <v>0</v>
      </c>
      <c r="W286" s="70">
        <v>0</v>
      </c>
      <c r="X286" s="70">
        <v>0</v>
      </c>
      <c r="Y286" s="36">
        <v>0</v>
      </c>
      <c r="Z286" s="36">
        <v>0</v>
      </c>
      <c r="AA286" s="36">
        <v>0</v>
      </c>
      <c r="AB286" s="36">
        <v>2642823.69</v>
      </c>
      <c r="AC286" s="36">
        <v>14190866.73</v>
      </c>
      <c r="AD286" s="36">
        <v>1434.42</v>
      </c>
      <c r="AE286" s="36">
        <v>13351005.560000001</v>
      </c>
      <c r="AF286" s="71">
        <f t="shared" si="76"/>
        <v>9307.5985833995619</v>
      </c>
      <c r="AG286" s="71">
        <f t="shared" si="77"/>
        <v>9893.1043418245699</v>
      </c>
      <c r="AH286" s="72">
        <f t="shared" si="78"/>
        <v>585.51</v>
      </c>
      <c r="AI286" s="36">
        <v>271.33999999999997</v>
      </c>
      <c r="AJ286" s="36">
        <v>2454736.2999999998</v>
      </c>
      <c r="AK286" s="71">
        <f t="shared" si="79"/>
        <v>9046.7174025208224</v>
      </c>
      <c r="AL286" s="71">
        <f t="shared" si="80"/>
        <v>9739.8971401194085</v>
      </c>
      <c r="AM286" s="72">
        <f t="shared" si="81"/>
        <v>693.18</v>
      </c>
      <c r="AN286" s="70">
        <v>0</v>
      </c>
      <c r="AO286" s="70">
        <v>0</v>
      </c>
      <c r="AP286" s="3">
        <v>0</v>
      </c>
    </row>
    <row r="287" spans="1:42" s="3" customFormat="1" ht="15">
      <c r="A287" s="59" t="s">
        <v>494</v>
      </c>
      <c r="B287" s="59" t="s">
        <v>86</v>
      </c>
      <c r="C287" s="59" t="str">
        <f t="shared" si="83"/>
        <v>14077 TAHOLAH SCHOOL DISTRICT</v>
      </c>
      <c r="D287" s="36">
        <v>0</v>
      </c>
      <c r="E287" s="36">
        <v>4141.87</v>
      </c>
      <c r="F287" s="36">
        <v>0</v>
      </c>
      <c r="G287" s="36">
        <v>215439.94</v>
      </c>
      <c r="H287" s="36">
        <v>38733.14</v>
      </c>
      <c r="I287" s="36">
        <v>48414.2</v>
      </c>
      <c r="J287" s="36">
        <v>81621.37</v>
      </c>
      <c r="K287" s="36">
        <v>0</v>
      </c>
      <c r="L287" s="36">
        <v>0</v>
      </c>
      <c r="M287" s="36">
        <v>111534.62</v>
      </c>
      <c r="N287" s="50">
        <v>0.13780000000000001</v>
      </c>
      <c r="O287" s="53">
        <v>0.34920000000000001</v>
      </c>
      <c r="P287" s="36">
        <v>0</v>
      </c>
      <c r="Q287" s="69">
        <v>0</v>
      </c>
      <c r="R287" s="69">
        <v>0</v>
      </c>
      <c r="S287" s="70">
        <v>0</v>
      </c>
      <c r="T287" s="70">
        <v>0</v>
      </c>
      <c r="U287" s="70">
        <v>0</v>
      </c>
      <c r="V287" s="36">
        <v>0</v>
      </c>
      <c r="W287" s="70">
        <v>0</v>
      </c>
      <c r="X287" s="70">
        <v>0</v>
      </c>
      <c r="Y287" s="36">
        <v>0</v>
      </c>
      <c r="Z287" s="36">
        <v>0</v>
      </c>
      <c r="AA287" s="36">
        <v>0</v>
      </c>
      <c r="AB287" s="36">
        <v>20684.45</v>
      </c>
      <c r="AC287" s="36">
        <v>47218.38</v>
      </c>
      <c r="AD287" s="36">
        <v>5.0199999999999996</v>
      </c>
      <c r="AE287" s="36">
        <v>43223.18</v>
      </c>
      <c r="AF287" s="71">
        <f t="shared" si="76"/>
        <v>8610.1952191235068</v>
      </c>
      <c r="AG287" s="71">
        <f t="shared" si="77"/>
        <v>9406.0517928286863</v>
      </c>
      <c r="AH287" s="72">
        <f t="shared" si="78"/>
        <v>795.86</v>
      </c>
      <c r="AI287" s="36">
        <v>2.31</v>
      </c>
      <c r="AJ287" s="36">
        <v>19149.18</v>
      </c>
      <c r="AK287" s="71">
        <f t="shared" si="79"/>
        <v>8289.6883116883109</v>
      </c>
      <c r="AL287" s="71">
        <f t="shared" si="80"/>
        <v>8954.3073593073586</v>
      </c>
      <c r="AM287" s="72">
        <f t="shared" si="81"/>
        <v>664.62</v>
      </c>
      <c r="AN287" s="70">
        <v>0</v>
      </c>
      <c r="AO287" s="70">
        <v>85</v>
      </c>
      <c r="AP287" s="3">
        <v>0</v>
      </c>
    </row>
    <row r="288" spans="1:42" s="3" customFormat="1" ht="15">
      <c r="A288" s="59" t="s">
        <v>521</v>
      </c>
      <c r="B288" s="59" t="s">
        <v>113</v>
      </c>
      <c r="C288" s="59" t="str">
        <f t="shared" si="83"/>
        <v>17409 TAHOMA SCHOOL DISTRICT</v>
      </c>
      <c r="D288" s="36">
        <v>0</v>
      </c>
      <c r="E288" s="36">
        <v>0</v>
      </c>
      <c r="F288" s="36">
        <v>0</v>
      </c>
      <c r="G288" s="36">
        <v>15553398.810000001</v>
      </c>
      <c r="H288" s="36">
        <v>2482324.5699999998</v>
      </c>
      <c r="I288" s="36">
        <v>0</v>
      </c>
      <c r="J288" s="36">
        <v>900406.11</v>
      </c>
      <c r="K288" s="36">
        <v>898859.09</v>
      </c>
      <c r="L288" s="36">
        <v>313506.71999999997</v>
      </c>
      <c r="M288" s="36">
        <v>5874846.0599999996</v>
      </c>
      <c r="N288" s="50">
        <v>3.0300000000000001E-2</v>
      </c>
      <c r="O288" s="53">
        <v>0.14829999999999999</v>
      </c>
      <c r="P288" s="36">
        <v>0</v>
      </c>
      <c r="Q288" s="69">
        <v>0</v>
      </c>
      <c r="R288" s="69">
        <v>0</v>
      </c>
      <c r="S288" s="70">
        <v>0</v>
      </c>
      <c r="T288" s="70">
        <v>0</v>
      </c>
      <c r="U288" s="70">
        <v>0</v>
      </c>
      <c r="V288" s="36">
        <v>0</v>
      </c>
      <c r="W288" s="70">
        <v>0</v>
      </c>
      <c r="X288" s="70">
        <v>0</v>
      </c>
      <c r="Y288" s="36">
        <v>10313.4</v>
      </c>
      <c r="Z288" s="36">
        <v>36335.300000000003</v>
      </c>
      <c r="AA288" s="36">
        <v>522192.09</v>
      </c>
      <c r="AB288" s="36">
        <v>439816.75</v>
      </c>
      <c r="AC288" s="36">
        <v>5347357.95</v>
      </c>
      <c r="AD288" s="36">
        <v>497.67</v>
      </c>
      <c r="AE288" s="36">
        <v>4896794.22</v>
      </c>
      <c r="AF288" s="71">
        <f t="shared" si="76"/>
        <v>9839.4402314786894</v>
      </c>
      <c r="AG288" s="71">
        <f t="shared" si="77"/>
        <v>10744.786605582012</v>
      </c>
      <c r="AH288" s="72">
        <f t="shared" si="78"/>
        <v>905.35</v>
      </c>
      <c r="AI288" s="36">
        <v>42.65</v>
      </c>
      <c r="AJ288" s="36">
        <v>408296.93</v>
      </c>
      <c r="AK288" s="71">
        <f t="shared" si="79"/>
        <v>9573.1988276670581</v>
      </c>
      <c r="AL288" s="71">
        <f t="shared" si="80"/>
        <v>10312.233294255569</v>
      </c>
      <c r="AM288" s="72">
        <f t="shared" si="81"/>
        <v>739.03</v>
      </c>
      <c r="AN288" s="70">
        <v>95.31</v>
      </c>
      <c r="AO288" s="70">
        <v>0</v>
      </c>
      <c r="AP288" s="3">
        <v>0</v>
      </c>
    </row>
    <row r="289" spans="1:42" s="3" customFormat="1" ht="15">
      <c r="A289" s="59" t="s">
        <v>685</v>
      </c>
      <c r="B289" s="59" t="s">
        <v>281</v>
      </c>
      <c r="C289" s="59" t="str">
        <f t="shared" si="83"/>
        <v>38265 TEKOA SCHOOL DISTRICT</v>
      </c>
      <c r="D289" s="36">
        <v>0</v>
      </c>
      <c r="E289" s="36">
        <v>7057.61</v>
      </c>
      <c r="F289" s="36">
        <v>5042.6000000000004</v>
      </c>
      <c r="G289" s="36">
        <v>258720.15</v>
      </c>
      <c r="H289" s="36">
        <v>50664.53</v>
      </c>
      <c r="I289" s="36">
        <v>59636.59</v>
      </c>
      <c r="J289" s="36">
        <v>85332.77</v>
      </c>
      <c r="K289" s="36">
        <v>0</v>
      </c>
      <c r="L289" s="36">
        <v>6102.85</v>
      </c>
      <c r="M289" s="36">
        <v>249511.73</v>
      </c>
      <c r="N289" s="50">
        <v>2.5399999999999999E-2</v>
      </c>
      <c r="O289" s="53">
        <v>0.17180000000000001</v>
      </c>
      <c r="P289" s="36">
        <v>0</v>
      </c>
      <c r="Q289" s="69">
        <v>0</v>
      </c>
      <c r="R289" s="69">
        <v>0</v>
      </c>
      <c r="S289" s="70">
        <v>0</v>
      </c>
      <c r="T289" s="70">
        <v>0</v>
      </c>
      <c r="U289" s="70">
        <v>0</v>
      </c>
      <c r="V289" s="36">
        <v>0</v>
      </c>
      <c r="W289" s="70">
        <v>0</v>
      </c>
      <c r="X289" s="70">
        <v>0</v>
      </c>
      <c r="Y289" s="36">
        <v>0</v>
      </c>
      <c r="Z289" s="36">
        <v>0</v>
      </c>
      <c r="AA289" s="36">
        <v>7108.33</v>
      </c>
      <c r="AB289" s="36">
        <v>19696.189999999999</v>
      </c>
      <c r="AC289" s="36">
        <v>156228.72</v>
      </c>
      <c r="AD289" s="36">
        <v>16.97</v>
      </c>
      <c r="AE289" s="36">
        <v>148711.82</v>
      </c>
      <c r="AF289" s="71">
        <f t="shared" si="76"/>
        <v>8763.2186210960535</v>
      </c>
      <c r="AG289" s="71">
        <f t="shared" si="77"/>
        <v>9206.1708898055404</v>
      </c>
      <c r="AH289" s="72">
        <f t="shared" si="78"/>
        <v>442.95</v>
      </c>
      <c r="AI289" s="36">
        <v>2.15</v>
      </c>
      <c r="AJ289" s="36">
        <v>18289.330000000002</v>
      </c>
      <c r="AK289" s="71">
        <f t="shared" si="79"/>
        <v>8506.6651162790713</v>
      </c>
      <c r="AL289" s="71">
        <f t="shared" si="80"/>
        <v>9161.0186046511626</v>
      </c>
      <c r="AM289" s="72">
        <f t="shared" si="81"/>
        <v>654.35</v>
      </c>
      <c r="AN289" s="70">
        <v>0</v>
      </c>
      <c r="AO289" s="70">
        <v>0</v>
      </c>
      <c r="AP289" s="3">
        <v>0</v>
      </c>
    </row>
    <row r="290" spans="1:42" s="3" customFormat="1" ht="15">
      <c r="A290" s="59" t="s">
        <v>667</v>
      </c>
      <c r="B290" s="59" t="s">
        <v>263</v>
      </c>
      <c r="C290" s="59" t="str">
        <f t="shared" si="83"/>
        <v>34402 TENINO SCHOOL DISTRICT</v>
      </c>
      <c r="D290" s="36">
        <v>0</v>
      </c>
      <c r="E290" s="36">
        <v>0</v>
      </c>
      <c r="F290" s="36">
        <v>0</v>
      </c>
      <c r="G290" s="36">
        <v>1729935.19</v>
      </c>
      <c r="H290" s="36">
        <v>492656.14</v>
      </c>
      <c r="I290" s="36">
        <v>173380.77</v>
      </c>
      <c r="J290" s="36">
        <v>381520.44</v>
      </c>
      <c r="K290" s="36">
        <v>20808.38</v>
      </c>
      <c r="L290" s="36">
        <v>37448.589999999997</v>
      </c>
      <c r="M290" s="36">
        <v>993608.22</v>
      </c>
      <c r="N290" s="50">
        <v>4.7500000000000001E-2</v>
      </c>
      <c r="O290" s="53">
        <v>0.18990000000000001</v>
      </c>
      <c r="P290" s="36">
        <v>0</v>
      </c>
      <c r="Q290" s="69">
        <v>0</v>
      </c>
      <c r="R290" s="69">
        <v>0</v>
      </c>
      <c r="S290" s="70">
        <v>0</v>
      </c>
      <c r="T290" s="70">
        <v>0</v>
      </c>
      <c r="U290" s="70">
        <v>0</v>
      </c>
      <c r="V290" s="36">
        <v>0</v>
      </c>
      <c r="W290" s="70">
        <v>0</v>
      </c>
      <c r="X290" s="70">
        <v>0</v>
      </c>
      <c r="Y290" s="36">
        <v>1469.48</v>
      </c>
      <c r="Z290" s="36">
        <v>0</v>
      </c>
      <c r="AA290" s="36">
        <v>74331.77</v>
      </c>
      <c r="AB290" s="36">
        <v>295837.7</v>
      </c>
      <c r="AC290" s="36">
        <v>711752.04</v>
      </c>
      <c r="AD290" s="36">
        <v>78.41</v>
      </c>
      <c r="AE290" s="36">
        <v>673635.5</v>
      </c>
      <c r="AF290" s="71">
        <f t="shared" si="76"/>
        <v>8591.1937252901425</v>
      </c>
      <c r="AG290" s="71">
        <f t="shared" si="77"/>
        <v>9077.3120775411317</v>
      </c>
      <c r="AH290" s="72">
        <f t="shared" si="78"/>
        <v>486.12</v>
      </c>
      <c r="AI290" s="36">
        <v>32.96</v>
      </c>
      <c r="AJ290" s="36">
        <v>274692.3</v>
      </c>
      <c r="AK290" s="71">
        <f t="shared" si="79"/>
        <v>8334.1110436893196</v>
      </c>
      <c r="AL290" s="71">
        <f t="shared" si="80"/>
        <v>8975.6583737864075</v>
      </c>
      <c r="AM290" s="72">
        <f t="shared" si="81"/>
        <v>641.54999999999995</v>
      </c>
      <c r="AN290" s="70">
        <v>305.86</v>
      </c>
      <c r="AO290" s="70">
        <v>1923.06</v>
      </c>
      <c r="AP290" s="3">
        <v>0</v>
      </c>
    </row>
    <row r="291" spans="1:42" s="3" customFormat="1" ht="15">
      <c r="A291" s="59" t="s">
        <v>535</v>
      </c>
      <c r="B291" s="59" t="s">
        <v>127</v>
      </c>
      <c r="C291" s="59" t="str">
        <f t="shared" si="83"/>
        <v>19400 THORP SCHOOL DISTRICT</v>
      </c>
      <c r="D291" s="36">
        <v>0</v>
      </c>
      <c r="E291" s="36">
        <v>0</v>
      </c>
      <c r="F291" s="36">
        <v>0</v>
      </c>
      <c r="G291" s="36">
        <v>371324.82</v>
      </c>
      <c r="H291" s="36">
        <v>31675.22</v>
      </c>
      <c r="I291" s="36">
        <v>0</v>
      </c>
      <c r="J291" s="36">
        <v>56172.88</v>
      </c>
      <c r="K291" s="36">
        <v>6800.79</v>
      </c>
      <c r="L291" s="36">
        <v>0</v>
      </c>
      <c r="M291" s="36">
        <v>199974.81</v>
      </c>
      <c r="N291" s="50">
        <v>6.25E-2</v>
      </c>
      <c r="O291" s="53">
        <v>0.28520000000000001</v>
      </c>
      <c r="P291" s="36">
        <v>0</v>
      </c>
      <c r="Q291" s="69">
        <v>0</v>
      </c>
      <c r="R291" s="69">
        <v>0</v>
      </c>
      <c r="S291" s="70">
        <v>0</v>
      </c>
      <c r="T291" s="70">
        <v>0</v>
      </c>
      <c r="U291" s="70">
        <v>0</v>
      </c>
      <c r="V291" s="36">
        <v>0</v>
      </c>
      <c r="W291" s="70">
        <v>0</v>
      </c>
      <c r="X291" s="70">
        <v>0</v>
      </c>
      <c r="Y291" s="36">
        <v>0</v>
      </c>
      <c r="Z291" s="36">
        <v>0</v>
      </c>
      <c r="AA291" s="36">
        <v>0</v>
      </c>
      <c r="AB291" s="36">
        <v>17887.330000000002</v>
      </c>
      <c r="AC291" s="36">
        <v>74908.710000000006</v>
      </c>
      <c r="AD291" s="36">
        <v>8.33</v>
      </c>
      <c r="AE291" s="36">
        <v>71701.62</v>
      </c>
      <c r="AF291" s="71">
        <f t="shared" si="76"/>
        <v>8607.6374549819921</v>
      </c>
      <c r="AG291" s="71">
        <f t="shared" si="77"/>
        <v>8992.6422569027618</v>
      </c>
      <c r="AH291" s="72">
        <f t="shared" si="78"/>
        <v>385</v>
      </c>
      <c r="AI291" s="36">
        <v>2</v>
      </c>
      <c r="AJ291" s="36">
        <v>16693.57</v>
      </c>
      <c r="AK291" s="71">
        <f t="shared" si="79"/>
        <v>8346.7849999999999</v>
      </c>
      <c r="AL291" s="71">
        <f t="shared" si="80"/>
        <v>8943.6650000000009</v>
      </c>
      <c r="AM291" s="72">
        <f t="shared" si="81"/>
        <v>596.88</v>
      </c>
      <c r="AN291" s="70">
        <v>0</v>
      </c>
      <c r="AO291" s="70">
        <v>0</v>
      </c>
      <c r="AP291" s="3">
        <v>0</v>
      </c>
    </row>
    <row r="292" spans="1:42" s="3" customFormat="1" ht="15">
      <c r="A292" s="59" t="s">
        <v>556</v>
      </c>
      <c r="B292" s="59" t="s">
        <v>148</v>
      </c>
      <c r="C292" s="59" t="str">
        <f t="shared" si="83"/>
        <v>21237 TOLEDO SCHOOL DISTRICT</v>
      </c>
      <c r="D292" s="36">
        <v>0</v>
      </c>
      <c r="E292" s="36">
        <v>0</v>
      </c>
      <c r="F292" s="36">
        <v>15267.73</v>
      </c>
      <c r="G292" s="36">
        <v>1253936.56</v>
      </c>
      <c r="H292" s="36">
        <v>359642.74</v>
      </c>
      <c r="I292" s="36">
        <v>16274.25</v>
      </c>
      <c r="J292" s="36">
        <v>248503.64</v>
      </c>
      <c r="K292" s="36">
        <v>12186.35</v>
      </c>
      <c r="L292" s="36">
        <v>25589.13</v>
      </c>
      <c r="M292" s="36">
        <v>731776.4</v>
      </c>
      <c r="N292" s="50">
        <v>4.7899999999999998E-2</v>
      </c>
      <c r="O292" s="53">
        <v>0.20519999999999999</v>
      </c>
      <c r="P292" s="36">
        <v>0</v>
      </c>
      <c r="Q292" s="69">
        <v>0</v>
      </c>
      <c r="R292" s="69">
        <v>0</v>
      </c>
      <c r="S292" s="70">
        <v>0</v>
      </c>
      <c r="T292" s="70">
        <v>0</v>
      </c>
      <c r="U292" s="70">
        <v>0</v>
      </c>
      <c r="V292" s="36">
        <v>0</v>
      </c>
      <c r="W292" s="70">
        <v>0</v>
      </c>
      <c r="X292" s="70">
        <v>0</v>
      </c>
      <c r="Y292" s="36">
        <v>955.22</v>
      </c>
      <c r="Z292" s="36">
        <v>1275.55</v>
      </c>
      <c r="AA292" s="36">
        <v>20903.89</v>
      </c>
      <c r="AB292" s="36">
        <v>172573.34</v>
      </c>
      <c r="AC292" s="36">
        <v>523022.59</v>
      </c>
      <c r="AD292" s="36">
        <v>54.59</v>
      </c>
      <c r="AE292" s="36">
        <v>478251.9</v>
      </c>
      <c r="AF292" s="71">
        <f t="shared" si="76"/>
        <v>8760.7968492397868</v>
      </c>
      <c r="AG292" s="71">
        <f t="shared" si="77"/>
        <v>9580.9230628320202</v>
      </c>
      <c r="AH292" s="72">
        <f t="shared" si="78"/>
        <v>820.13</v>
      </c>
      <c r="AI292" s="36">
        <v>18.829999999999998</v>
      </c>
      <c r="AJ292" s="36">
        <v>160211.81</v>
      </c>
      <c r="AK292" s="71">
        <f t="shared" si="79"/>
        <v>8508.3276686139143</v>
      </c>
      <c r="AL292" s="71">
        <f t="shared" si="80"/>
        <v>9164.808284652152</v>
      </c>
      <c r="AM292" s="72">
        <f t="shared" si="81"/>
        <v>656.48</v>
      </c>
      <c r="AN292" s="70">
        <v>0</v>
      </c>
      <c r="AO292" s="70">
        <v>0</v>
      </c>
      <c r="AP292" s="3">
        <v>0</v>
      </c>
    </row>
    <row r="293" spans="1:42" s="3" customFormat="1" ht="15">
      <c r="A293" s="59" t="s">
        <v>583</v>
      </c>
      <c r="B293" s="59" t="s">
        <v>175</v>
      </c>
      <c r="C293" s="59" t="str">
        <f t="shared" si="83"/>
        <v>24404 TONASKET SCHOOL DISTRICT</v>
      </c>
      <c r="D293" s="36">
        <v>36125.17</v>
      </c>
      <c r="E293" s="36">
        <v>38317.35</v>
      </c>
      <c r="F293" s="36">
        <v>31737.599999999999</v>
      </c>
      <c r="G293" s="36">
        <v>1228483.44</v>
      </c>
      <c r="H293" s="36">
        <v>207507.56</v>
      </c>
      <c r="I293" s="36">
        <v>341589.07</v>
      </c>
      <c r="J293" s="36">
        <v>571246.17000000004</v>
      </c>
      <c r="K293" s="36">
        <v>208591.32</v>
      </c>
      <c r="L293" s="36">
        <v>33517.519999999997</v>
      </c>
      <c r="M293" s="36">
        <v>1058041.24</v>
      </c>
      <c r="N293" s="50">
        <v>5.4300000000000001E-2</v>
      </c>
      <c r="O293" s="53">
        <v>0.1855</v>
      </c>
      <c r="P293" s="36">
        <v>0</v>
      </c>
      <c r="Q293" s="69">
        <v>0</v>
      </c>
      <c r="R293" s="69">
        <v>0</v>
      </c>
      <c r="S293" s="70">
        <v>0</v>
      </c>
      <c r="T293" s="70">
        <v>0</v>
      </c>
      <c r="U293" s="70">
        <v>0</v>
      </c>
      <c r="V293" s="36">
        <v>0</v>
      </c>
      <c r="W293" s="70">
        <v>0</v>
      </c>
      <c r="X293" s="70">
        <v>0</v>
      </c>
      <c r="Y293" s="36">
        <v>0</v>
      </c>
      <c r="Z293" s="36">
        <v>0</v>
      </c>
      <c r="AA293" s="36">
        <v>0</v>
      </c>
      <c r="AB293" s="36">
        <v>92166.67</v>
      </c>
      <c r="AC293" s="36">
        <v>526998.31999999995</v>
      </c>
      <c r="AD293" s="36">
        <v>55.36</v>
      </c>
      <c r="AE293" s="36">
        <v>475409.41</v>
      </c>
      <c r="AF293" s="71">
        <f t="shared" si="76"/>
        <v>8587.5977239884396</v>
      </c>
      <c r="AG293" s="71">
        <f t="shared" si="77"/>
        <v>9519.4783236994208</v>
      </c>
      <c r="AH293" s="72">
        <f t="shared" si="78"/>
        <v>931.88</v>
      </c>
      <c r="AI293" s="36">
        <v>10.28</v>
      </c>
      <c r="AJ293" s="36">
        <v>85569.39</v>
      </c>
      <c r="AK293" s="71">
        <f t="shared" si="79"/>
        <v>8323.8706225680944</v>
      </c>
      <c r="AL293" s="71">
        <f t="shared" si="80"/>
        <v>8965.6293774319074</v>
      </c>
      <c r="AM293" s="72">
        <f t="shared" si="81"/>
        <v>641.76</v>
      </c>
      <c r="AN293" s="70">
        <v>0</v>
      </c>
      <c r="AO293" s="70">
        <v>0</v>
      </c>
      <c r="AP293" s="3">
        <v>0</v>
      </c>
    </row>
    <row r="294" spans="1:42" s="3" customFormat="1" ht="15">
      <c r="A294" s="59" t="s">
        <v>703</v>
      </c>
      <c r="B294" s="59" t="s">
        <v>300</v>
      </c>
      <c r="C294" s="59" t="str">
        <f t="shared" si="83"/>
        <v>39202 TOPPENISH SCHOOL DISTRICT</v>
      </c>
      <c r="D294" s="36">
        <v>327555.83</v>
      </c>
      <c r="E294" s="36">
        <v>263751.84999999998</v>
      </c>
      <c r="F294" s="36">
        <v>19331.28</v>
      </c>
      <c r="G294" s="36">
        <v>5193216.1900000004</v>
      </c>
      <c r="H294" s="36">
        <v>606920.80000000005</v>
      </c>
      <c r="I294" s="36">
        <v>1093664.3400000001</v>
      </c>
      <c r="J294" s="36">
        <v>2660505.0699999998</v>
      </c>
      <c r="K294" s="36">
        <v>2080432.11</v>
      </c>
      <c r="L294" s="36">
        <v>128276.94</v>
      </c>
      <c r="M294" s="36">
        <v>1526435.43</v>
      </c>
      <c r="N294" s="50">
        <v>8.6099999999999996E-2</v>
      </c>
      <c r="O294" s="53">
        <v>0.17230000000000001</v>
      </c>
      <c r="P294" s="36">
        <v>0</v>
      </c>
      <c r="Q294" s="69">
        <v>0</v>
      </c>
      <c r="R294" s="69">
        <v>0</v>
      </c>
      <c r="S294" s="70">
        <v>0</v>
      </c>
      <c r="T294" s="70">
        <v>0</v>
      </c>
      <c r="U294" s="70">
        <v>0</v>
      </c>
      <c r="V294" s="36">
        <v>0</v>
      </c>
      <c r="W294" s="70">
        <v>0</v>
      </c>
      <c r="X294" s="70">
        <v>0</v>
      </c>
      <c r="Y294" s="36">
        <v>0</v>
      </c>
      <c r="Z294" s="36">
        <v>77736.34</v>
      </c>
      <c r="AA294" s="36">
        <v>67067.179999999993</v>
      </c>
      <c r="AB294" s="36">
        <v>1203358.94</v>
      </c>
      <c r="AC294" s="36">
        <v>4374129.41</v>
      </c>
      <c r="AD294" s="36">
        <v>482.39</v>
      </c>
      <c r="AE294" s="36">
        <v>4143729.41</v>
      </c>
      <c r="AF294" s="71">
        <f t="shared" si="76"/>
        <v>8589.9985696220901</v>
      </c>
      <c r="AG294" s="71">
        <f t="shared" si="77"/>
        <v>9067.6204108708735</v>
      </c>
      <c r="AH294" s="72">
        <f t="shared" si="78"/>
        <v>477.62</v>
      </c>
      <c r="AI294" s="36">
        <v>134.06</v>
      </c>
      <c r="AJ294" s="36">
        <v>1117644.4099999999</v>
      </c>
      <c r="AK294" s="71">
        <f t="shared" si="79"/>
        <v>8336.896986423988</v>
      </c>
      <c r="AL294" s="71">
        <f t="shared" si="80"/>
        <v>8976.2713710278967</v>
      </c>
      <c r="AM294" s="72">
        <f t="shared" si="81"/>
        <v>639.37</v>
      </c>
      <c r="AN294" s="70">
        <v>599.35</v>
      </c>
      <c r="AO294" s="70">
        <v>0</v>
      </c>
      <c r="AP294" s="3">
        <v>0</v>
      </c>
    </row>
    <row r="295" spans="1:42" s="3" customFormat="1" ht="15">
      <c r="A295" s="59" t="s">
        <v>672</v>
      </c>
      <c r="B295" s="59" t="s">
        <v>268</v>
      </c>
      <c r="C295" s="59" t="str">
        <f t="shared" si="83"/>
        <v>36300 TOUCHET SCHOOL DISTRICT</v>
      </c>
      <c r="D295" s="36">
        <v>0</v>
      </c>
      <c r="E295" s="36">
        <v>1302.17</v>
      </c>
      <c r="F295" s="36">
        <v>0</v>
      </c>
      <c r="G295" s="36">
        <v>205556.69</v>
      </c>
      <c r="H295" s="36">
        <v>14884.53</v>
      </c>
      <c r="I295" s="36">
        <v>60931.55</v>
      </c>
      <c r="J295" s="36">
        <v>66104</v>
      </c>
      <c r="K295" s="36">
        <v>51361.18</v>
      </c>
      <c r="L295" s="36">
        <v>6413.85</v>
      </c>
      <c r="M295" s="36">
        <v>194375.47</v>
      </c>
      <c r="N295" s="50">
        <v>7.7899999999999997E-2</v>
      </c>
      <c r="O295" s="53">
        <v>0.33779999999999999</v>
      </c>
      <c r="P295" s="36">
        <v>0</v>
      </c>
      <c r="Q295" s="69">
        <v>0</v>
      </c>
      <c r="R295" s="69">
        <v>0</v>
      </c>
      <c r="S295" s="70">
        <v>0</v>
      </c>
      <c r="T295" s="70">
        <v>0</v>
      </c>
      <c r="U295" s="70">
        <v>0</v>
      </c>
      <c r="V295" s="36">
        <v>0</v>
      </c>
      <c r="W295" s="70">
        <v>0</v>
      </c>
      <c r="X295" s="70">
        <v>0</v>
      </c>
      <c r="Y295" s="36">
        <v>243.6</v>
      </c>
      <c r="Z295" s="36">
        <v>0</v>
      </c>
      <c r="AA295" s="36">
        <v>0</v>
      </c>
      <c r="AB295" s="36">
        <v>47020.1</v>
      </c>
      <c r="AC295" s="36">
        <v>120524.66</v>
      </c>
      <c r="AD295" s="36">
        <v>12.6</v>
      </c>
      <c r="AE295" s="36">
        <v>108065.53</v>
      </c>
      <c r="AF295" s="71">
        <f t="shared" si="76"/>
        <v>8576.629365079365</v>
      </c>
      <c r="AG295" s="71">
        <f t="shared" si="77"/>
        <v>9565.4492063492071</v>
      </c>
      <c r="AH295" s="72">
        <f t="shared" si="78"/>
        <v>988.82</v>
      </c>
      <c r="AI295" s="36">
        <v>5.24</v>
      </c>
      <c r="AJ295" s="36">
        <v>43643.33</v>
      </c>
      <c r="AK295" s="71">
        <f t="shared" si="79"/>
        <v>8328.8797709923656</v>
      </c>
      <c r="AL295" s="71">
        <f t="shared" si="80"/>
        <v>8973.301526717556</v>
      </c>
      <c r="AM295" s="72">
        <f t="shared" si="81"/>
        <v>644.41999999999996</v>
      </c>
      <c r="AN295" s="70">
        <v>0</v>
      </c>
      <c r="AO295" s="70">
        <v>0</v>
      </c>
      <c r="AP295" s="3">
        <v>0</v>
      </c>
    </row>
    <row r="296" spans="1:42" s="3" customFormat="1" ht="15">
      <c r="A296" s="59" t="s">
        <v>457</v>
      </c>
      <c r="B296" s="59" t="s">
        <v>49</v>
      </c>
      <c r="C296" s="59" t="str">
        <f t="shared" si="83"/>
        <v>08130 TOUTLE LAKE SCHOOL DISTRICT</v>
      </c>
      <c r="D296" s="36">
        <v>0</v>
      </c>
      <c r="E296" s="36">
        <v>16373.25</v>
      </c>
      <c r="F296" s="36">
        <v>0</v>
      </c>
      <c r="G296" s="36">
        <v>0</v>
      </c>
      <c r="H296" s="36">
        <v>0</v>
      </c>
      <c r="I296" s="36">
        <v>0</v>
      </c>
      <c r="J296" s="36">
        <v>177839.1</v>
      </c>
      <c r="K296" s="36">
        <v>0</v>
      </c>
      <c r="L296" s="36">
        <v>20771.09</v>
      </c>
      <c r="M296" s="36">
        <v>522970.92</v>
      </c>
      <c r="N296" s="50">
        <v>4.7699999999999999E-2</v>
      </c>
      <c r="O296" s="53">
        <v>0.15909999999999999</v>
      </c>
      <c r="P296" s="36">
        <v>0</v>
      </c>
      <c r="Q296" s="69">
        <v>0</v>
      </c>
      <c r="R296" s="69">
        <v>0</v>
      </c>
      <c r="S296" s="70">
        <v>0</v>
      </c>
      <c r="T296" s="70">
        <v>0</v>
      </c>
      <c r="U296" s="70">
        <v>0</v>
      </c>
      <c r="V296" s="36">
        <v>0</v>
      </c>
      <c r="W296" s="70">
        <v>0</v>
      </c>
      <c r="X296" s="70">
        <v>0</v>
      </c>
      <c r="Y296" s="36">
        <v>779.28</v>
      </c>
      <c r="Z296" s="36">
        <v>14340.89</v>
      </c>
      <c r="AA296" s="36">
        <v>3814.94</v>
      </c>
      <c r="AB296" s="36">
        <v>151559.75</v>
      </c>
      <c r="AC296" s="36">
        <v>304447.34999999998</v>
      </c>
      <c r="AD296" s="36">
        <v>30</v>
      </c>
      <c r="AE296" s="36">
        <v>262924.34000000003</v>
      </c>
      <c r="AF296" s="71">
        <f t="shared" si="76"/>
        <v>8764.144666666667</v>
      </c>
      <c r="AG296" s="71">
        <f t="shared" si="77"/>
        <v>10148.244999999999</v>
      </c>
      <c r="AH296" s="72">
        <f t="shared" si="78"/>
        <v>1384.1</v>
      </c>
      <c r="AI296" s="36">
        <v>16.55</v>
      </c>
      <c r="AJ296" s="36">
        <v>140819.07999999999</v>
      </c>
      <c r="AK296" s="71">
        <f t="shared" si="79"/>
        <v>8508.7057401812672</v>
      </c>
      <c r="AL296" s="71">
        <f t="shared" si="80"/>
        <v>9157.6888217522646</v>
      </c>
      <c r="AM296" s="72">
        <f t="shared" si="81"/>
        <v>648.98</v>
      </c>
      <c r="AN296" s="70">
        <v>0</v>
      </c>
      <c r="AO296" s="70">
        <v>0</v>
      </c>
      <c r="AP296" s="3">
        <v>0</v>
      </c>
    </row>
    <row r="297" spans="1:42" s="3" customFormat="1" ht="15">
      <c r="A297" s="59" t="s">
        <v>542</v>
      </c>
      <c r="B297" s="59" t="s">
        <v>134</v>
      </c>
      <c r="C297" s="59" t="str">
        <f t="shared" si="83"/>
        <v>20400 TROUT LAKE SCHOOL DISTRICT</v>
      </c>
      <c r="D297" s="36">
        <v>0</v>
      </c>
      <c r="E297" s="36">
        <v>0</v>
      </c>
      <c r="F297" s="36">
        <v>0</v>
      </c>
      <c r="G297" s="36">
        <v>0</v>
      </c>
      <c r="H297" s="36">
        <v>0</v>
      </c>
      <c r="I297" s="36">
        <v>0</v>
      </c>
      <c r="J297" s="36">
        <v>0</v>
      </c>
      <c r="K297" s="36">
        <v>18169.259999999998</v>
      </c>
      <c r="L297" s="36">
        <v>5793.15</v>
      </c>
      <c r="M297" s="36">
        <v>124015.03</v>
      </c>
      <c r="N297" s="50">
        <v>5.1999999999999998E-2</v>
      </c>
      <c r="O297" s="53">
        <v>0.30730000000000002</v>
      </c>
      <c r="P297" s="36">
        <v>0</v>
      </c>
      <c r="Q297" s="69">
        <v>0</v>
      </c>
      <c r="R297" s="69">
        <v>0</v>
      </c>
      <c r="S297" s="70">
        <v>0</v>
      </c>
      <c r="T297" s="70">
        <v>0</v>
      </c>
      <c r="U297" s="70">
        <v>0</v>
      </c>
      <c r="V297" s="36">
        <v>0</v>
      </c>
      <c r="W297" s="70">
        <v>0</v>
      </c>
      <c r="X297" s="70">
        <v>0</v>
      </c>
      <c r="Y297" s="36">
        <v>226.68</v>
      </c>
      <c r="Z297" s="36">
        <v>0</v>
      </c>
      <c r="AA297" s="36">
        <v>0</v>
      </c>
      <c r="AB297" s="36">
        <v>0</v>
      </c>
      <c r="AC297" s="36">
        <v>0</v>
      </c>
      <c r="AD297" s="36">
        <v>0</v>
      </c>
      <c r="AE297" s="36">
        <v>0</v>
      </c>
      <c r="AF297" s="71">
        <f t="shared" si="76"/>
        <v>0</v>
      </c>
      <c r="AG297" s="71">
        <f t="shared" si="77"/>
        <v>0</v>
      </c>
      <c r="AH297" s="72">
        <f t="shared" si="78"/>
        <v>0</v>
      </c>
      <c r="AI297" s="36">
        <v>0</v>
      </c>
      <c r="AJ297" s="36">
        <v>0</v>
      </c>
      <c r="AK297" s="71">
        <f t="shared" si="79"/>
        <v>0</v>
      </c>
      <c r="AL297" s="71">
        <f t="shared" si="80"/>
        <v>0</v>
      </c>
      <c r="AM297" s="72">
        <f t="shared" si="81"/>
        <v>0</v>
      </c>
      <c r="AN297" s="70">
        <v>0</v>
      </c>
      <c r="AO297" s="70">
        <v>0</v>
      </c>
      <c r="AP297" s="3">
        <v>0</v>
      </c>
    </row>
    <row r="298" spans="1:42" s="3" customFormat="1" ht="15">
      <c r="A298" s="59" t="s">
        <v>518</v>
      </c>
      <c r="B298" s="59" t="s">
        <v>110</v>
      </c>
      <c r="C298" s="59" t="str">
        <f t="shared" si="83"/>
        <v>17406 TUKWILA SCHOOL DISTRICT</v>
      </c>
      <c r="D298" s="36">
        <v>0</v>
      </c>
      <c r="E298" s="36">
        <v>0</v>
      </c>
      <c r="F298" s="36">
        <v>88292.98</v>
      </c>
      <c r="G298" s="36">
        <v>4333624.12</v>
      </c>
      <c r="H298" s="36">
        <v>876850.88</v>
      </c>
      <c r="I298" s="36">
        <v>880959.29</v>
      </c>
      <c r="J298" s="36">
        <v>1438313.12</v>
      </c>
      <c r="K298" s="36">
        <v>1862221.82</v>
      </c>
      <c r="L298" s="36">
        <v>86622.28</v>
      </c>
      <c r="M298" s="36">
        <v>1001470.15</v>
      </c>
      <c r="N298" s="50">
        <v>2.9100000000000001E-2</v>
      </c>
      <c r="O298" s="53">
        <v>0.18110000000000001</v>
      </c>
      <c r="P298" s="36">
        <v>0</v>
      </c>
      <c r="Q298" s="69">
        <v>0</v>
      </c>
      <c r="R298" s="69">
        <v>0</v>
      </c>
      <c r="S298" s="70">
        <v>0</v>
      </c>
      <c r="T298" s="70">
        <v>0</v>
      </c>
      <c r="U298" s="70">
        <v>0</v>
      </c>
      <c r="V298" s="36">
        <v>0</v>
      </c>
      <c r="W298" s="70">
        <v>0</v>
      </c>
      <c r="X298" s="70">
        <v>0</v>
      </c>
      <c r="Y298" s="36">
        <v>0</v>
      </c>
      <c r="Z298" s="36">
        <v>0</v>
      </c>
      <c r="AA298" s="36">
        <v>3824.52</v>
      </c>
      <c r="AB298" s="36">
        <v>0</v>
      </c>
      <c r="AC298" s="36">
        <v>1345792.41</v>
      </c>
      <c r="AD298" s="36">
        <v>128.1</v>
      </c>
      <c r="AE298" s="36">
        <v>1238296.05</v>
      </c>
      <c r="AF298" s="71">
        <f t="shared" si="76"/>
        <v>9666.6358313817345</v>
      </c>
      <c r="AG298" s="71">
        <f t="shared" si="77"/>
        <v>10505.795550351288</v>
      </c>
      <c r="AH298" s="72">
        <f t="shared" si="78"/>
        <v>839.16</v>
      </c>
      <c r="AI298" s="36">
        <v>0</v>
      </c>
      <c r="AJ298" s="36">
        <v>0</v>
      </c>
      <c r="AK298" s="71">
        <f t="shared" si="79"/>
        <v>0</v>
      </c>
      <c r="AL298" s="71">
        <f t="shared" si="80"/>
        <v>0</v>
      </c>
      <c r="AM298" s="72">
        <f t="shared" si="81"/>
        <v>0</v>
      </c>
      <c r="AN298" s="70">
        <v>0</v>
      </c>
      <c r="AO298" s="70">
        <v>0</v>
      </c>
      <c r="AP298" s="3">
        <v>0</v>
      </c>
    </row>
    <row r="299" spans="1:42" s="3" customFormat="1" ht="15">
      <c r="A299" s="59" t="s">
        <v>662</v>
      </c>
      <c r="B299" s="59" t="s">
        <v>258</v>
      </c>
      <c r="C299" s="59" t="str">
        <f t="shared" si="83"/>
        <v>34033 TUMWATER SCHOOL DISTRICT</v>
      </c>
      <c r="D299" s="36">
        <v>0</v>
      </c>
      <c r="E299" s="36">
        <v>126148.17</v>
      </c>
      <c r="F299" s="36">
        <v>0</v>
      </c>
      <c r="G299" s="36">
        <v>9673008.2100000009</v>
      </c>
      <c r="H299" s="36">
        <v>1767667.11</v>
      </c>
      <c r="I299" s="36">
        <v>0</v>
      </c>
      <c r="J299" s="36">
        <v>1365632.15</v>
      </c>
      <c r="K299" s="36">
        <v>234677.94</v>
      </c>
      <c r="L299" s="36">
        <v>198518.9</v>
      </c>
      <c r="M299" s="36">
        <v>4274328.51</v>
      </c>
      <c r="N299" s="50">
        <v>2.3599999999999999E-2</v>
      </c>
      <c r="O299" s="53">
        <v>0.14610000000000001</v>
      </c>
      <c r="P299" s="36">
        <v>0</v>
      </c>
      <c r="Q299" s="69">
        <v>0</v>
      </c>
      <c r="R299" s="69">
        <v>0</v>
      </c>
      <c r="S299" s="70">
        <v>161691.4</v>
      </c>
      <c r="T299" s="70">
        <v>16433.520000000015</v>
      </c>
      <c r="U299" s="70">
        <v>6149.15</v>
      </c>
      <c r="V299" s="36">
        <v>0</v>
      </c>
      <c r="W299" s="70">
        <v>0</v>
      </c>
      <c r="X299" s="70">
        <v>0</v>
      </c>
      <c r="Y299" s="36">
        <v>1081.53</v>
      </c>
      <c r="Z299" s="36">
        <v>91741.14</v>
      </c>
      <c r="AA299" s="36">
        <v>261032.39</v>
      </c>
      <c r="AB299" s="36">
        <v>1171319.75</v>
      </c>
      <c r="AC299" s="36">
        <v>3817348.21</v>
      </c>
      <c r="AD299" s="36">
        <v>404.1</v>
      </c>
      <c r="AE299" s="36">
        <v>3471222.15</v>
      </c>
      <c r="AF299" s="71">
        <f t="shared" si="76"/>
        <v>8590.0077951002222</v>
      </c>
      <c r="AG299" s="71">
        <f t="shared" si="77"/>
        <v>9446.5434545904482</v>
      </c>
      <c r="AH299" s="72">
        <f t="shared" si="78"/>
        <v>856.54</v>
      </c>
      <c r="AI299" s="36">
        <v>130.49</v>
      </c>
      <c r="AJ299" s="36">
        <v>1087775.92</v>
      </c>
      <c r="AK299" s="71">
        <f t="shared" si="79"/>
        <v>8336.0864434056239</v>
      </c>
      <c r="AL299" s="71">
        <f t="shared" si="80"/>
        <v>8976.3181086673303</v>
      </c>
      <c r="AM299" s="72">
        <f t="shared" si="81"/>
        <v>640.23</v>
      </c>
      <c r="AN299" s="70">
        <v>3071.85</v>
      </c>
      <c r="AO299" s="70">
        <v>9979.52</v>
      </c>
      <c r="AP299" s="3">
        <v>0</v>
      </c>
    </row>
    <row r="300" spans="1:42" s="3" customFormat="1" ht="15">
      <c r="A300" s="59" t="s">
        <v>696</v>
      </c>
      <c r="B300" s="59" t="s">
        <v>292</v>
      </c>
      <c r="C300" s="59" t="str">
        <f t="shared" si="83"/>
        <v>39002 UNION GAP SCHOOL DISTRICT</v>
      </c>
      <c r="D300" s="36">
        <v>71255.899999999994</v>
      </c>
      <c r="E300" s="36">
        <v>0</v>
      </c>
      <c r="F300" s="36">
        <v>16514.509999999998</v>
      </c>
      <c r="G300" s="36">
        <v>728884.26</v>
      </c>
      <c r="H300" s="36">
        <v>96012.43</v>
      </c>
      <c r="I300" s="36">
        <v>175242.84</v>
      </c>
      <c r="J300" s="36">
        <v>353071.92</v>
      </c>
      <c r="K300" s="36">
        <v>257414.91</v>
      </c>
      <c r="L300" s="36">
        <v>16655.32</v>
      </c>
      <c r="M300" s="36">
        <v>105916.67</v>
      </c>
      <c r="N300" s="50">
        <v>5.0900000000000001E-2</v>
      </c>
      <c r="O300" s="53">
        <v>0.2185</v>
      </c>
      <c r="P300" s="36">
        <v>0</v>
      </c>
      <c r="Q300" s="69">
        <v>0</v>
      </c>
      <c r="R300" s="69">
        <v>0</v>
      </c>
      <c r="S300" s="70">
        <v>0</v>
      </c>
      <c r="T300" s="70">
        <v>0</v>
      </c>
      <c r="U300" s="70">
        <v>0</v>
      </c>
      <c r="V300" s="36">
        <v>0</v>
      </c>
      <c r="W300" s="70">
        <v>0</v>
      </c>
      <c r="X300" s="70">
        <v>0</v>
      </c>
      <c r="Y300" s="36">
        <v>650.72</v>
      </c>
      <c r="Z300" s="36">
        <v>0</v>
      </c>
      <c r="AA300" s="36">
        <v>0</v>
      </c>
      <c r="AB300" s="36">
        <v>0</v>
      </c>
      <c r="AC300" s="36">
        <v>0</v>
      </c>
      <c r="AD300" s="36">
        <v>0</v>
      </c>
      <c r="AE300" s="36">
        <v>0</v>
      </c>
      <c r="AF300" s="71">
        <f t="shared" si="76"/>
        <v>0</v>
      </c>
      <c r="AG300" s="71">
        <f t="shared" si="77"/>
        <v>0</v>
      </c>
      <c r="AH300" s="72">
        <f t="shared" si="78"/>
        <v>0</v>
      </c>
      <c r="AI300" s="36">
        <v>0</v>
      </c>
      <c r="AJ300" s="36">
        <v>0</v>
      </c>
      <c r="AK300" s="71">
        <f t="shared" si="79"/>
        <v>0</v>
      </c>
      <c r="AL300" s="71">
        <f t="shared" si="80"/>
        <v>0</v>
      </c>
      <c r="AM300" s="72">
        <f t="shared" si="81"/>
        <v>0</v>
      </c>
      <c r="AN300" s="70">
        <v>0</v>
      </c>
      <c r="AO300" s="70">
        <v>0</v>
      </c>
      <c r="AP300" s="3">
        <v>0</v>
      </c>
    </row>
    <row r="301" spans="1:42" s="3" customFormat="1" ht="15">
      <c r="A301" s="59" t="s">
        <v>597</v>
      </c>
      <c r="B301" s="59" t="s">
        <v>190</v>
      </c>
      <c r="C301" s="59" t="str">
        <f t="shared" si="83"/>
        <v>27083 UNIVERSITY PLACE SCHOOL DISTRICT</v>
      </c>
      <c r="D301" s="36">
        <v>0</v>
      </c>
      <c r="E301" s="36">
        <v>0</v>
      </c>
      <c r="F301" s="36">
        <v>0</v>
      </c>
      <c r="G301" s="36">
        <v>6278940.3899999997</v>
      </c>
      <c r="H301" s="36">
        <v>1438639.45</v>
      </c>
      <c r="I301" s="36">
        <v>0</v>
      </c>
      <c r="J301" s="36">
        <v>1451632.54</v>
      </c>
      <c r="K301" s="36">
        <v>596189.91</v>
      </c>
      <c r="L301" s="36">
        <v>178458.2</v>
      </c>
      <c r="M301" s="36">
        <v>2712669.82</v>
      </c>
      <c r="N301" s="50">
        <v>3.9100000000000003E-2</v>
      </c>
      <c r="O301" s="53">
        <v>0.15390000000000001</v>
      </c>
      <c r="P301" s="36">
        <v>0</v>
      </c>
      <c r="Q301" s="69">
        <v>0</v>
      </c>
      <c r="R301" s="69">
        <v>0</v>
      </c>
      <c r="S301" s="70">
        <v>0</v>
      </c>
      <c r="T301" s="70">
        <v>0</v>
      </c>
      <c r="U301" s="70">
        <v>0</v>
      </c>
      <c r="V301" s="36">
        <v>0</v>
      </c>
      <c r="W301" s="70">
        <v>0</v>
      </c>
      <c r="X301" s="70">
        <v>0</v>
      </c>
      <c r="Y301" s="36">
        <v>6372.99</v>
      </c>
      <c r="Z301" s="36">
        <v>0</v>
      </c>
      <c r="AA301" s="36">
        <v>97843.25</v>
      </c>
      <c r="AB301" s="36">
        <v>0</v>
      </c>
      <c r="AC301" s="36">
        <v>2811832.62</v>
      </c>
      <c r="AD301" s="36">
        <v>282.23</v>
      </c>
      <c r="AE301" s="36">
        <v>2574393.7400000002</v>
      </c>
      <c r="AF301" s="71">
        <f t="shared" si="76"/>
        <v>9121.6161995535549</v>
      </c>
      <c r="AG301" s="71">
        <f t="shared" si="77"/>
        <v>9962.9118803812489</v>
      </c>
      <c r="AH301" s="72">
        <f t="shared" si="78"/>
        <v>841.3</v>
      </c>
      <c r="AI301" s="36">
        <v>0</v>
      </c>
      <c r="AJ301" s="36">
        <v>0</v>
      </c>
      <c r="AK301" s="71">
        <f t="shared" si="79"/>
        <v>0</v>
      </c>
      <c r="AL301" s="71">
        <f t="shared" si="80"/>
        <v>0</v>
      </c>
      <c r="AM301" s="72">
        <f t="shared" si="81"/>
        <v>0</v>
      </c>
      <c r="AN301" s="70">
        <v>0</v>
      </c>
      <c r="AO301" s="70">
        <v>0</v>
      </c>
      <c r="AP301" s="3">
        <v>0</v>
      </c>
    </row>
    <row r="302" spans="1:42" s="3" customFormat="1" ht="15">
      <c r="A302" s="59" t="s">
        <v>653</v>
      </c>
      <c r="B302" s="59" t="s">
        <v>247</v>
      </c>
      <c r="C302" s="59" t="str">
        <f t="shared" si="83"/>
        <v>33070 VALLEY SCHOOL DISTRICT</v>
      </c>
      <c r="D302" s="36">
        <v>0</v>
      </c>
      <c r="E302" s="36">
        <v>0</v>
      </c>
      <c r="F302" s="36">
        <v>6779.95</v>
      </c>
      <c r="G302" s="36">
        <v>973544.42</v>
      </c>
      <c r="H302" s="36">
        <v>98066.84</v>
      </c>
      <c r="I302" s="36">
        <v>76345.45</v>
      </c>
      <c r="J302" s="36">
        <v>164484.13</v>
      </c>
      <c r="K302" s="36">
        <v>79680.87</v>
      </c>
      <c r="L302" s="36">
        <v>28862.31</v>
      </c>
      <c r="M302" s="36">
        <v>1280610.1100000001</v>
      </c>
      <c r="N302" s="50">
        <v>5.6099999999999997E-2</v>
      </c>
      <c r="O302" s="53">
        <v>0.2079</v>
      </c>
      <c r="P302" s="36">
        <v>0</v>
      </c>
      <c r="Q302" s="69">
        <v>0</v>
      </c>
      <c r="R302" s="69">
        <v>0</v>
      </c>
      <c r="S302" s="70">
        <v>0</v>
      </c>
      <c r="T302" s="70">
        <v>0</v>
      </c>
      <c r="U302" s="70">
        <v>0</v>
      </c>
      <c r="V302" s="36">
        <v>0</v>
      </c>
      <c r="W302" s="70">
        <v>0</v>
      </c>
      <c r="X302" s="70">
        <v>0</v>
      </c>
      <c r="Y302" s="36">
        <v>1221.3699999999999</v>
      </c>
      <c r="Z302" s="36">
        <v>0</v>
      </c>
      <c r="AA302" s="36">
        <v>0</v>
      </c>
      <c r="AB302" s="36">
        <v>0</v>
      </c>
      <c r="AC302" s="36">
        <v>0</v>
      </c>
      <c r="AD302" s="36">
        <v>0</v>
      </c>
      <c r="AE302" s="36">
        <v>0</v>
      </c>
      <c r="AF302" s="71">
        <f t="shared" si="76"/>
        <v>0</v>
      </c>
      <c r="AG302" s="71">
        <f t="shared" si="77"/>
        <v>0</v>
      </c>
      <c r="AH302" s="72">
        <f t="shared" si="78"/>
        <v>0</v>
      </c>
      <c r="AI302" s="36">
        <v>0</v>
      </c>
      <c r="AJ302" s="36">
        <v>0</v>
      </c>
      <c r="AK302" s="71">
        <f t="shared" si="79"/>
        <v>0</v>
      </c>
      <c r="AL302" s="71">
        <f t="shared" si="80"/>
        <v>0</v>
      </c>
      <c r="AM302" s="72">
        <f t="shared" si="81"/>
        <v>0</v>
      </c>
      <c r="AN302" s="70">
        <v>0</v>
      </c>
      <c r="AO302" s="70">
        <v>0</v>
      </c>
      <c r="AP302" s="3">
        <v>0</v>
      </c>
    </row>
    <row r="303" spans="1:42" s="3" customFormat="1" ht="15">
      <c r="A303" s="59" t="s">
        <v>445</v>
      </c>
      <c r="B303" s="59" t="s">
        <v>37</v>
      </c>
      <c r="C303" s="59" t="str">
        <f t="shared" si="83"/>
        <v>06037 VANCOUVER SCHOOL DISTRICT</v>
      </c>
      <c r="D303" s="36">
        <v>0</v>
      </c>
      <c r="E303" s="36">
        <v>0</v>
      </c>
      <c r="F303" s="36">
        <v>276762.01</v>
      </c>
      <c r="G303" s="36">
        <v>34563939.479999997</v>
      </c>
      <c r="H303" s="36">
        <v>7561681.0800000001</v>
      </c>
      <c r="I303" s="36">
        <v>3933017.3</v>
      </c>
      <c r="J303" s="36">
        <v>7219806.5999999996</v>
      </c>
      <c r="K303" s="36">
        <v>5513836.6399999997</v>
      </c>
      <c r="L303" s="36">
        <v>677374.16</v>
      </c>
      <c r="M303" s="36">
        <v>11382573.689999999</v>
      </c>
      <c r="N303" s="50">
        <v>6.2600000000000003E-2</v>
      </c>
      <c r="O303" s="53">
        <v>0.1734</v>
      </c>
      <c r="P303" s="36">
        <v>0</v>
      </c>
      <c r="Q303" s="69">
        <v>0</v>
      </c>
      <c r="R303" s="69">
        <v>0</v>
      </c>
      <c r="S303" s="70">
        <v>0</v>
      </c>
      <c r="T303" s="70">
        <v>0</v>
      </c>
      <c r="U303" s="70">
        <v>0</v>
      </c>
      <c r="V303" s="36">
        <v>0</v>
      </c>
      <c r="W303" s="70">
        <v>0</v>
      </c>
      <c r="X303" s="70">
        <v>0</v>
      </c>
      <c r="Y303" s="36">
        <v>12522.69</v>
      </c>
      <c r="Z303" s="36">
        <v>230460.22</v>
      </c>
      <c r="AA303" s="36">
        <v>530247.75</v>
      </c>
      <c r="AB303" s="36">
        <v>2652899.87</v>
      </c>
      <c r="AC303" s="36">
        <v>12386578.810000001</v>
      </c>
      <c r="AD303" s="36">
        <v>1313.57</v>
      </c>
      <c r="AE303" s="36">
        <v>11754747.380000001</v>
      </c>
      <c r="AF303" s="71">
        <f t="shared" si="76"/>
        <v>8948.7026804814377</v>
      </c>
      <c r="AG303" s="71">
        <f t="shared" si="77"/>
        <v>9429.7059235518482</v>
      </c>
      <c r="AH303" s="72">
        <f t="shared" si="78"/>
        <v>481</v>
      </c>
      <c r="AI303" s="36">
        <v>283.48</v>
      </c>
      <c r="AJ303" s="36">
        <v>2463741.84</v>
      </c>
      <c r="AK303" s="71">
        <f t="shared" si="79"/>
        <v>8691.0605333709591</v>
      </c>
      <c r="AL303" s="71">
        <f t="shared" si="80"/>
        <v>9358.3316988852821</v>
      </c>
      <c r="AM303" s="72">
        <f t="shared" si="81"/>
        <v>667.27</v>
      </c>
      <c r="AN303" s="70">
        <v>0</v>
      </c>
      <c r="AO303" s="70">
        <v>29.31</v>
      </c>
      <c r="AP303" s="3">
        <v>0</v>
      </c>
    </row>
    <row r="304" spans="1:42" s="3" customFormat="1" ht="15">
      <c r="A304" s="59" t="s">
        <v>514</v>
      </c>
      <c r="B304" s="59" t="s">
        <v>106</v>
      </c>
      <c r="C304" s="59" t="str">
        <f t="shared" si="83"/>
        <v>17402 VASHON ISLAND SCHOOL DISTRICT</v>
      </c>
      <c r="D304" s="36">
        <v>0</v>
      </c>
      <c r="E304" s="36">
        <v>4615.38</v>
      </c>
      <c r="F304" s="36">
        <v>0</v>
      </c>
      <c r="G304" s="36">
        <v>2018781.72</v>
      </c>
      <c r="H304" s="36">
        <v>252190.16</v>
      </c>
      <c r="I304" s="36">
        <v>16238.57</v>
      </c>
      <c r="J304" s="36">
        <v>251697.67</v>
      </c>
      <c r="K304" s="36">
        <v>134535.19</v>
      </c>
      <c r="L304" s="36">
        <v>48486.96</v>
      </c>
      <c r="M304" s="36">
        <v>1238289.56</v>
      </c>
      <c r="N304" s="50">
        <v>4.4900000000000002E-2</v>
      </c>
      <c r="O304" s="53">
        <v>0.21510000000000001</v>
      </c>
      <c r="P304" s="36">
        <v>0</v>
      </c>
      <c r="Q304" s="69">
        <v>0</v>
      </c>
      <c r="R304" s="69">
        <v>0</v>
      </c>
      <c r="S304" s="70">
        <v>0</v>
      </c>
      <c r="T304" s="70">
        <v>0</v>
      </c>
      <c r="U304" s="70">
        <v>0</v>
      </c>
      <c r="V304" s="36">
        <v>0</v>
      </c>
      <c r="W304" s="70">
        <v>0</v>
      </c>
      <c r="X304" s="70">
        <v>0</v>
      </c>
      <c r="Y304" s="36">
        <v>1670.22</v>
      </c>
      <c r="Z304" s="36">
        <v>13942.29</v>
      </c>
      <c r="AA304" s="36">
        <v>50304.74</v>
      </c>
      <c r="AB304" s="36">
        <v>415753.13</v>
      </c>
      <c r="AC304" s="36">
        <v>814784.64</v>
      </c>
      <c r="AD304" s="36">
        <v>83.3</v>
      </c>
      <c r="AE304" s="36">
        <v>775219.57</v>
      </c>
      <c r="AF304" s="71">
        <f t="shared" si="76"/>
        <v>9306.3573829531815</v>
      </c>
      <c r="AG304" s="71">
        <f t="shared" si="77"/>
        <v>9781.3282112845136</v>
      </c>
      <c r="AH304" s="72">
        <f t="shared" si="78"/>
        <v>474.97</v>
      </c>
      <c r="AI304" s="36">
        <v>42.68</v>
      </c>
      <c r="AJ304" s="36">
        <v>386074.53</v>
      </c>
      <c r="AK304" s="71">
        <f t="shared" si="79"/>
        <v>9045.7949859418932</v>
      </c>
      <c r="AL304" s="71">
        <f t="shared" si="80"/>
        <v>9741.169868791003</v>
      </c>
      <c r="AM304" s="72">
        <f t="shared" si="81"/>
        <v>695.37</v>
      </c>
      <c r="AN304" s="70">
        <v>0</v>
      </c>
      <c r="AO304" s="70">
        <v>0</v>
      </c>
      <c r="AP304" s="3">
        <v>0</v>
      </c>
    </row>
    <row r="305" spans="1:42" s="3" customFormat="1" ht="15">
      <c r="A305" s="59" t="s">
        <v>725</v>
      </c>
      <c r="B305" s="59" t="s">
        <v>726</v>
      </c>
      <c r="C305" s="62" t="str">
        <f>CONCATENATE(B305," ",A305," TRIBAL COMPACT")</f>
        <v>34901 WA HE LUT TRIBAL COMPACT</v>
      </c>
      <c r="D305" s="36">
        <v>12366.22</v>
      </c>
      <c r="E305" s="36">
        <v>3706.5</v>
      </c>
      <c r="F305" s="36">
        <v>2197.0100000000002</v>
      </c>
      <c r="G305" s="36">
        <v>180132.22</v>
      </c>
      <c r="H305" s="36">
        <v>23129.48</v>
      </c>
      <c r="I305" s="36">
        <v>39709.769999999997</v>
      </c>
      <c r="J305" s="36">
        <v>85790.11</v>
      </c>
      <c r="K305" s="36">
        <v>0</v>
      </c>
      <c r="L305" s="36">
        <v>0</v>
      </c>
      <c r="M305" s="36">
        <v>245525.46</v>
      </c>
      <c r="N305" s="50">
        <v>0.08</v>
      </c>
      <c r="O305" s="54">
        <v>0.1</v>
      </c>
      <c r="P305" s="36">
        <v>0</v>
      </c>
      <c r="Q305" s="69">
        <v>0</v>
      </c>
      <c r="R305" s="69">
        <v>0</v>
      </c>
      <c r="S305" s="70">
        <v>0</v>
      </c>
      <c r="T305" s="70">
        <v>0</v>
      </c>
      <c r="U305" s="70">
        <v>0</v>
      </c>
      <c r="V305" s="36">
        <v>0</v>
      </c>
      <c r="W305" s="70">
        <v>0</v>
      </c>
      <c r="X305" s="70">
        <v>0</v>
      </c>
      <c r="Y305" s="36">
        <v>0</v>
      </c>
      <c r="Z305" s="36">
        <v>0</v>
      </c>
      <c r="AA305" s="36">
        <v>0</v>
      </c>
      <c r="AB305" s="36">
        <v>0</v>
      </c>
      <c r="AC305" s="36">
        <v>0</v>
      </c>
      <c r="AD305" s="36">
        <v>0</v>
      </c>
      <c r="AE305" s="36">
        <v>0</v>
      </c>
      <c r="AF305" s="71">
        <f t="shared" si="76"/>
        <v>0</v>
      </c>
      <c r="AG305" s="71">
        <f t="shared" si="77"/>
        <v>0</v>
      </c>
      <c r="AH305" s="72">
        <f t="shared" si="78"/>
        <v>0</v>
      </c>
      <c r="AI305" s="36">
        <v>0</v>
      </c>
      <c r="AJ305" s="36">
        <v>0</v>
      </c>
      <c r="AK305" s="71">
        <f t="shared" si="79"/>
        <v>0</v>
      </c>
      <c r="AL305" s="71">
        <f t="shared" si="80"/>
        <v>0</v>
      </c>
      <c r="AM305" s="72">
        <f t="shared" si="81"/>
        <v>0</v>
      </c>
      <c r="AN305" s="70">
        <v>0</v>
      </c>
      <c r="AO305" s="70">
        <v>0</v>
      </c>
      <c r="AP305" s="3">
        <v>0</v>
      </c>
    </row>
    <row r="306" spans="1:42" s="3" customFormat="1" ht="15">
      <c r="A306" s="59" t="s">
        <v>668</v>
      </c>
      <c r="B306" s="61" t="s">
        <v>264</v>
      </c>
      <c r="C306" s="59" t="str">
        <f t="shared" ref="C306:C318" si="84">CONCATENATE(B306," ",A306," SCHOOL DISTRICT")</f>
        <v>35200 WAHKIAKUM SCHOOL DISTRICT</v>
      </c>
      <c r="D306" s="36">
        <v>0</v>
      </c>
      <c r="E306" s="36">
        <v>17021.29</v>
      </c>
      <c r="F306" s="36">
        <v>11641.2</v>
      </c>
      <c r="G306" s="36">
        <v>0</v>
      </c>
      <c r="H306" s="36">
        <v>0</v>
      </c>
      <c r="I306" s="36">
        <v>140579.6</v>
      </c>
      <c r="J306" s="36">
        <v>177089.61</v>
      </c>
      <c r="K306" s="36">
        <v>0</v>
      </c>
      <c r="L306" s="36">
        <v>13276.37</v>
      </c>
      <c r="M306" s="36">
        <v>370495.99</v>
      </c>
      <c r="N306" s="50">
        <v>5.6899999999999999E-2</v>
      </c>
      <c r="O306" s="53">
        <v>0.25080000000000002</v>
      </c>
      <c r="P306" s="36">
        <v>0</v>
      </c>
      <c r="Q306" s="69">
        <v>0</v>
      </c>
      <c r="R306" s="69">
        <v>0</v>
      </c>
      <c r="S306" s="70">
        <v>0</v>
      </c>
      <c r="T306" s="70">
        <v>0</v>
      </c>
      <c r="U306" s="70">
        <v>0</v>
      </c>
      <c r="V306" s="36">
        <v>0</v>
      </c>
      <c r="W306" s="70">
        <v>0</v>
      </c>
      <c r="X306" s="70">
        <v>0</v>
      </c>
      <c r="Y306" s="36">
        <v>0</v>
      </c>
      <c r="Z306" s="36">
        <v>0</v>
      </c>
      <c r="AA306" s="36">
        <v>0</v>
      </c>
      <c r="AB306" s="36">
        <v>0</v>
      </c>
      <c r="AC306" s="36">
        <v>236741.9</v>
      </c>
      <c r="AD306" s="36">
        <v>25.47</v>
      </c>
      <c r="AE306" s="36">
        <v>223196.42</v>
      </c>
      <c r="AF306" s="71">
        <f t="shared" si="76"/>
        <v>8763.1103258735784</v>
      </c>
      <c r="AG306" s="71">
        <f t="shared" si="77"/>
        <v>9294.931291715744</v>
      </c>
      <c r="AH306" s="72">
        <f t="shared" si="78"/>
        <v>531.82000000000005</v>
      </c>
      <c r="AI306" s="36">
        <v>0</v>
      </c>
      <c r="AJ306" s="36">
        <v>0</v>
      </c>
      <c r="AK306" s="71">
        <f t="shared" si="79"/>
        <v>0</v>
      </c>
      <c r="AL306" s="71">
        <f t="shared" si="80"/>
        <v>0</v>
      </c>
      <c r="AM306" s="72">
        <f t="shared" si="81"/>
        <v>0</v>
      </c>
      <c r="AN306" s="70">
        <v>0</v>
      </c>
      <c r="AO306" s="70">
        <v>5387.4</v>
      </c>
      <c r="AP306" s="3">
        <v>0</v>
      </c>
    </row>
    <row r="307" spans="1:42" s="3" customFormat="1" ht="15">
      <c r="A307" s="59" t="s">
        <v>478</v>
      </c>
      <c r="B307" s="59" t="s">
        <v>70</v>
      </c>
      <c r="C307" s="59" t="str">
        <f t="shared" si="84"/>
        <v>13073 WAHLUKE SCHOOL DISTRICT</v>
      </c>
      <c r="D307" s="36">
        <v>0</v>
      </c>
      <c r="E307" s="36">
        <v>140853.53</v>
      </c>
      <c r="F307" s="36">
        <v>0</v>
      </c>
      <c r="G307" s="36">
        <v>3182920.78</v>
      </c>
      <c r="H307" s="36">
        <v>540223.34</v>
      </c>
      <c r="I307" s="36">
        <v>725178.48</v>
      </c>
      <c r="J307" s="36">
        <v>1530840.42</v>
      </c>
      <c r="K307" s="36">
        <v>1984713.56</v>
      </c>
      <c r="L307" s="36">
        <v>70241.960000000006</v>
      </c>
      <c r="M307" s="36">
        <v>1372318.59</v>
      </c>
      <c r="N307" s="50">
        <v>5.16E-2</v>
      </c>
      <c r="O307" s="53">
        <v>0.159</v>
      </c>
      <c r="P307" s="36">
        <v>0</v>
      </c>
      <c r="Q307" s="69">
        <v>0</v>
      </c>
      <c r="R307" s="69">
        <v>0</v>
      </c>
      <c r="S307" s="70">
        <v>0</v>
      </c>
      <c r="T307" s="70">
        <v>0</v>
      </c>
      <c r="U307" s="70">
        <v>0</v>
      </c>
      <c r="V307" s="36">
        <v>0</v>
      </c>
      <c r="W307" s="70">
        <v>0</v>
      </c>
      <c r="X307" s="70">
        <v>0</v>
      </c>
      <c r="Y307" s="36">
        <v>2864.52</v>
      </c>
      <c r="Z307" s="36">
        <v>0</v>
      </c>
      <c r="AA307" s="36">
        <v>166364.06</v>
      </c>
      <c r="AB307" s="36">
        <v>473134.11</v>
      </c>
      <c r="AC307" s="36">
        <v>1793777.44</v>
      </c>
      <c r="AD307" s="36">
        <v>196.75</v>
      </c>
      <c r="AE307" s="36">
        <v>1690046.34</v>
      </c>
      <c r="AF307" s="71">
        <f t="shared" si="76"/>
        <v>8589.81621346887</v>
      </c>
      <c r="AG307" s="71">
        <f t="shared" si="77"/>
        <v>9117.0390851334178</v>
      </c>
      <c r="AH307" s="72">
        <f t="shared" si="78"/>
        <v>527.22</v>
      </c>
      <c r="AI307" s="36">
        <v>52.71</v>
      </c>
      <c r="AJ307" s="36">
        <v>439239.46</v>
      </c>
      <c r="AK307" s="71">
        <f t="shared" si="79"/>
        <v>8333.1333712767973</v>
      </c>
      <c r="AL307" s="71">
        <f t="shared" si="80"/>
        <v>8976.1735913488901</v>
      </c>
      <c r="AM307" s="72">
        <f t="shared" si="81"/>
        <v>643.04</v>
      </c>
      <c r="AN307" s="70">
        <v>2190.7800000000002</v>
      </c>
      <c r="AO307" s="70">
        <v>475000</v>
      </c>
      <c r="AP307" s="3">
        <v>0</v>
      </c>
    </row>
    <row r="308" spans="1:42" s="3" customFormat="1" ht="15">
      <c r="A308" s="59" t="s">
        <v>674</v>
      </c>
      <c r="B308" s="59" t="s">
        <v>270</v>
      </c>
      <c r="C308" s="59" t="str">
        <f t="shared" si="84"/>
        <v>36401 WAITSBURG SCHOOL DISTRICT</v>
      </c>
      <c r="D308" s="36">
        <v>0</v>
      </c>
      <c r="E308" s="36">
        <v>5961.54</v>
      </c>
      <c r="F308" s="36">
        <v>0</v>
      </c>
      <c r="G308" s="36">
        <v>0</v>
      </c>
      <c r="H308" s="36">
        <v>0</v>
      </c>
      <c r="I308" s="36">
        <v>78621.350000000006</v>
      </c>
      <c r="J308" s="36">
        <v>97345.64</v>
      </c>
      <c r="K308" s="36">
        <v>0</v>
      </c>
      <c r="L308" s="36">
        <v>0</v>
      </c>
      <c r="M308" s="36">
        <v>153961.76999999999</v>
      </c>
      <c r="N308" s="50">
        <v>7.4800000000000005E-2</v>
      </c>
      <c r="O308" s="53">
        <v>0.3256</v>
      </c>
      <c r="P308" s="36">
        <v>0</v>
      </c>
      <c r="Q308" s="69">
        <v>0</v>
      </c>
      <c r="R308" s="69">
        <v>0</v>
      </c>
      <c r="S308" s="70">
        <v>0</v>
      </c>
      <c r="T308" s="70">
        <v>0</v>
      </c>
      <c r="U308" s="70">
        <v>0</v>
      </c>
      <c r="V308" s="36">
        <v>0</v>
      </c>
      <c r="W308" s="70">
        <v>0</v>
      </c>
      <c r="X308" s="70">
        <v>0</v>
      </c>
      <c r="Y308" s="36">
        <v>0</v>
      </c>
      <c r="Z308" s="36">
        <v>0</v>
      </c>
      <c r="AA308" s="36">
        <v>0</v>
      </c>
      <c r="AB308" s="36">
        <v>36366.21</v>
      </c>
      <c r="AC308" s="36">
        <v>93611.17</v>
      </c>
      <c r="AD308" s="36">
        <v>9.57</v>
      </c>
      <c r="AE308" s="36">
        <v>82302.039999999994</v>
      </c>
      <c r="AF308" s="71">
        <f t="shared" si="76"/>
        <v>8600.0041797283175</v>
      </c>
      <c r="AG308" s="71">
        <f t="shared" si="77"/>
        <v>9781.7314524555895</v>
      </c>
      <c r="AH308" s="72">
        <f t="shared" si="78"/>
        <v>1181.73</v>
      </c>
      <c r="AI308" s="36">
        <v>4.05</v>
      </c>
      <c r="AJ308" s="36">
        <v>33790.67</v>
      </c>
      <c r="AK308" s="71">
        <f t="shared" si="79"/>
        <v>8343.3753086419747</v>
      </c>
      <c r="AL308" s="71">
        <f t="shared" si="80"/>
        <v>8979.311111111112</v>
      </c>
      <c r="AM308" s="72">
        <f t="shared" si="81"/>
        <v>635.94000000000005</v>
      </c>
      <c r="AN308" s="70">
        <v>0</v>
      </c>
      <c r="AO308" s="70">
        <v>0</v>
      </c>
      <c r="AP308" s="3">
        <v>0</v>
      </c>
    </row>
    <row r="309" spans="1:42" s="3" customFormat="1" ht="15">
      <c r="A309" s="59" t="s">
        <v>670</v>
      </c>
      <c r="B309" s="59" t="s">
        <v>266</v>
      </c>
      <c r="C309" s="59" t="str">
        <f t="shared" si="84"/>
        <v>36140 WALLA WALLA SCHOOL DISTRICT</v>
      </c>
      <c r="D309" s="36">
        <v>0</v>
      </c>
      <c r="E309" s="36">
        <v>192003.41</v>
      </c>
      <c r="F309" s="36">
        <v>0</v>
      </c>
      <c r="G309" s="36">
        <v>7669402.0599999996</v>
      </c>
      <c r="H309" s="36">
        <v>1728407.12</v>
      </c>
      <c r="I309" s="36">
        <v>840265.58</v>
      </c>
      <c r="J309" s="36">
        <v>2072076.88</v>
      </c>
      <c r="K309" s="36">
        <v>1339761.42</v>
      </c>
      <c r="L309" s="36">
        <v>167774.74</v>
      </c>
      <c r="M309" s="36">
        <v>1998988.29</v>
      </c>
      <c r="N309" s="50">
        <v>6.7400000000000002E-2</v>
      </c>
      <c r="O309" s="53">
        <v>0.20680000000000001</v>
      </c>
      <c r="P309" s="36">
        <v>0</v>
      </c>
      <c r="Q309" s="69">
        <v>0</v>
      </c>
      <c r="R309" s="69">
        <v>0</v>
      </c>
      <c r="S309" s="70">
        <v>162168.32000000001</v>
      </c>
      <c r="T309" s="70">
        <v>0</v>
      </c>
      <c r="U309" s="70">
        <v>5759.52</v>
      </c>
      <c r="V309" s="36">
        <v>0</v>
      </c>
      <c r="W309" s="70">
        <v>0</v>
      </c>
      <c r="X309" s="70">
        <v>0</v>
      </c>
      <c r="Y309" s="36">
        <v>1964.56</v>
      </c>
      <c r="Z309" s="36">
        <v>44039.32</v>
      </c>
      <c r="AA309" s="36">
        <v>248220.15</v>
      </c>
      <c r="AB309" s="36">
        <v>540840.81000000006</v>
      </c>
      <c r="AC309" s="36">
        <v>2646086.85</v>
      </c>
      <c r="AD309" s="36">
        <v>278.12</v>
      </c>
      <c r="AE309" s="36">
        <v>2437250.42</v>
      </c>
      <c r="AF309" s="71">
        <f t="shared" si="76"/>
        <v>8763.3051200920454</v>
      </c>
      <c r="AG309" s="71">
        <f t="shared" si="77"/>
        <v>9514.1911764705892</v>
      </c>
      <c r="AH309" s="72">
        <f t="shared" si="78"/>
        <v>750.89</v>
      </c>
      <c r="AI309" s="36">
        <v>59</v>
      </c>
      <c r="AJ309" s="36">
        <v>501976.49</v>
      </c>
      <c r="AK309" s="71">
        <f t="shared" si="79"/>
        <v>8508.0761016949145</v>
      </c>
      <c r="AL309" s="71">
        <f t="shared" si="80"/>
        <v>9166.7933898305091</v>
      </c>
      <c r="AM309" s="72">
        <f t="shared" si="81"/>
        <v>658.72</v>
      </c>
      <c r="AN309" s="70">
        <v>0</v>
      </c>
      <c r="AO309" s="70">
        <v>0</v>
      </c>
      <c r="AP309" s="3">
        <v>0</v>
      </c>
    </row>
    <row r="310" spans="1:42" s="3" customFormat="1" ht="15">
      <c r="A310" s="59" t="s">
        <v>707</v>
      </c>
      <c r="B310" s="59" t="s">
        <v>304</v>
      </c>
      <c r="C310" s="59" t="str">
        <f t="shared" si="84"/>
        <v>39207 WAPATO SCHOOL DISTRICT</v>
      </c>
      <c r="D310" s="36">
        <v>0</v>
      </c>
      <c r="E310" s="36">
        <v>0</v>
      </c>
      <c r="F310" s="36">
        <v>46538.55</v>
      </c>
      <c r="G310" s="36">
        <v>4124027.27</v>
      </c>
      <c r="H310" s="36">
        <v>714154.65</v>
      </c>
      <c r="I310" s="36">
        <v>939835.47</v>
      </c>
      <c r="J310" s="36">
        <v>1866429.45</v>
      </c>
      <c r="K310" s="36">
        <v>1668426.18</v>
      </c>
      <c r="L310" s="36">
        <v>93828.37</v>
      </c>
      <c r="M310" s="36">
        <v>1635991.88</v>
      </c>
      <c r="N310" s="50">
        <v>5.6599999999999998E-2</v>
      </c>
      <c r="O310" s="53">
        <v>0.20430000000000001</v>
      </c>
      <c r="P310" s="36">
        <v>0</v>
      </c>
      <c r="Q310" s="69">
        <v>0</v>
      </c>
      <c r="R310" s="69">
        <v>0</v>
      </c>
      <c r="S310" s="70">
        <v>0</v>
      </c>
      <c r="T310" s="70">
        <v>0</v>
      </c>
      <c r="U310" s="70">
        <v>0</v>
      </c>
      <c r="V310" s="36">
        <v>0</v>
      </c>
      <c r="W310" s="70">
        <v>0</v>
      </c>
      <c r="X310" s="70">
        <v>0</v>
      </c>
      <c r="Y310" s="36">
        <v>0</v>
      </c>
      <c r="Z310" s="36">
        <v>50359.42</v>
      </c>
      <c r="AA310" s="36">
        <v>122351.22</v>
      </c>
      <c r="AB310" s="36">
        <v>640454.85</v>
      </c>
      <c r="AC310" s="36">
        <v>2217050.6800000002</v>
      </c>
      <c r="AD310" s="36">
        <v>242.03</v>
      </c>
      <c r="AE310" s="36">
        <v>2079131.18</v>
      </c>
      <c r="AF310" s="71">
        <f t="shared" si="76"/>
        <v>8590.3862331115979</v>
      </c>
      <c r="AG310" s="71">
        <f t="shared" si="77"/>
        <v>9160.2308804693639</v>
      </c>
      <c r="AH310" s="72">
        <f t="shared" si="78"/>
        <v>569.84</v>
      </c>
      <c r="AI310" s="36">
        <v>71.349999999999994</v>
      </c>
      <c r="AJ310" s="36">
        <v>594731.37</v>
      </c>
      <c r="AK310" s="71">
        <f t="shared" si="79"/>
        <v>8335.4081289418373</v>
      </c>
      <c r="AL310" s="71">
        <f t="shared" si="80"/>
        <v>8976.2417659425373</v>
      </c>
      <c r="AM310" s="72">
        <f t="shared" si="81"/>
        <v>640.83000000000004</v>
      </c>
      <c r="AN310" s="70">
        <v>942.17</v>
      </c>
      <c r="AO310" s="70">
        <v>0</v>
      </c>
      <c r="AP310" s="3">
        <v>0</v>
      </c>
    </row>
    <row r="311" spans="1:42" s="3" customFormat="1" ht="15">
      <c r="A311" s="59" t="s">
        <v>480</v>
      </c>
      <c r="B311" s="59" t="s">
        <v>72</v>
      </c>
      <c r="C311" s="59" t="str">
        <f t="shared" si="84"/>
        <v>13146 WARDEN SCHOOL DISTRICT</v>
      </c>
      <c r="D311" s="36">
        <v>0</v>
      </c>
      <c r="E311" s="36">
        <v>12563.24</v>
      </c>
      <c r="F311" s="36">
        <v>9591.41</v>
      </c>
      <c r="G311" s="36">
        <v>1195919.18</v>
      </c>
      <c r="H311" s="36">
        <v>321908.15999999997</v>
      </c>
      <c r="I311" s="36">
        <v>267416.02</v>
      </c>
      <c r="J311" s="36">
        <v>480107.48</v>
      </c>
      <c r="K311" s="36">
        <v>395460.74</v>
      </c>
      <c r="L311" s="36">
        <v>25655.39</v>
      </c>
      <c r="M311" s="36">
        <v>411542.28</v>
      </c>
      <c r="N311" s="50">
        <v>4.2200000000000001E-2</v>
      </c>
      <c r="O311" s="53">
        <v>0.17780000000000001</v>
      </c>
      <c r="P311" s="36">
        <v>0</v>
      </c>
      <c r="Q311" s="69">
        <v>0</v>
      </c>
      <c r="R311" s="69">
        <v>0</v>
      </c>
      <c r="S311" s="70">
        <v>0</v>
      </c>
      <c r="T311" s="70">
        <v>0</v>
      </c>
      <c r="U311" s="70">
        <v>0</v>
      </c>
      <c r="V311" s="36">
        <v>0</v>
      </c>
      <c r="W311" s="70">
        <v>0</v>
      </c>
      <c r="X311" s="70">
        <v>0</v>
      </c>
      <c r="Y311" s="36">
        <v>1025.1400000000001</v>
      </c>
      <c r="Z311" s="36">
        <v>2792.33</v>
      </c>
      <c r="AA311" s="36">
        <v>46988.61</v>
      </c>
      <c r="AB311" s="36">
        <v>91342.54</v>
      </c>
      <c r="AC311" s="36">
        <v>557055.43999999994</v>
      </c>
      <c r="AD311" s="36">
        <v>60.59</v>
      </c>
      <c r="AE311" s="36">
        <v>520590.68</v>
      </c>
      <c r="AF311" s="71">
        <f t="shared" si="76"/>
        <v>8592.0231061231225</v>
      </c>
      <c r="AG311" s="71">
        <f t="shared" si="77"/>
        <v>9193.851130549594</v>
      </c>
      <c r="AH311" s="72">
        <f t="shared" si="78"/>
        <v>601.83000000000004</v>
      </c>
      <c r="AI311" s="36">
        <v>10.17</v>
      </c>
      <c r="AJ311" s="36">
        <v>84831.66</v>
      </c>
      <c r="AK311" s="71">
        <f t="shared" si="79"/>
        <v>8341.3628318584069</v>
      </c>
      <c r="AL311" s="71">
        <f t="shared" si="80"/>
        <v>8981.5673549655839</v>
      </c>
      <c r="AM311" s="72">
        <f t="shared" si="81"/>
        <v>640.20000000000005</v>
      </c>
      <c r="AN311" s="70">
        <v>1552.9</v>
      </c>
      <c r="AO311" s="70">
        <v>0</v>
      </c>
      <c r="AP311" s="3">
        <v>0</v>
      </c>
    </row>
    <row r="312" spans="1:42" s="3" customFormat="1" ht="15">
      <c r="A312" s="59" t="s">
        <v>449</v>
      </c>
      <c r="B312" s="59" t="s">
        <v>41</v>
      </c>
      <c r="C312" s="59" t="str">
        <f t="shared" si="84"/>
        <v>06112 WASHOUGAL SCHOOL DISTRICT</v>
      </c>
      <c r="D312" s="36">
        <v>0</v>
      </c>
      <c r="E312" s="36">
        <v>0</v>
      </c>
      <c r="F312" s="36">
        <v>0</v>
      </c>
      <c r="G312" s="36">
        <v>4850991.1399999997</v>
      </c>
      <c r="H312" s="36">
        <v>822586.11</v>
      </c>
      <c r="I312" s="36">
        <v>0</v>
      </c>
      <c r="J312" s="36">
        <v>687393.18</v>
      </c>
      <c r="K312" s="36">
        <v>198750.72</v>
      </c>
      <c r="L312" s="36">
        <v>87884.4</v>
      </c>
      <c r="M312" s="36">
        <v>2419473.7200000002</v>
      </c>
      <c r="N312" s="50">
        <v>4.4400000000000002E-2</v>
      </c>
      <c r="O312" s="53">
        <v>0.1605</v>
      </c>
      <c r="P312" s="36">
        <v>0</v>
      </c>
      <c r="Q312" s="69">
        <v>0</v>
      </c>
      <c r="R312" s="69">
        <v>0</v>
      </c>
      <c r="S312" s="70">
        <v>0</v>
      </c>
      <c r="T312" s="70">
        <v>0</v>
      </c>
      <c r="U312" s="70">
        <v>0</v>
      </c>
      <c r="V312" s="36">
        <v>0</v>
      </c>
      <c r="W312" s="70">
        <v>0</v>
      </c>
      <c r="X312" s="70">
        <v>0</v>
      </c>
      <c r="Y312" s="36">
        <v>3278.41</v>
      </c>
      <c r="Z312" s="36">
        <v>36300.31</v>
      </c>
      <c r="AA312" s="36">
        <v>168617.08</v>
      </c>
      <c r="AB312" s="36">
        <v>372201.86</v>
      </c>
      <c r="AC312" s="36">
        <v>2049461.44</v>
      </c>
      <c r="AD312" s="36">
        <v>217.96</v>
      </c>
      <c r="AE312" s="36">
        <v>1950620.39</v>
      </c>
      <c r="AF312" s="71">
        <f t="shared" si="76"/>
        <v>8949.4420535878144</v>
      </c>
      <c r="AG312" s="71">
        <f t="shared" si="77"/>
        <v>9402.9245733162043</v>
      </c>
      <c r="AH312" s="72">
        <f t="shared" si="78"/>
        <v>453.48</v>
      </c>
      <c r="AI312" s="36">
        <v>39.78</v>
      </c>
      <c r="AJ312" s="36">
        <v>345775.91</v>
      </c>
      <c r="AK312" s="71">
        <f t="shared" si="79"/>
        <v>8692.2048768225231</v>
      </c>
      <c r="AL312" s="71">
        <f t="shared" si="80"/>
        <v>9356.5072900955256</v>
      </c>
      <c r="AM312" s="72">
        <f t="shared" si="81"/>
        <v>664.3</v>
      </c>
      <c r="AN312" s="70">
        <v>0</v>
      </c>
      <c r="AO312" s="70">
        <v>1930.85</v>
      </c>
      <c r="AP312" s="3">
        <v>0</v>
      </c>
    </row>
    <row r="313" spans="1:42" s="3" customFormat="1" ht="15">
      <c r="A313" s="59" t="s">
        <v>420</v>
      </c>
      <c r="B313" s="59" t="s">
        <v>12</v>
      </c>
      <c r="C313" s="59" t="str">
        <f t="shared" si="84"/>
        <v>01109 WASHTUCNA SCHOOL DISTRICT</v>
      </c>
      <c r="D313" s="36">
        <v>0</v>
      </c>
      <c r="E313" s="36">
        <v>758.45</v>
      </c>
      <c r="F313" s="36">
        <v>345.55</v>
      </c>
      <c r="G313" s="36">
        <v>98946.28</v>
      </c>
      <c r="H313" s="36">
        <v>7762.29</v>
      </c>
      <c r="I313" s="36">
        <v>24413.99</v>
      </c>
      <c r="J313" s="36">
        <v>39517.57</v>
      </c>
      <c r="K313" s="36">
        <v>0</v>
      </c>
      <c r="L313" s="36">
        <v>1862.08</v>
      </c>
      <c r="M313" s="36">
        <v>154633.74</v>
      </c>
      <c r="N313" s="50">
        <v>3.0200000000000001E-2</v>
      </c>
      <c r="O313" s="53">
        <v>0.2913</v>
      </c>
      <c r="P313" s="36">
        <v>0</v>
      </c>
      <c r="Q313" s="69">
        <v>0</v>
      </c>
      <c r="R313" s="69">
        <v>0</v>
      </c>
      <c r="S313" s="70">
        <v>0</v>
      </c>
      <c r="T313" s="70">
        <v>0</v>
      </c>
      <c r="U313" s="70">
        <v>0</v>
      </c>
      <c r="V313" s="36">
        <v>0</v>
      </c>
      <c r="W313" s="70">
        <v>0</v>
      </c>
      <c r="X313" s="70">
        <v>0</v>
      </c>
      <c r="Y313" s="36">
        <v>0</v>
      </c>
      <c r="Z313" s="36">
        <v>2581.4899999999998</v>
      </c>
      <c r="AA313" s="36">
        <v>0</v>
      </c>
      <c r="AB313" s="36">
        <v>10992.68</v>
      </c>
      <c r="AC313" s="36">
        <v>21291.88</v>
      </c>
      <c r="AD313" s="36">
        <v>2.37</v>
      </c>
      <c r="AE313" s="36">
        <v>20192.419999999998</v>
      </c>
      <c r="AF313" s="71">
        <f t="shared" si="76"/>
        <v>8520.0084388185642</v>
      </c>
      <c r="AG313" s="71">
        <f t="shared" si="77"/>
        <v>8983.9156118143455</v>
      </c>
      <c r="AH313" s="72">
        <f t="shared" si="78"/>
        <v>463.91</v>
      </c>
      <c r="AI313" s="36">
        <v>1.23</v>
      </c>
      <c r="AJ313" s="36">
        <v>10241.76</v>
      </c>
      <c r="AK313" s="71">
        <f t="shared" si="79"/>
        <v>8326.6341463414628</v>
      </c>
      <c r="AL313" s="71">
        <f t="shared" si="80"/>
        <v>8937.1382113821146</v>
      </c>
      <c r="AM313" s="72">
        <f t="shared" si="81"/>
        <v>610.5</v>
      </c>
      <c r="AN313" s="70">
        <v>5.7</v>
      </c>
      <c r="AO313" s="70">
        <v>0</v>
      </c>
      <c r="AP313" s="3">
        <v>0</v>
      </c>
    </row>
    <row r="314" spans="1:42" s="3" customFormat="1" ht="15">
      <c r="A314" s="59" t="s">
        <v>467</v>
      </c>
      <c r="B314" s="59" t="s">
        <v>59</v>
      </c>
      <c r="C314" s="59" t="str">
        <f t="shared" si="84"/>
        <v>09209 WATERVILLE SCHOOL DISTRICT</v>
      </c>
      <c r="D314" s="36">
        <v>0</v>
      </c>
      <c r="E314" s="36">
        <v>3132.45</v>
      </c>
      <c r="F314" s="36">
        <v>0</v>
      </c>
      <c r="G314" s="36">
        <v>0</v>
      </c>
      <c r="H314" s="36">
        <v>0</v>
      </c>
      <c r="I314" s="36">
        <v>36310.65</v>
      </c>
      <c r="J314" s="36">
        <v>82242.070000000007</v>
      </c>
      <c r="K314" s="36">
        <v>25985.1</v>
      </c>
      <c r="L314" s="36">
        <v>7758.69</v>
      </c>
      <c r="M314" s="36">
        <v>208128.61</v>
      </c>
      <c r="N314" s="50">
        <v>6.0299999999999999E-2</v>
      </c>
      <c r="O314" s="53">
        <v>0.24679999999999999</v>
      </c>
      <c r="P314" s="36">
        <v>0</v>
      </c>
      <c r="Q314" s="69">
        <v>0</v>
      </c>
      <c r="R314" s="69">
        <v>0</v>
      </c>
      <c r="S314" s="70">
        <v>0</v>
      </c>
      <c r="T314" s="70">
        <v>0</v>
      </c>
      <c r="U314" s="70">
        <v>0</v>
      </c>
      <c r="V314" s="36">
        <v>0</v>
      </c>
      <c r="W314" s="70">
        <v>0</v>
      </c>
      <c r="X314" s="70">
        <v>0</v>
      </c>
      <c r="Y314" s="36">
        <v>299.99</v>
      </c>
      <c r="Z314" s="36">
        <v>0</v>
      </c>
      <c r="AA314" s="36">
        <v>0</v>
      </c>
      <c r="AB314" s="36">
        <v>8555.7000000000007</v>
      </c>
      <c r="AC314" s="36">
        <v>135696.31</v>
      </c>
      <c r="AD314" s="36">
        <v>14.98</v>
      </c>
      <c r="AE314" s="36">
        <v>128749.91</v>
      </c>
      <c r="AF314" s="71">
        <f t="shared" si="76"/>
        <v>8594.7870493991995</v>
      </c>
      <c r="AG314" s="71">
        <f t="shared" si="77"/>
        <v>9058.4986648865142</v>
      </c>
      <c r="AH314" s="72">
        <f t="shared" si="78"/>
        <v>463.71</v>
      </c>
      <c r="AI314" s="36">
        <v>0.96</v>
      </c>
      <c r="AJ314" s="36">
        <v>7947.79</v>
      </c>
      <c r="AK314" s="71">
        <f t="shared" si="79"/>
        <v>8278.9479166666661</v>
      </c>
      <c r="AL314" s="71">
        <f t="shared" si="80"/>
        <v>8912.1875000000018</v>
      </c>
      <c r="AM314" s="72">
        <f t="shared" si="81"/>
        <v>633.24</v>
      </c>
      <c r="AN314" s="70">
        <v>0</v>
      </c>
      <c r="AO314" s="70">
        <v>0</v>
      </c>
      <c r="AP314" s="3">
        <v>0</v>
      </c>
    </row>
    <row r="315" spans="1:42" s="3" customFormat="1" ht="15">
      <c r="A315" s="59" t="s">
        <v>652</v>
      </c>
      <c r="B315" s="59" t="s">
        <v>246</v>
      </c>
      <c r="C315" s="59" t="str">
        <f t="shared" si="84"/>
        <v>33049 WELLPINIT SCHOOL DISTRICT</v>
      </c>
      <c r="D315" s="36">
        <v>0</v>
      </c>
      <c r="E315" s="36">
        <v>0</v>
      </c>
      <c r="F315" s="36">
        <v>0</v>
      </c>
      <c r="G315" s="36">
        <v>533942.64</v>
      </c>
      <c r="H315" s="36">
        <v>63145.7</v>
      </c>
      <c r="I315" s="36">
        <v>108000.91</v>
      </c>
      <c r="J315" s="36">
        <v>230898.49</v>
      </c>
      <c r="K315" s="36">
        <v>0</v>
      </c>
      <c r="L315" s="36">
        <v>0</v>
      </c>
      <c r="M315" s="36">
        <v>349337.65</v>
      </c>
      <c r="N315" s="50">
        <v>5.2600000000000001E-2</v>
      </c>
      <c r="O315" s="53">
        <v>0.32590000000000002</v>
      </c>
      <c r="P315" s="36">
        <v>0</v>
      </c>
      <c r="Q315" s="69">
        <v>0</v>
      </c>
      <c r="R315" s="69">
        <v>0</v>
      </c>
      <c r="S315" s="70">
        <v>0</v>
      </c>
      <c r="T315" s="70">
        <v>0</v>
      </c>
      <c r="U315" s="70">
        <v>0</v>
      </c>
      <c r="V315" s="36">
        <v>0</v>
      </c>
      <c r="W315" s="70">
        <v>0</v>
      </c>
      <c r="X315" s="70">
        <v>0</v>
      </c>
      <c r="Y315" s="36">
        <v>0</v>
      </c>
      <c r="Z315" s="36">
        <v>0</v>
      </c>
      <c r="AA315" s="36">
        <v>0</v>
      </c>
      <c r="AB315" s="36">
        <v>0</v>
      </c>
      <c r="AC315" s="36">
        <v>85478.64</v>
      </c>
      <c r="AD315" s="36">
        <v>9.4</v>
      </c>
      <c r="AE315" s="36">
        <v>80553.11</v>
      </c>
      <c r="AF315" s="71">
        <f t="shared" si="76"/>
        <v>8569.4797872340423</v>
      </c>
      <c r="AG315" s="71">
        <f t="shared" si="77"/>
        <v>9093.472340425531</v>
      </c>
      <c r="AH315" s="72">
        <f t="shared" si="78"/>
        <v>523.99</v>
      </c>
      <c r="AI315" s="36">
        <v>0</v>
      </c>
      <c r="AJ315" s="36">
        <v>0</v>
      </c>
      <c r="AK315" s="71">
        <f t="shared" si="79"/>
        <v>0</v>
      </c>
      <c r="AL315" s="71">
        <f t="shared" si="80"/>
        <v>0</v>
      </c>
      <c r="AM315" s="72">
        <f t="shared" si="81"/>
        <v>0</v>
      </c>
      <c r="AN315" s="70">
        <v>0</v>
      </c>
      <c r="AO315" s="70">
        <v>0</v>
      </c>
      <c r="AP315" s="3">
        <v>0</v>
      </c>
    </row>
    <row r="316" spans="1:42" s="3" customFormat="1" ht="15">
      <c r="A316" s="59" t="s">
        <v>439</v>
      </c>
      <c r="B316" s="59" t="s">
        <v>31</v>
      </c>
      <c r="C316" s="59" t="str">
        <f t="shared" si="84"/>
        <v>04246 WENATCHEE SCHOOL DISTRICT</v>
      </c>
      <c r="D316" s="36">
        <v>0</v>
      </c>
      <c r="E316" s="36">
        <v>257640.83</v>
      </c>
      <c r="F316" s="36">
        <v>77265.89</v>
      </c>
      <c r="G316" s="36">
        <v>10977334.58</v>
      </c>
      <c r="H316" s="36">
        <v>1591626.57</v>
      </c>
      <c r="I316" s="36">
        <v>1735444.59</v>
      </c>
      <c r="J316" s="36">
        <v>2889788.67</v>
      </c>
      <c r="K316" s="36">
        <v>2625017.5099999998</v>
      </c>
      <c r="L316" s="36">
        <v>220314.94</v>
      </c>
      <c r="M316" s="36">
        <v>2365787.92</v>
      </c>
      <c r="N316" s="50">
        <v>3.5299999999999998E-2</v>
      </c>
      <c r="O316" s="53">
        <v>0.1208</v>
      </c>
      <c r="P316" s="36">
        <v>0</v>
      </c>
      <c r="Q316" s="69">
        <v>0</v>
      </c>
      <c r="R316" s="69">
        <v>0</v>
      </c>
      <c r="S316" s="70">
        <v>164742.44</v>
      </c>
      <c r="T316" s="70">
        <v>0</v>
      </c>
      <c r="U316" s="70">
        <v>5778.51</v>
      </c>
      <c r="V316" s="36">
        <v>0</v>
      </c>
      <c r="W316" s="70">
        <v>0</v>
      </c>
      <c r="X316" s="70">
        <v>0</v>
      </c>
      <c r="Y316" s="36">
        <v>8010.5</v>
      </c>
      <c r="Z316" s="36">
        <v>59174.03</v>
      </c>
      <c r="AA316" s="36">
        <v>203142.05</v>
      </c>
      <c r="AB316" s="36">
        <v>2317782.4</v>
      </c>
      <c r="AC316" s="36">
        <v>5795721.29</v>
      </c>
      <c r="AD316" s="36">
        <v>615.95000000000005</v>
      </c>
      <c r="AE316" s="36">
        <v>5401628.6699999999</v>
      </c>
      <c r="AF316" s="71">
        <f t="shared" si="76"/>
        <v>8769.5895283708087</v>
      </c>
      <c r="AG316" s="71">
        <f t="shared" si="77"/>
        <v>9409.402207971425</v>
      </c>
      <c r="AH316" s="72">
        <f t="shared" si="78"/>
        <v>639.80999999999995</v>
      </c>
      <c r="AI316" s="36">
        <v>252.8</v>
      </c>
      <c r="AJ316" s="36">
        <v>2152283.7799999998</v>
      </c>
      <c r="AK316" s="71">
        <f t="shared" si="79"/>
        <v>8513.7807753164543</v>
      </c>
      <c r="AL316" s="71">
        <f t="shared" si="80"/>
        <v>9168.4430379746827</v>
      </c>
      <c r="AM316" s="72">
        <f t="shared" si="81"/>
        <v>654.66</v>
      </c>
      <c r="AN316" s="70">
        <v>6750.44</v>
      </c>
      <c r="AO316" s="70">
        <v>0</v>
      </c>
      <c r="AP316" s="3">
        <v>0</v>
      </c>
    </row>
    <row r="317" spans="1:42" s="3" customFormat="1" ht="15">
      <c r="A317" s="59" t="s">
        <v>776</v>
      </c>
      <c r="B317" s="59" t="s">
        <v>241</v>
      </c>
      <c r="C317" s="59" t="str">
        <f t="shared" si="84"/>
        <v>32363 WEST VALLEY (SPOKANE) SCHOOL DISTRICT</v>
      </c>
      <c r="D317" s="36">
        <v>0</v>
      </c>
      <c r="E317" s="36">
        <v>0</v>
      </c>
      <c r="F317" s="36">
        <v>0</v>
      </c>
      <c r="G317" s="36">
        <v>4609994.24</v>
      </c>
      <c r="H317" s="36">
        <v>729961.96</v>
      </c>
      <c r="I317" s="36">
        <v>552832.21</v>
      </c>
      <c r="J317" s="36">
        <v>1177354.71</v>
      </c>
      <c r="K317" s="36">
        <v>164335.45000000001</v>
      </c>
      <c r="L317" s="36">
        <v>101276.71</v>
      </c>
      <c r="M317" s="36">
        <v>1882915.32</v>
      </c>
      <c r="N317" s="50">
        <v>5.7299999999999997E-2</v>
      </c>
      <c r="O317" s="53">
        <v>0.18</v>
      </c>
      <c r="P317" s="36">
        <v>0</v>
      </c>
      <c r="Q317" s="69">
        <v>0</v>
      </c>
      <c r="R317" s="69">
        <v>0</v>
      </c>
      <c r="S317" s="70">
        <v>0</v>
      </c>
      <c r="T317" s="70">
        <v>0</v>
      </c>
      <c r="U317" s="70">
        <v>0</v>
      </c>
      <c r="V317" s="36">
        <v>0</v>
      </c>
      <c r="W317" s="70">
        <v>0</v>
      </c>
      <c r="X317" s="70">
        <v>0</v>
      </c>
      <c r="Y317" s="36">
        <v>3950.56</v>
      </c>
      <c r="Z317" s="36">
        <v>71525.929999999993</v>
      </c>
      <c r="AA317" s="36">
        <v>0</v>
      </c>
      <c r="AB317" s="36">
        <v>683241.35</v>
      </c>
      <c r="AC317" s="36">
        <v>1642472.36</v>
      </c>
      <c r="AD317" s="36">
        <v>178.55</v>
      </c>
      <c r="AE317" s="36">
        <v>1533543.85</v>
      </c>
      <c r="AF317" s="71">
        <f t="shared" si="76"/>
        <v>8588.876225147018</v>
      </c>
      <c r="AG317" s="71">
        <f t="shared" si="77"/>
        <v>9198.9490898907861</v>
      </c>
      <c r="AH317" s="72">
        <f t="shared" si="78"/>
        <v>610.07000000000005</v>
      </c>
      <c r="AI317" s="36">
        <v>76.12</v>
      </c>
      <c r="AJ317" s="36">
        <v>634549.14</v>
      </c>
      <c r="AK317" s="71">
        <f t="shared" si="79"/>
        <v>8336.1684182869158</v>
      </c>
      <c r="AL317" s="71">
        <f t="shared" si="80"/>
        <v>8975.8453757225434</v>
      </c>
      <c r="AM317" s="72">
        <f t="shared" si="81"/>
        <v>639.67999999999995</v>
      </c>
      <c r="AN317" s="70">
        <v>0</v>
      </c>
      <c r="AO317" s="70">
        <v>0</v>
      </c>
      <c r="AP317" s="3">
        <v>0</v>
      </c>
    </row>
    <row r="318" spans="1:42" s="3" customFormat="1" ht="15">
      <c r="A318" s="59" t="s">
        <v>777</v>
      </c>
      <c r="B318" s="59" t="s">
        <v>305</v>
      </c>
      <c r="C318" s="59" t="str">
        <f t="shared" si="84"/>
        <v>39208 WEST VALLEY (YAKIMA) SCHOOL DISTRICT</v>
      </c>
      <c r="D318" s="36">
        <v>0</v>
      </c>
      <c r="E318" s="36">
        <v>37733.22</v>
      </c>
      <c r="F318" s="36">
        <v>29973.52</v>
      </c>
      <c r="G318" s="36">
        <v>7508111.6299999999</v>
      </c>
      <c r="H318" s="36">
        <v>1519595.65</v>
      </c>
      <c r="I318" s="36">
        <v>478109.94</v>
      </c>
      <c r="J318" s="36">
        <v>1647106.28</v>
      </c>
      <c r="K318" s="36">
        <v>769263.36</v>
      </c>
      <c r="L318" s="36">
        <v>163935.53</v>
      </c>
      <c r="M318" s="36">
        <v>2844510.1</v>
      </c>
      <c r="N318" s="50">
        <v>6.2600000000000003E-2</v>
      </c>
      <c r="O318" s="53">
        <v>0.18360000000000001</v>
      </c>
      <c r="P318" s="36">
        <v>0</v>
      </c>
      <c r="Q318" s="69">
        <v>0</v>
      </c>
      <c r="R318" s="69">
        <v>0</v>
      </c>
      <c r="S318" s="70">
        <v>0</v>
      </c>
      <c r="T318" s="70">
        <v>0</v>
      </c>
      <c r="U318" s="70">
        <v>0</v>
      </c>
      <c r="V318" s="36">
        <v>0</v>
      </c>
      <c r="W318" s="70">
        <v>0</v>
      </c>
      <c r="X318" s="70">
        <v>0</v>
      </c>
      <c r="Y318" s="36">
        <v>5775.28</v>
      </c>
      <c r="Z318" s="36">
        <v>1156.1199999999999</v>
      </c>
      <c r="AA318" s="36">
        <v>5268.12</v>
      </c>
      <c r="AB318" s="36">
        <v>2639516.2000000002</v>
      </c>
      <c r="AC318" s="36">
        <v>3081729.47</v>
      </c>
      <c r="AD318" s="36">
        <v>327.14999999999998</v>
      </c>
      <c r="AE318" s="36">
        <v>2868987.6</v>
      </c>
      <c r="AF318" s="71">
        <f t="shared" si="76"/>
        <v>8769.6396148555723</v>
      </c>
      <c r="AG318" s="71">
        <f t="shared" si="77"/>
        <v>9419.9280758062068</v>
      </c>
      <c r="AH318" s="72">
        <f t="shared" si="78"/>
        <v>650.29</v>
      </c>
      <c r="AI318" s="36">
        <v>287.93</v>
      </c>
      <c r="AJ318" s="36">
        <v>2451405.7200000002</v>
      </c>
      <c r="AK318" s="71">
        <f t="shared" si="79"/>
        <v>8513.8947660889808</v>
      </c>
      <c r="AL318" s="71">
        <f t="shared" si="80"/>
        <v>9167.2149480776588</v>
      </c>
      <c r="AM318" s="72">
        <f t="shared" si="81"/>
        <v>653.32000000000005</v>
      </c>
      <c r="AN318" s="70">
        <v>1411.53</v>
      </c>
      <c r="AO318" s="70">
        <v>0</v>
      </c>
      <c r="AP318" s="3">
        <v>0</v>
      </c>
    </row>
    <row r="319" spans="1:42" s="3" customFormat="1" ht="15">
      <c r="A319" s="59" t="s">
        <v>811</v>
      </c>
      <c r="B319" s="64" t="s">
        <v>810</v>
      </c>
      <c r="C319" s="60" t="str">
        <f>CONCATENATE(B319," ",A319," CHARTER")</f>
        <v>37902 WHATCOM INTERGENERATIONAL CHARTER</v>
      </c>
      <c r="D319" s="36">
        <v>0</v>
      </c>
      <c r="E319" s="36">
        <v>0</v>
      </c>
      <c r="F319" s="36">
        <v>0</v>
      </c>
      <c r="G319" s="36">
        <v>92881.57</v>
      </c>
      <c r="H319" s="36">
        <v>14649.89</v>
      </c>
      <c r="I319" s="36">
        <v>16186.25</v>
      </c>
      <c r="J319" s="36">
        <v>21321.19</v>
      </c>
      <c r="K319" s="36">
        <v>0</v>
      </c>
      <c r="L319" s="36">
        <v>0</v>
      </c>
      <c r="M319" s="36">
        <v>0</v>
      </c>
      <c r="N319" s="50">
        <v>0.08</v>
      </c>
      <c r="O319" s="53">
        <v>0.1</v>
      </c>
      <c r="P319" s="36">
        <v>0</v>
      </c>
      <c r="Q319" s="69">
        <v>0</v>
      </c>
      <c r="R319" s="69">
        <v>0</v>
      </c>
      <c r="S319" s="70">
        <v>0</v>
      </c>
      <c r="T319" s="70">
        <v>0</v>
      </c>
      <c r="U319" s="70">
        <v>0</v>
      </c>
      <c r="V319" s="36">
        <v>0</v>
      </c>
      <c r="W319" s="70">
        <v>0</v>
      </c>
      <c r="X319" s="70">
        <v>0</v>
      </c>
      <c r="Y319" s="36">
        <v>0</v>
      </c>
      <c r="Z319" s="36">
        <v>0</v>
      </c>
      <c r="AA319" s="36">
        <v>0</v>
      </c>
      <c r="AB319" s="36">
        <v>0</v>
      </c>
      <c r="AC319" s="36">
        <v>20563.48</v>
      </c>
      <c r="AD319" s="36">
        <v>0</v>
      </c>
      <c r="AE319" s="36">
        <v>0</v>
      </c>
      <c r="AF319" s="71">
        <f t="shared" si="76"/>
        <v>0</v>
      </c>
      <c r="AG319" s="71">
        <f t="shared" si="77"/>
        <v>0</v>
      </c>
      <c r="AH319" s="72">
        <f t="shared" si="78"/>
        <v>0</v>
      </c>
      <c r="AI319" s="36">
        <v>0</v>
      </c>
      <c r="AJ319" s="36">
        <v>0</v>
      </c>
      <c r="AK319" s="71">
        <f t="shared" si="79"/>
        <v>0</v>
      </c>
      <c r="AL319" s="71">
        <f t="shared" si="80"/>
        <v>0</v>
      </c>
      <c r="AM319" s="72">
        <f t="shared" si="81"/>
        <v>0</v>
      </c>
      <c r="AN319" s="70">
        <v>0</v>
      </c>
      <c r="AO319" s="70">
        <v>0</v>
      </c>
      <c r="AP319" s="3">
        <v>0</v>
      </c>
    </row>
    <row r="320" spans="1:42" s="3" customFormat="1" ht="15">
      <c r="A320" s="59" t="s">
        <v>560</v>
      </c>
      <c r="B320" s="59" t="s">
        <v>152</v>
      </c>
      <c r="C320" s="59" t="str">
        <f>CONCATENATE(B320," ",A320," SCHOOL DISTRICT")</f>
        <v>21303 WHITE PASS SCHOOL DISTRICT</v>
      </c>
      <c r="D320" s="36">
        <v>0</v>
      </c>
      <c r="E320" s="36">
        <v>11706.93</v>
      </c>
      <c r="F320" s="36">
        <v>8155.93</v>
      </c>
      <c r="G320" s="36">
        <v>539368.74</v>
      </c>
      <c r="H320" s="36">
        <v>115426.18</v>
      </c>
      <c r="I320" s="36">
        <v>97345.64</v>
      </c>
      <c r="J320" s="36">
        <v>147828.82</v>
      </c>
      <c r="K320" s="36">
        <v>0</v>
      </c>
      <c r="L320" s="36">
        <v>10551.82</v>
      </c>
      <c r="M320" s="36">
        <v>407233.56</v>
      </c>
      <c r="N320" s="50">
        <v>3.8300000000000001E-2</v>
      </c>
      <c r="O320" s="53">
        <v>0.2102</v>
      </c>
      <c r="P320" s="36">
        <v>0</v>
      </c>
      <c r="Q320" s="69">
        <v>0</v>
      </c>
      <c r="R320" s="69">
        <v>0</v>
      </c>
      <c r="S320" s="70">
        <v>0</v>
      </c>
      <c r="T320" s="70">
        <v>0</v>
      </c>
      <c r="U320" s="70">
        <v>0</v>
      </c>
      <c r="V320" s="36">
        <v>0</v>
      </c>
      <c r="W320" s="70">
        <v>0</v>
      </c>
      <c r="X320" s="70">
        <v>0</v>
      </c>
      <c r="Y320" s="36">
        <v>419.53</v>
      </c>
      <c r="Z320" s="36">
        <v>0</v>
      </c>
      <c r="AA320" s="36">
        <v>4638.5600000000004</v>
      </c>
      <c r="AB320" s="36">
        <v>62079.09</v>
      </c>
      <c r="AC320" s="36">
        <v>191801.57</v>
      </c>
      <c r="AD320" s="36">
        <v>19.260000000000002</v>
      </c>
      <c r="AE320" s="36">
        <v>165337.66</v>
      </c>
      <c r="AF320" s="71">
        <f t="shared" si="76"/>
        <v>8584.5098650051914</v>
      </c>
      <c r="AG320" s="71">
        <f t="shared" si="77"/>
        <v>9958.5446521287631</v>
      </c>
      <c r="AH320" s="72">
        <f t="shared" si="78"/>
        <v>1374.03</v>
      </c>
      <c r="AI320" s="36">
        <v>6.91</v>
      </c>
      <c r="AJ320" s="36">
        <v>57645.65</v>
      </c>
      <c r="AK320" s="71">
        <f t="shared" si="79"/>
        <v>8342.3516642547038</v>
      </c>
      <c r="AL320" s="71">
        <f t="shared" si="80"/>
        <v>8983.9493487698983</v>
      </c>
      <c r="AM320" s="72">
        <f t="shared" si="81"/>
        <v>641.6</v>
      </c>
      <c r="AN320" s="70">
        <v>0</v>
      </c>
      <c r="AO320" s="70">
        <v>0</v>
      </c>
      <c r="AP320" s="3">
        <v>0</v>
      </c>
    </row>
    <row r="321" spans="1:45" s="3" customFormat="1" ht="15">
      <c r="A321" s="59" t="s">
        <v>606</v>
      </c>
      <c r="B321" s="59" t="s">
        <v>199</v>
      </c>
      <c r="C321" s="59" t="str">
        <f>CONCATENATE(B321," ",A321," SCHOOL DISTRICT")</f>
        <v>27416 WHITE RIVER SCHOOL DISTRICT</v>
      </c>
      <c r="D321" s="36">
        <v>0</v>
      </c>
      <c r="E321" s="36">
        <v>0</v>
      </c>
      <c r="F321" s="36">
        <v>0</v>
      </c>
      <c r="G321" s="36">
        <v>6165098.2599999998</v>
      </c>
      <c r="H321" s="36">
        <v>1213060.57</v>
      </c>
      <c r="I321" s="36">
        <v>0</v>
      </c>
      <c r="J321" s="36">
        <v>842361.58</v>
      </c>
      <c r="K321" s="36">
        <v>290966.78000000003</v>
      </c>
      <c r="L321" s="36">
        <v>131989.96</v>
      </c>
      <c r="M321" s="36">
        <v>3213749.48</v>
      </c>
      <c r="N321" s="50">
        <v>3.7199999999999997E-2</v>
      </c>
      <c r="O321" s="53">
        <v>0.15820000000000001</v>
      </c>
      <c r="P321" s="36">
        <v>0</v>
      </c>
      <c r="Q321" s="69">
        <v>0</v>
      </c>
      <c r="R321" s="69">
        <v>0</v>
      </c>
      <c r="S321" s="70">
        <v>0</v>
      </c>
      <c r="T321" s="70">
        <v>0</v>
      </c>
      <c r="U321" s="70">
        <v>0</v>
      </c>
      <c r="V321" s="36">
        <v>223594.32</v>
      </c>
      <c r="W321" s="70">
        <v>22009.856</v>
      </c>
      <c r="X321" s="70">
        <v>9057.98</v>
      </c>
      <c r="Y321" s="36">
        <v>2892.71</v>
      </c>
      <c r="Z321" s="36">
        <v>29967.51</v>
      </c>
      <c r="AA321" s="36">
        <v>247957.22</v>
      </c>
      <c r="AB321" s="36">
        <v>329529.06</v>
      </c>
      <c r="AC321" s="36">
        <v>2738785.51</v>
      </c>
      <c r="AD321" s="36">
        <v>283.2</v>
      </c>
      <c r="AE321" s="36">
        <v>2534241.3199999998</v>
      </c>
      <c r="AF321" s="71">
        <f t="shared" si="76"/>
        <v>8948.5922316384185</v>
      </c>
      <c r="AG321" s="71">
        <f t="shared" si="77"/>
        <v>9670.852789548022</v>
      </c>
      <c r="AH321" s="72">
        <f t="shared" si="78"/>
        <v>722.26</v>
      </c>
      <c r="AI321" s="36">
        <v>35.21</v>
      </c>
      <c r="AJ321" s="36">
        <v>305983.52</v>
      </c>
      <c r="AK321" s="71">
        <f t="shared" si="79"/>
        <v>8690.2448168134051</v>
      </c>
      <c r="AL321" s="71">
        <f t="shared" si="80"/>
        <v>9358.9622266401584</v>
      </c>
      <c r="AM321" s="72">
        <f t="shared" si="81"/>
        <v>668.72</v>
      </c>
      <c r="AN321" s="70">
        <v>0</v>
      </c>
      <c r="AO321" s="70">
        <v>0</v>
      </c>
      <c r="AP321" s="3">
        <v>0</v>
      </c>
    </row>
    <row r="322" spans="1:45" s="3" customFormat="1" ht="15">
      <c r="A322" s="59" t="s">
        <v>547</v>
      </c>
      <c r="B322" s="59" t="s">
        <v>139</v>
      </c>
      <c r="C322" s="59" t="str">
        <f>CONCATENATE(B322," ",A322," SCHOOL DISTRICT")</f>
        <v>20405 WHITE SALMON SCHOOL DISTRICT</v>
      </c>
      <c r="D322" s="36">
        <v>0</v>
      </c>
      <c r="E322" s="36">
        <v>15359.37</v>
      </c>
      <c r="F322" s="36">
        <v>0</v>
      </c>
      <c r="G322" s="36">
        <v>0</v>
      </c>
      <c r="H322" s="36">
        <v>0</v>
      </c>
      <c r="I322" s="36">
        <v>0</v>
      </c>
      <c r="J322" s="36">
        <v>314692.31</v>
      </c>
      <c r="K322" s="36">
        <v>285125.57</v>
      </c>
      <c r="L322" s="36">
        <v>32793.39</v>
      </c>
      <c r="M322" s="36">
        <v>1359266.18</v>
      </c>
      <c r="N322" s="50">
        <v>5.8999999999999997E-2</v>
      </c>
      <c r="O322" s="53">
        <v>0.16950000000000001</v>
      </c>
      <c r="P322" s="36">
        <v>0</v>
      </c>
      <c r="Q322" s="69">
        <v>0</v>
      </c>
      <c r="R322" s="69">
        <v>0</v>
      </c>
      <c r="S322" s="70">
        <v>0</v>
      </c>
      <c r="T322" s="70">
        <v>0</v>
      </c>
      <c r="U322" s="70">
        <v>0</v>
      </c>
      <c r="V322" s="36">
        <v>0</v>
      </c>
      <c r="W322" s="70">
        <v>0</v>
      </c>
      <c r="X322" s="70">
        <v>0</v>
      </c>
      <c r="Y322" s="36">
        <v>1269.8599999999999</v>
      </c>
      <c r="Z322" s="36">
        <v>0</v>
      </c>
      <c r="AA322" s="36">
        <v>0</v>
      </c>
      <c r="AB322" s="36">
        <v>0</v>
      </c>
      <c r="AC322" s="36">
        <v>559804.06000000006</v>
      </c>
      <c r="AD322" s="36">
        <v>61.64</v>
      </c>
      <c r="AE322" s="36">
        <v>529554.79</v>
      </c>
      <c r="AF322" s="71">
        <f t="shared" si="76"/>
        <v>8591.0900389357557</v>
      </c>
      <c r="AG322" s="71">
        <f t="shared" si="77"/>
        <v>9081.8309539260226</v>
      </c>
      <c r="AH322" s="72">
        <f t="shared" si="78"/>
        <v>490.74</v>
      </c>
      <c r="AI322" s="36">
        <v>0</v>
      </c>
      <c r="AJ322" s="36">
        <v>0</v>
      </c>
      <c r="AK322" s="71">
        <f t="shared" si="79"/>
        <v>0</v>
      </c>
      <c r="AL322" s="71">
        <f t="shared" si="80"/>
        <v>0</v>
      </c>
      <c r="AM322" s="72">
        <f t="shared" si="81"/>
        <v>0</v>
      </c>
      <c r="AN322" s="70">
        <v>0</v>
      </c>
      <c r="AO322" s="70">
        <v>0</v>
      </c>
      <c r="AP322" s="3">
        <v>0</v>
      </c>
    </row>
    <row r="323" spans="1:45" s="3" customFormat="1" ht="15">
      <c r="A323" s="59" t="s">
        <v>813</v>
      </c>
      <c r="B323" s="60" t="s">
        <v>812</v>
      </c>
      <c r="C323" s="60" t="str">
        <f>CONCATENATE(B323," ",A323," CHARTER")</f>
        <v>17917 WHY NOT YOU CHARTER</v>
      </c>
      <c r="D323" s="36">
        <v>0</v>
      </c>
      <c r="E323" s="36">
        <v>0</v>
      </c>
      <c r="F323" s="36">
        <v>0</v>
      </c>
      <c r="G323" s="36">
        <v>188877.13</v>
      </c>
      <c r="H323" s="36">
        <v>43342.6</v>
      </c>
      <c r="I323" s="36">
        <v>35104.18</v>
      </c>
      <c r="J323" s="36">
        <v>52476.57</v>
      </c>
      <c r="K323" s="36">
        <v>46787.72</v>
      </c>
      <c r="L323" s="36">
        <v>4912.1899999999996</v>
      </c>
      <c r="M323" s="36">
        <v>43123.57</v>
      </c>
      <c r="N323" s="50">
        <v>0.08</v>
      </c>
      <c r="O323" s="53">
        <v>0.1</v>
      </c>
      <c r="P323" s="36">
        <v>0</v>
      </c>
      <c r="Q323" s="69">
        <v>0</v>
      </c>
      <c r="R323" s="69">
        <v>0</v>
      </c>
      <c r="S323" s="70">
        <v>0</v>
      </c>
      <c r="T323" s="70">
        <v>0</v>
      </c>
      <c r="U323" s="70">
        <v>0</v>
      </c>
      <c r="V323" s="36">
        <v>0</v>
      </c>
      <c r="W323" s="70">
        <v>0</v>
      </c>
      <c r="X323" s="70">
        <v>0</v>
      </c>
      <c r="Y323" s="36">
        <v>0</v>
      </c>
      <c r="Z323" s="36">
        <v>0</v>
      </c>
      <c r="AA323" s="36">
        <v>0</v>
      </c>
      <c r="AB323" s="36">
        <v>0</v>
      </c>
      <c r="AC323" s="36">
        <v>0</v>
      </c>
      <c r="AD323" s="36">
        <v>0</v>
      </c>
      <c r="AE323" s="36">
        <v>0</v>
      </c>
      <c r="AF323" s="71">
        <f t="shared" si="76"/>
        <v>0</v>
      </c>
      <c r="AG323" s="71">
        <f t="shared" si="77"/>
        <v>0</v>
      </c>
      <c r="AH323" s="72">
        <f t="shared" si="78"/>
        <v>0</v>
      </c>
      <c r="AI323" s="36">
        <v>0</v>
      </c>
      <c r="AJ323" s="36">
        <v>0</v>
      </c>
      <c r="AK323" s="71">
        <f t="shared" si="79"/>
        <v>0</v>
      </c>
      <c r="AL323" s="71">
        <f t="shared" si="80"/>
        <v>0</v>
      </c>
      <c r="AM323" s="72">
        <f t="shared" si="81"/>
        <v>0</v>
      </c>
      <c r="AN323" s="70">
        <v>0</v>
      </c>
      <c r="AO323" s="70">
        <v>0</v>
      </c>
      <c r="AP323" s="3">
        <v>0</v>
      </c>
    </row>
    <row r="324" spans="1:45" s="3" customFormat="1" ht="15">
      <c r="A324" s="59" t="s">
        <v>567</v>
      </c>
      <c r="B324" s="59" t="s">
        <v>159</v>
      </c>
      <c r="C324" s="59" t="str">
        <f t="shared" ref="C324:C334" si="85">CONCATENATE(B324," ",A324," SCHOOL DISTRICT")</f>
        <v>22200 WILBUR SCHOOL DISTRICT</v>
      </c>
      <c r="D324" s="36">
        <v>0</v>
      </c>
      <c r="E324" s="36">
        <v>6153.81</v>
      </c>
      <c r="F324" s="36">
        <v>0</v>
      </c>
      <c r="G324" s="36">
        <v>276097.83</v>
      </c>
      <c r="H324" s="36">
        <v>53603.03</v>
      </c>
      <c r="I324" s="36">
        <v>0</v>
      </c>
      <c r="J324" s="36">
        <v>49034.89</v>
      </c>
      <c r="K324" s="36">
        <v>0</v>
      </c>
      <c r="L324" s="36">
        <v>6517.29</v>
      </c>
      <c r="M324" s="36">
        <v>0</v>
      </c>
      <c r="N324" s="50">
        <v>3.9399999999999998E-2</v>
      </c>
      <c r="O324" s="53">
        <v>0.28320000000000001</v>
      </c>
      <c r="P324" s="36">
        <v>0</v>
      </c>
      <c r="Q324" s="69">
        <v>0</v>
      </c>
      <c r="R324" s="69">
        <v>0</v>
      </c>
      <c r="S324" s="70">
        <v>0</v>
      </c>
      <c r="T324" s="70">
        <v>0</v>
      </c>
      <c r="U324" s="70">
        <v>0</v>
      </c>
      <c r="V324" s="36">
        <v>0</v>
      </c>
      <c r="W324" s="70">
        <v>0</v>
      </c>
      <c r="X324" s="70">
        <v>0</v>
      </c>
      <c r="Y324" s="36">
        <v>0</v>
      </c>
      <c r="Z324" s="36">
        <v>0</v>
      </c>
      <c r="AA324" s="36">
        <v>5471.69</v>
      </c>
      <c r="AB324" s="36">
        <v>25618.9</v>
      </c>
      <c r="AC324" s="36">
        <v>126092.53</v>
      </c>
      <c r="AD324" s="36">
        <v>13.77</v>
      </c>
      <c r="AE324" s="36">
        <v>118179.7</v>
      </c>
      <c r="AF324" s="71">
        <f t="shared" si="76"/>
        <v>8582.4037763253455</v>
      </c>
      <c r="AG324" s="71">
        <f t="shared" si="77"/>
        <v>9157.0464778503992</v>
      </c>
      <c r="AH324" s="72">
        <f t="shared" si="78"/>
        <v>574.64</v>
      </c>
      <c r="AI324" s="36">
        <v>2.85</v>
      </c>
      <c r="AJ324" s="36">
        <v>23654.91</v>
      </c>
      <c r="AK324" s="71">
        <f t="shared" si="79"/>
        <v>8299.968421052632</v>
      </c>
      <c r="AL324" s="71">
        <f t="shared" si="80"/>
        <v>8989.0877192982462</v>
      </c>
      <c r="AM324" s="72">
        <f t="shared" si="81"/>
        <v>689.12</v>
      </c>
      <c r="AN324" s="70">
        <v>0</v>
      </c>
      <c r="AO324" s="70">
        <v>0</v>
      </c>
      <c r="AP324" s="3">
        <v>0</v>
      </c>
    </row>
    <row r="325" spans="1:45" s="3" customFormat="1" ht="15">
      <c r="A325" s="59" t="s">
        <v>588</v>
      </c>
      <c r="B325" s="59" t="s">
        <v>181</v>
      </c>
      <c r="C325" s="59" t="str">
        <f t="shared" si="85"/>
        <v>25160 WILLAPA VALLEY SCHOOL DISTRICT</v>
      </c>
      <c r="D325" s="36">
        <v>0</v>
      </c>
      <c r="E325" s="36">
        <v>0</v>
      </c>
      <c r="F325" s="36">
        <v>0</v>
      </c>
      <c r="G325" s="36">
        <v>442769.57</v>
      </c>
      <c r="H325" s="36">
        <v>82639.3</v>
      </c>
      <c r="I325" s="36">
        <v>0</v>
      </c>
      <c r="J325" s="36">
        <v>91242.15</v>
      </c>
      <c r="K325" s="36">
        <v>10759.46</v>
      </c>
      <c r="L325" s="36">
        <v>10241.459999999999</v>
      </c>
      <c r="M325" s="36">
        <v>502272.03</v>
      </c>
      <c r="N325" s="50">
        <v>2.69E-2</v>
      </c>
      <c r="O325" s="53">
        <v>0.19059999999999999</v>
      </c>
      <c r="P325" s="36">
        <v>0</v>
      </c>
      <c r="Q325" s="69">
        <v>0</v>
      </c>
      <c r="R325" s="69">
        <v>0</v>
      </c>
      <c r="S325" s="70">
        <v>0</v>
      </c>
      <c r="T325" s="70">
        <v>0</v>
      </c>
      <c r="U325" s="70">
        <v>0</v>
      </c>
      <c r="V325" s="36">
        <v>0</v>
      </c>
      <c r="W325" s="70">
        <v>0</v>
      </c>
      <c r="X325" s="70">
        <v>0</v>
      </c>
      <c r="Y325" s="36">
        <v>0</v>
      </c>
      <c r="Z325" s="36">
        <v>0</v>
      </c>
      <c r="AA325" s="36">
        <v>3499.2</v>
      </c>
      <c r="AB325" s="36">
        <v>32761.41</v>
      </c>
      <c r="AC325" s="36">
        <v>165218.62</v>
      </c>
      <c r="AD325" s="36">
        <v>18.12</v>
      </c>
      <c r="AE325" s="36">
        <v>155647.74</v>
      </c>
      <c r="AF325" s="71">
        <f t="shared" si="76"/>
        <v>8589.8311258278136</v>
      </c>
      <c r="AG325" s="71">
        <f t="shared" si="77"/>
        <v>9118.0253863134658</v>
      </c>
      <c r="AH325" s="72">
        <f t="shared" si="78"/>
        <v>528.19000000000005</v>
      </c>
      <c r="AI325" s="36">
        <v>3.64</v>
      </c>
      <c r="AJ325" s="36">
        <v>30217.74</v>
      </c>
      <c r="AK325" s="71">
        <f t="shared" si="79"/>
        <v>8301.5769230769238</v>
      </c>
      <c r="AL325" s="71">
        <f t="shared" si="80"/>
        <v>9000.3873626373625</v>
      </c>
      <c r="AM325" s="72">
        <f t="shared" si="81"/>
        <v>698.81</v>
      </c>
      <c r="AN325" s="70">
        <v>0</v>
      </c>
      <c r="AO325" s="70">
        <v>0</v>
      </c>
      <c r="AP325" s="3">
        <v>0</v>
      </c>
    </row>
    <row r="326" spans="1:45" s="3" customFormat="1" ht="15">
      <c r="A326" s="59" t="s">
        <v>486</v>
      </c>
      <c r="B326" s="59" t="s">
        <v>78</v>
      </c>
      <c r="C326" s="59" t="str">
        <f t="shared" si="85"/>
        <v>13167 WILSON CREEK SCHOOL DISTRICT</v>
      </c>
      <c r="D326" s="36">
        <v>0</v>
      </c>
      <c r="E326" s="36">
        <v>0</v>
      </c>
      <c r="F326" s="36">
        <v>2397.31</v>
      </c>
      <c r="G326" s="36">
        <v>159672.95000000001</v>
      </c>
      <c r="H326" s="36">
        <v>18924.43</v>
      </c>
      <c r="I326" s="36">
        <v>35760.54</v>
      </c>
      <c r="J326" s="36">
        <v>41542.18</v>
      </c>
      <c r="K326" s="36">
        <v>0</v>
      </c>
      <c r="L326" s="36">
        <v>0</v>
      </c>
      <c r="M326" s="36">
        <v>223965.12</v>
      </c>
      <c r="N326" s="50">
        <v>8.5000000000000006E-2</v>
      </c>
      <c r="O326" s="53">
        <v>0.3548</v>
      </c>
      <c r="P326" s="36">
        <v>0</v>
      </c>
      <c r="Q326" s="69">
        <v>0</v>
      </c>
      <c r="R326" s="69">
        <v>0</v>
      </c>
      <c r="S326" s="70">
        <v>0</v>
      </c>
      <c r="T326" s="70">
        <v>0</v>
      </c>
      <c r="U326" s="70">
        <v>0</v>
      </c>
      <c r="V326" s="36">
        <v>0</v>
      </c>
      <c r="W326" s="70">
        <v>0</v>
      </c>
      <c r="X326" s="70">
        <v>0</v>
      </c>
      <c r="Y326" s="36">
        <v>140.97</v>
      </c>
      <c r="Z326" s="36">
        <v>0</v>
      </c>
      <c r="AA326" s="36">
        <v>0</v>
      </c>
      <c r="AB326" s="36">
        <v>42389.37</v>
      </c>
      <c r="AC326" s="36">
        <v>68736.86</v>
      </c>
      <c r="AD326" s="36">
        <v>7.37</v>
      </c>
      <c r="AE326" s="36">
        <v>64659.59</v>
      </c>
      <c r="AF326" s="71">
        <f t="shared" si="76"/>
        <v>8773.3500678426044</v>
      </c>
      <c r="AG326" s="71">
        <f t="shared" si="77"/>
        <v>9326.5753052917225</v>
      </c>
      <c r="AH326" s="72">
        <f t="shared" si="78"/>
        <v>553.23</v>
      </c>
      <c r="AI326" s="36">
        <v>4.6100000000000003</v>
      </c>
      <c r="AJ326" s="36">
        <v>39154.35</v>
      </c>
      <c r="AK326" s="71">
        <f t="shared" si="79"/>
        <v>8493.3514099783079</v>
      </c>
      <c r="AL326" s="71">
        <f t="shared" si="80"/>
        <v>9195.0911062906725</v>
      </c>
      <c r="AM326" s="72">
        <f t="shared" si="81"/>
        <v>701.74</v>
      </c>
      <c r="AN326" s="70">
        <v>302.39999999999998</v>
      </c>
      <c r="AO326" s="70">
        <v>0</v>
      </c>
      <c r="AP326" s="3">
        <v>0</v>
      </c>
    </row>
    <row r="327" spans="1:45" s="3" customFormat="1" ht="15">
      <c r="A327" s="59" t="s">
        <v>554</v>
      </c>
      <c r="B327" s="59" t="s">
        <v>146</v>
      </c>
      <c r="C327" s="59" t="str">
        <f t="shared" si="85"/>
        <v>21232 WINLOCK SCHOOL DISTRICT</v>
      </c>
      <c r="D327" s="36">
        <v>0</v>
      </c>
      <c r="E327" s="36">
        <v>0</v>
      </c>
      <c r="F327" s="36">
        <v>0</v>
      </c>
      <c r="G327" s="36">
        <v>1318138.48</v>
      </c>
      <c r="H327" s="36">
        <v>188602.63</v>
      </c>
      <c r="I327" s="36">
        <v>231801.08</v>
      </c>
      <c r="J327" s="36">
        <v>389190.29</v>
      </c>
      <c r="K327" s="36">
        <v>68705.710000000006</v>
      </c>
      <c r="L327" s="36">
        <v>24304.33</v>
      </c>
      <c r="M327" s="36">
        <v>423836.57</v>
      </c>
      <c r="N327" s="50">
        <v>5.5E-2</v>
      </c>
      <c r="O327" s="53">
        <v>0.22489999999999999</v>
      </c>
      <c r="P327" s="36">
        <v>0</v>
      </c>
      <c r="Q327" s="69">
        <v>0</v>
      </c>
      <c r="R327" s="69">
        <v>0</v>
      </c>
      <c r="S327" s="70">
        <v>0</v>
      </c>
      <c r="T327" s="70">
        <v>0</v>
      </c>
      <c r="U327" s="70">
        <v>0</v>
      </c>
      <c r="V327" s="36">
        <v>0</v>
      </c>
      <c r="W327" s="70">
        <v>0</v>
      </c>
      <c r="X327" s="70">
        <v>0</v>
      </c>
      <c r="Y327" s="36">
        <v>978.9</v>
      </c>
      <c r="Z327" s="36">
        <v>8945.8700000000008</v>
      </c>
      <c r="AA327" s="36">
        <v>42670.79</v>
      </c>
      <c r="AB327" s="36">
        <v>72734.31</v>
      </c>
      <c r="AC327" s="36">
        <v>410738.59</v>
      </c>
      <c r="AD327" s="36">
        <v>43.1</v>
      </c>
      <c r="AE327" s="36">
        <v>377762.84</v>
      </c>
      <c r="AF327" s="71">
        <f t="shared" ref="AF327:AF334" si="86">IFERROR(AE327/AD327,0)</f>
        <v>8764.7990719257541</v>
      </c>
      <c r="AG327" s="71">
        <f t="shared" ref="AG327:AG334" si="87">IFERROR(AC327/AD327,0)</f>
        <v>9529.8976798143849</v>
      </c>
      <c r="AH327" s="72">
        <f t="shared" ref="AH327:AH334" si="88">ROUND(AG327-AF327,2)</f>
        <v>765.1</v>
      </c>
      <c r="AI327" s="36">
        <v>7.94</v>
      </c>
      <c r="AJ327" s="36">
        <v>67551.86</v>
      </c>
      <c r="AK327" s="71">
        <f t="shared" ref="AK327:AK334" si="89">IFERROR(AJ327/AI327,0)</f>
        <v>8507.7909319899245</v>
      </c>
      <c r="AL327" s="71">
        <f t="shared" ref="AL327:AL334" si="90">IFERROR(AB327/AI327,0)</f>
        <v>9160.4924433249362</v>
      </c>
      <c r="AM327" s="72">
        <f t="shared" ref="AM327:AM334" si="91">ROUND(AL327-AK327,2)</f>
        <v>652.70000000000005</v>
      </c>
      <c r="AN327" s="70">
        <v>0</v>
      </c>
      <c r="AO327" s="70">
        <v>0</v>
      </c>
      <c r="AP327" s="3">
        <v>0</v>
      </c>
    </row>
    <row r="328" spans="1:45" s="3" customFormat="1" ht="15">
      <c r="A328" s="59" t="s">
        <v>498</v>
      </c>
      <c r="B328" s="59" t="s">
        <v>90</v>
      </c>
      <c r="C328" s="59" t="str">
        <f t="shared" si="85"/>
        <v>14117 WISHKAH VALLEY SCHOOL DISTRICT</v>
      </c>
      <c r="D328" s="36">
        <v>0</v>
      </c>
      <c r="E328" s="36">
        <v>0</v>
      </c>
      <c r="F328" s="36">
        <v>0</v>
      </c>
      <c r="G328" s="36">
        <v>191630.23</v>
      </c>
      <c r="H328" s="36">
        <v>20258.080000000002</v>
      </c>
      <c r="I328" s="36">
        <v>47379.7</v>
      </c>
      <c r="J328" s="36">
        <v>69931.62</v>
      </c>
      <c r="K328" s="36">
        <v>0</v>
      </c>
      <c r="L328" s="36">
        <v>0</v>
      </c>
      <c r="M328" s="36">
        <v>121525.87</v>
      </c>
      <c r="N328" s="50">
        <v>6.4199999999999993E-2</v>
      </c>
      <c r="O328" s="53">
        <v>0.31990000000000002</v>
      </c>
      <c r="P328" s="36">
        <v>0</v>
      </c>
      <c r="Q328" s="69">
        <v>0</v>
      </c>
      <c r="R328" s="69">
        <v>0</v>
      </c>
      <c r="S328" s="70">
        <v>0</v>
      </c>
      <c r="T328" s="70">
        <v>0</v>
      </c>
      <c r="U328" s="70">
        <v>0</v>
      </c>
      <c r="V328" s="36">
        <v>0</v>
      </c>
      <c r="W328" s="70">
        <v>0</v>
      </c>
      <c r="X328" s="70">
        <v>0</v>
      </c>
      <c r="Y328" s="36">
        <v>178.19</v>
      </c>
      <c r="Z328" s="36">
        <v>0</v>
      </c>
      <c r="AA328" s="36">
        <v>0</v>
      </c>
      <c r="AB328" s="36">
        <v>33990.89</v>
      </c>
      <c r="AC328" s="36">
        <v>93595.75</v>
      </c>
      <c r="AD328" s="36">
        <v>10.4</v>
      </c>
      <c r="AE328" s="36">
        <v>89372.72</v>
      </c>
      <c r="AF328" s="71">
        <f t="shared" si="86"/>
        <v>8593.5307692307688</v>
      </c>
      <c r="AG328" s="71">
        <f t="shared" si="87"/>
        <v>8999.5913461538457</v>
      </c>
      <c r="AH328" s="72">
        <f t="shared" si="88"/>
        <v>406.06</v>
      </c>
      <c r="AI328" s="36">
        <v>3.77</v>
      </c>
      <c r="AJ328" s="36">
        <v>31522.7</v>
      </c>
      <c r="AK328" s="71">
        <f t="shared" si="89"/>
        <v>8361.4588859416453</v>
      </c>
      <c r="AL328" s="71">
        <f t="shared" si="90"/>
        <v>9016.1511936339521</v>
      </c>
      <c r="AM328" s="72">
        <f t="shared" si="91"/>
        <v>654.69000000000005</v>
      </c>
      <c r="AN328" s="70">
        <v>4471.62</v>
      </c>
      <c r="AO328" s="70">
        <v>0</v>
      </c>
      <c r="AP328" s="3">
        <v>0</v>
      </c>
    </row>
    <row r="329" spans="1:45" s="3" customFormat="1" ht="15">
      <c r="A329" s="59" t="s">
        <v>539</v>
      </c>
      <c r="B329" s="59" t="s">
        <v>131</v>
      </c>
      <c r="C329" s="59" t="str">
        <f t="shared" si="85"/>
        <v>20094 WISHRAM SCHOOL DISTRICT</v>
      </c>
      <c r="D329" s="36">
        <v>0</v>
      </c>
      <c r="E329" s="36">
        <v>0</v>
      </c>
      <c r="F329" s="36">
        <v>0</v>
      </c>
      <c r="G329" s="36">
        <v>0</v>
      </c>
      <c r="H329" s="36">
        <v>0</v>
      </c>
      <c r="I329" s="36">
        <v>18207.05</v>
      </c>
      <c r="J329" s="36">
        <v>36310.65</v>
      </c>
      <c r="K329" s="36">
        <v>0</v>
      </c>
      <c r="L329" s="36">
        <v>0</v>
      </c>
      <c r="M329" s="36">
        <v>82802.149999999994</v>
      </c>
      <c r="N329" s="50">
        <v>3.1600000000000003E-2</v>
      </c>
      <c r="O329" s="53">
        <v>0.31140000000000001</v>
      </c>
      <c r="P329" s="36">
        <v>0</v>
      </c>
      <c r="Q329" s="69">
        <v>0</v>
      </c>
      <c r="R329" s="69">
        <v>0</v>
      </c>
      <c r="S329" s="70">
        <v>0</v>
      </c>
      <c r="T329" s="70">
        <v>0</v>
      </c>
      <c r="U329" s="70">
        <v>0</v>
      </c>
      <c r="V329" s="36">
        <v>0</v>
      </c>
      <c r="W329" s="70">
        <v>0</v>
      </c>
      <c r="X329" s="70">
        <v>0</v>
      </c>
      <c r="Y329" s="36">
        <v>75.56</v>
      </c>
      <c r="Z329" s="36">
        <v>0</v>
      </c>
      <c r="AA329" s="36">
        <v>0</v>
      </c>
      <c r="AB329" s="36">
        <v>0</v>
      </c>
      <c r="AC329" s="36">
        <v>38219.58</v>
      </c>
      <c r="AD329" s="36">
        <v>4.25</v>
      </c>
      <c r="AE329" s="36">
        <v>36475.949999999997</v>
      </c>
      <c r="AF329" s="71">
        <f t="shared" si="86"/>
        <v>8582.5764705882339</v>
      </c>
      <c r="AG329" s="71">
        <f t="shared" si="87"/>
        <v>8992.8423529411775</v>
      </c>
      <c r="AH329" s="72">
        <f t="shared" si="88"/>
        <v>410.27</v>
      </c>
      <c r="AI329" s="36">
        <v>0</v>
      </c>
      <c r="AJ329" s="36">
        <v>0</v>
      </c>
      <c r="AK329" s="71">
        <f t="shared" si="89"/>
        <v>0</v>
      </c>
      <c r="AL329" s="71">
        <f t="shared" si="90"/>
        <v>0</v>
      </c>
      <c r="AM329" s="72">
        <f t="shared" si="91"/>
        <v>0</v>
      </c>
      <c r="AN329" s="70">
        <v>0</v>
      </c>
      <c r="AO329" s="70">
        <v>0</v>
      </c>
      <c r="AP329" s="3">
        <v>0</v>
      </c>
    </row>
    <row r="330" spans="1:45" s="3" customFormat="1" ht="15">
      <c r="A330" s="59" t="s">
        <v>460</v>
      </c>
      <c r="B330" s="59" t="s">
        <v>52</v>
      </c>
      <c r="C330" s="59" t="str">
        <f t="shared" si="85"/>
        <v>08404 WOODLAND SCHOOL DISTRICT</v>
      </c>
      <c r="D330" s="36">
        <v>0</v>
      </c>
      <c r="E330" s="36">
        <v>0</v>
      </c>
      <c r="F330" s="36">
        <v>0</v>
      </c>
      <c r="G330" s="36">
        <v>3836752.83</v>
      </c>
      <c r="H330" s="36">
        <v>620598.09</v>
      </c>
      <c r="I330" s="36">
        <v>151139.21</v>
      </c>
      <c r="J330" s="36">
        <v>630936.31999999995</v>
      </c>
      <c r="K330" s="36">
        <v>314866.33</v>
      </c>
      <c r="L330" s="36">
        <v>70862.66</v>
      </c>
      <c r="M330" s="36">
        <v>7146775.7199999997</v>
      </c>
      <c r="N330" s="50">
        <v>4.5100000000000001E-2</v>
      </c>
      <c r="O330" s="53">
        <v>0.1555</v>
      </c>
      <c r="P330" s="36">
        <v>0</v>
      </c>
      <c r="Q330" s="69">
        <v>0</v>
      </c>
      <c r="R330" s="69">
        <v>0</v>
      </c>
      <c r="S330" s="70">
        <v>0</v>
      </c>
      <c r="T330" s="70">
        <v>0</v>
      </c>
      <c r="U330" s="70">
        <v>0</v>
      </c>
      <c r="V330" s="36">
        <v>0</v>
      </c>
      <c r="W330" s="70">
        <v>0</v>
      </c>
      <c r="X330" s="70">
        <v>0</v>
      </c>
      <c r="Y330" s="36">
        <v>2755.13</v>
      </c>
      <c r="Z330" s="36">
        <v>0</v>
      </c>
      <c r="AA330" s="36">
        <v>0</v>
      </c>
      <c r="AB330" s="36">
        <v>50424.67</v>
      </c>
      <c r="AC330" s="36">
        <v>798627.35</v>
      </c>
      <c r="AD330" s="36">
        <v>88.36</v>
      </c>
      <c r="AE330" s="36">
        <v>759042.46</v>
      </c>
      <c r="AF330" s="71">
        <f t="shared" si="86"/>
        <v>8590.3401991851515</v>
      </c>
      <c r="AG330" s="71">
        <f t="shared" si="87"/>
        <v>9038.335785423269</v>
      </c>
      <c r="AH330" s="72">
        <f t="shared" si="88"/>
        <v>448</v>
      </c>
      <c r="AI330" s="36">
        <v>5.61</v>
      </c>
      <c r="AJ330" s="36">
        <v>46827.77</v>
      </c>
      <c r="AK330" s="71">
        <f t="shared" si="89"/>
        <v>8347.1960784313724</v>
      </c>
      <c r="AL330" s="71">
        <f t="shared" si="90"/>
        <v>8988.3547237076637</v>
      </c>
      <c r="AM330" s="72">
        <f t="shared" si="91"/>
        <v>641.16</v>
      </c>
      <c r="AN330" s="70">
        <v>0</v>
      </c>
      <c r="AO330" s="70">
        <v>0</v>
      </c>
      <c r="AP330" s="3">
        <v>0</v>
      </c>
    </row>
    <row r="331" spans="1:45" s="3" customFormat="1" ht="15">
      <c r="A331" s="59" t="s">
        <v>763</v>
      </c>
      <c r="B331" s="59" t="s">
        <v>764</v>
      </c>
      <c r="C331" s="59" t="str">
        <f t="shared" si="85"/>
        <v>39901 YAKAMA SCHOOL DISTRICT</v>
      </c>
      <c r="D331" s="36">
        <v>14031.08</v>
      </c>
      <c r="E331" s="36">
        <v>0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v>0</v>
      </c>
      <c r="L331" s="36">
        <v>0</v>
      </c>
      <c r="M331" s="36">
        <v>0</v>
      </c>
      <c r="N331" s="50">
        <v>0.08</v>
      </c>
      <c r="O331" s="53">
        <v>0.1</v>
      </c>
      <c r="P331" s="36">
        <v>0</v>
      </c>
      <c r="Q331" s="69">
        <v>0</v>
      </c>
      <c r="R331" s="69">
        <v>0</v>
      </c>
      <c r="S331" s="70">
        <v>0</v>
      </c>
      <c r="T331" s="70">
        <v>0</v>
      </c>
      <c r="U331" s="70">
        <v>0</v>
      </c>
      <c r="V331" s="36">
        <v>0</v>
      </c>
      <c r="W331" s="70">
        <v>0</v>
      </c>
      <c r="X331" s="70">
        <v>0</v>
      </c>
      <c r="Y331" s="36">
        <v>0</v>
      </c>
      <c r="Z331" s="36">
        <v>0</v>
      </c>
      <c r="AA331" s="36">
        <v>0</v>
      </c>
      <c r="AB331" s="36">
        <v>0</v>
      </c>
      <c r="AC331" s="36">
        <v>0</v>
      </c>
      <c r="AD331" s="36">
        <v>0</v>
      </c>
      <c r="AE331" s="36">
        <v>0</v>
      </c>
      <c r="AF331" s="71">
        <f t="shared" si="86"/>
        <v>0</v>
      </c>
      <c r="AG331" s="71">
        <f t="shared" si="87"/>
        <v>0</v>
      </c>
      <c r="AH331" s="72">
        <f t="shared" si="88"/>
        <v>0</v>
      </c>
      <c r="AI331" s="36">
        <v>0</v>
      </c>
      <c r="AJ331" s="36">
        <v>0</v>
      </c>
      <c r="AK331" s="71">
        <f t="shared" si="89"/>
        <v>0</v>
      </c>
      <c r="AL331" s="71">
        <f t="shared" si="90"/>
        <v>0</v>
      </c>
      <c r="AM331" s="72">
        <f t="shared" si="91"/>
        <v>0</v>
      </c>
      <c r="AN331" s="70">
        <v>0</v>
      </c>
      <c r="AO331" s="70">
        <v>0</v>
      </c>
      <c r="AP331" s="3">
        <v>0</v>
      </c>
    </row>
    <row r="332" spans="1:45" s="3" customFormat="1" ht="15">
      <c r="A332" s="59" t="s">
        <v>698</v>
      </c>
      <c r="B332" s="59" t="s">
        <v>294</v>
      </c>
      <c r="C332" s="59" t="str">
        <f t="shared" si="85"/>
        <v>39007 YAKIMA SCHOOL DISTRICT</v>
      </c>
      <c r="D332" s="36">
        <v>0</v>
      </c>
      <c r="E332" s="36">
        <v>725697.76</v>
      </c>
      <c r="F332" s="36">
        <v>437947.62</v>
      </c>
      <c r="G332" s="36">
        <v>20942501.780000001</v>
      </c>
      <c r="H332" s="36">
        <v>5048628.16</v>
      </c>
      <c r="I332" s="36">
        <v>4571210.7300000004</v>
      </c>
      <c r="J332" s="36">
        <v>8764935.5399999991</v>
      </c>
      <c r="K332" s="36">
        <v>7217158.6799999997</v>
      </c>
      <c r="L332" s="36">
        <v>456003.8</v>
      </c>
      <c r="M332" s="36">
        <v>4331401.9400000004</v>
      </c>
      <c r="N332" s="50">
        <v>1.7500000000000002E-2</v>
      </c>
      <c r="O332" s="53">
        <v>0.14710000000000001</v>
      </c>
      <c r="P332" s="36">
        <v>0</v>
      </c>
      <c r="Q332" s="69">
        <v>0</v>
      </c>
      <c r="R332" s="69">
        <v>0</v>
      </c>
      <c r="S332" s="70">
        <v>430356.93</v>
      </c>
      <c r="T332" s="70">
        <v>0</v>
      </c>
      <c r="U332" s="70">
        <v>14665.14</v>
      </c>
      <c r="V332" s="36">
        <v>0</v>
      </c>
      <c r="W332" s="70">
        <v>0</v>
      </c>
      <c r="X332" s="70">
        <v>0</v>
      </c>
      <c r="Y332" s="36">
        <v>0</v>
      </c>
      <c r="Z332" s="36">
        <v>124859.8</v>
      </c>
      <c r="AA332" s="36">
        <v>11249.77</v>
      </c>
      <c r="AB332" s="36">
        <v>1931743.19</v>
      </c>
      <c r="AC332" s="36">
        <v>9061248.8300000001</v>
      </c>
      <c r="AD332" s="36">
        <v>992.31</v>
      </c>
      <c r="AE332" s="36">
        <v>8524129.7699999996</v>
      </c>
      <c r="AF332" s="71">
        <f t="shared" si="86"/>
        <v>8590.1883181667017</v>
      </c>
      <c r="AG332" s="71">
        <f t="shared" si="87"/>
        <v>9131.4698330158935</v>
      </c>
      <c r="AH332" s="72">
        <f t="shared" si="88"/>
        <v>541.28</v>
      </c>
      <c r="AI332" s="36">
        <v>215.18</v>
      </c>
      <c r="AJ332" s="36">
        <v>1793772.34</v>
      </c>
      <c r="AK332" s="71">
        <f t="shared" si="89"/>
        <v>8336.1480620875554</v>
      </c>
      <c r="AL332" s="71">
        <f t="shared" si="90"/>
        <v>8977.3361371874707</v>
      </c>
      <c r="AM332" s="72">
        <f t="shared" si="91"/>
        <v>641.19000000000005</v>
      </c>
      <c r="AN332" s="70">
        <v>0</v>
      </c>
      <c r="AO332" s="70">
        <v>0</v>
      </c>
      <c r="AP332" s="3">
        <v>0</v>
      </c>
    </row>
    <row r="333" spans="1:45" s="3" customFormat="1" ht="15">
      <c r="A333" s="59" t="s">
        <v>660</v>
      </c>
      <c r="B333" s="59" t="s">
        <v>256</v>
      </c>
      <c r="C333" s="59" t="str">
        <f t="shared" si="85"/>
        <v>34002 YELM SCHOOL DISTRICT</v>
      </c>
      <c r="D333" s="36">
        <v>0</v>
      </c>
      <c r="E333" s="36">
        <v>121521.01</v>
      </c>
      <c r="F333" s="36">
        <v>0</v>
      </c>
      <c r="G333" s="36">
        <v>8555419.1799999997</v>
      </c>
      <c r="H333" s="36">
        <v>1466614.22</v>
      </c>
      <c r="I333" s="36">
        <v>175346.3</v>
      </c>
      <c r="J333" s="36">
        <v>1647117.27</v>
      </c>
      <c r="K333" s="36">
        <v>283806.02</v>
      </c>
      <c r="L333" s="36">
        <v>165518.60999999999</v>
      </c>
      <c r="M333" s="36">
        <v>4619612.04</v>
      </c>
      <c r="N333" s="50">
        <v>4.5400000000000003E-2</v>
      </c>
      <c r="O333" s="53">
        <v>0.15340000000000001</v>
      </c>
      <c r="P333" s="36">
        <v>0</v>
      </c>
      <c r="Q333" s="69">
        <v>0</v>
      </c>
      <c r="R333" s="69">
        <v>0</v>
      </c>
      <c r="S333" s="70">
        <v>0</v>
      </c>
      <c r="T333" s="70">
        <v>0</v>
      </c>
      <c r="U333" s="70">
        <v>0</v>
      </c>
      <c r="V333" s="36">
        <v>0</v>
      </c>
      <c r="W333" s="70">
        <v>0</v>
      </c>
      <c r="X333" s="70">
        <v>0</v>
      </c>
      <c r="Y333" s="36">
        <v>1974.71</v>
      </c>
      <c r="Z333" s="36">
        <v>30226.05</v>
      </c>
      <c r="AA333" s="36">
        <v>301382.26</v>
      </c>
      <c r="AB333" s="36">
        <v>308475</v>
      </c>
      <c r="AC333" s="36">
        <v>3777926.58</v>
      </c>
      <c r="AD333" s="36">
        <v>413.9</v>
      </c>
      <c r="AE333" s="36">
        <v>3555514.9</v>
      </c>
      <c r="AF333" s="71">
        <f t="shared" si="86"/>
        <v>8590.2751872432964</v>
      </c>
      <c r="AG333" s="71">
        <f t="shared" si="87"/>
        <v>9127.6312635902395</v>
      </c>
      <c r="AH333" s="72">
        <f t="shared" si="88"/>
        <v>537.36</v>
      </c>
      <c r="AI333" s="36">
        <v>34.369999999999997</v>
      </c>
      <c r="AJ333" s="36">
        <v>286519.08</v>
      </c>
      <c r="AK333" s="71">
        <f t="shared" si="89"/>
        <v>8336.3130637183604</v>
      </c>
      <c r="AL333" s="71">
        <f t="shared" si="90"/>
        <v>8975.1236543497234</v>
      </c>
      <c r="AM333" s="72">
        <f t="shared" si="91"/>
        <v>638.80999999999995</v>
      </c>
      <c r="AN333" s="70">
        <v>1561.66</v>
      </c>
      <c r="AO333" s="70">
        <v>8499.8700000000008</v>
      </c>
      <c r="AP333" s="3">
        <v>0</v>
      </c>
    </row>
    <row r="334" spans="1:45" s="3" customFormat="1" ht="15">
      <c r="A334" s="59" t="s">
        <v>706</v>
      </c>
      <c r="B334" s="59" t="s">
        <v>303</v>
      </c>
      <c r="C334" s="59" t="str">
        <f t="shared" si="85"/>
        <v>39205 ZILLAH SCHOOL DISTRICT</v>
      </c>
      <c r="D334" s="36">
        <v>0</v>
      </c>
      <c r="E334" s="36">
        <v>0</v>
      </c>
      <c r="F334" s="36">
        <v>22767.35</v>
      </c>
      <c r="G334" s="36">
        <v>1495420.99</v>
      </c>
      <c r="H334" s="36">
        <v>204659.64</v>
      </c>
      <c r="I334" s="36">
        <v>383692.86</v>
      </c>
      <c r="J334" s="36">
        <v>483831.65</v>
      </c>
      <c r="K334" s="36">
        <v>260358.54</v>
      </c>
      <c r="L334" s="36">
        <v>38483.08</v>
      </c>
      <c r="M334" s="36">
        <v>588690.56000000006</v>
      </c>
      <c r="N334" s="50">
        <v>5.8700000000000002E-2</v>
      </c>
      <c r="O334" s="53">
        <v>0.23680000000000001</v>
      </c>
      <c r="P334" s="36">
        <v>0</v>
      </c>
      <c r="Q334" s="69">
        <v>0</v>
      </c>
      <c r="R334" s="69">
        <v>0</v>
      </c>
      <c r="S334" s="70">
        <v>0</v>
      </c>
      <c r="T334" s="70">
        <v>0</v>
      </c>
      <c r="U334" s="70">
        <v>0</v>
      </c>
      <c r="V334" s="36">
        <v>0</v>
      </c>
      <c r="W334" s="70">
        <v>0</v>
      </c>
      <c r="X334" s="70">
        <v>0</v>
      </c>
      <c r="Y334" s="36">
        <v>1466.09</v>
      </c>
      <c r="Z334" s="36">
        <v>0</v>
      </c>
      <c r="AA334" s="36">
        <v>39788.86</v>
      </c>
      <c r="AB334" s="36">
        <v>0</v>
      </c>
      <c r="AC334" s="36">
        <v>605034.93999999994</v>
      </c>
      <c r="AD334" s="36">
        <v>67</v>
      </c>
      <c r="AE334" s="36">
        <v>575549.66</v>
      </c>
      <c r="AF334" s="71">
        <f t="shared" si="86"/>
        <v>8590.2934328358206</v>
      </c>
      <c r="AG334" s="71">
        <f t="shared" si="87"/>
        <v>9030.3722388059687</v>
      </c>
      <c r="AH334" s="72">
        <f t="shared" si="88"/>
        <v>440.08</v>
      </c>
      <c r="AI334" s="36">
        <v>0</v>
      </c>
      <c r="AJ334" s="36">
        <v>0</v>
      </c>
      <c r="AK334" s="71">
        <f t="shared" si="89"/>
        <v>0</v>
      </c>
      <c r="AL334" s="71">
        <f t="shared" si="90"/>
        <v>0</v>
      </c>
      <c r="AM334" s="72">
        <f t="shared" si="91"/>
        <v>0</v>
      </c>
      <c r="AN334" s="70">
        <v>119.89</v>
      </c>
      <c r="AO334" s="70">
        <v>0</v>
      </c>
      <c r="AP334" s="3">
        <v>0</v>
      </c>
    </row>
    <row r="335" spans="1:45" s="3" customFormat="1">
      <c r="A335" s="3">
        <f>COUNTA(DISNAME)</f>
        <v>328</v>
      </c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P335" s="35"/>
      <c r="Q335" s="35"/>
      <c r="R335" s="35"/>
      <c r="S335" s="35"/>
      <c r="T335" s="35"/>
      <c r="U335" s="35"/>
      <c r="V335" s="35"/>
      <c r="W335" s="36"/>
      <c r="X335" s="36"/>
      <c r="Y335" s="35"/>
      <c r="Z335" s="35"/>
      <c r="AA335" s="35"/>
      <c r="AB335" s="35"/>
      <c r="AC335" s="35"/>
      <c r="AD335" s="35"/>
      <c r="AE335" s="37"/>
      <c r="AF335" s="37"/>
      <c r="AG335" s="37"/>
      <c r="AH335" s="35"/>
      <c r="AI335" s="35">
        <v>0</v>
      </c>
      <c r="AJ335" s="37">
        <v>0</v>
      </c>
      <c r="AK335" s="37"/>
      <c r="AL335" s="37"/>
      <c r="AM335" s="37"/>
      <c r="AN335" s="35"/>
      <c r="AO335" s="35"/>
    </row>
    <row r="336" spans="1:45" s="3" customFormat="1">
      <c r="D336" s="38"/>
      <c r="Z336" s="36"/>
      <c r="AP336"/>
      <c r="AQ336"/>
      <c r="AR336"/>
      <c r="AS336"/>
    </row>
    <row r="337" spans="26:26">
      <c r="Z337" s="1"/>
    </row>
    <row r="338" spans="26:26">
      <c r="Z338" s="1"/>
    </row>
    <row r="339" spans="26:26">
      <c r="Z339" s="1"/>
    </row>
  </sheetData>
  <autoFilter ref="A6:AS6" xr:uid="{B7B6668D-8735-4CDF-8A59-C29F16617D39}"/>
  <sortState xmlns:xlrd2="http://schemas.microsoft.com/office/spreadsheetml/2017/richdata2" ref="A2:AL330">
    <sortCondition ref="B7:B326"/>
  </sortState>
  <phoneticPr fontId="1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RECOVERY</vt:lpstr>
      <vt:lpstr>ALLOC</vt:lpstr>
      <vt:lpstr>Data</vt:lpstr>
      <vt:lpstr>DISNAME</vt:lpstr>
      <vt:lpstr>RECOVERY!Print_Area</vt:lpstr>
      <vt:lpstr>RECOVERY!Print_Titles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keywords>Recovery;2020-21</cp:keywords>
  <cp:lastModifiedBy>Melissa Jarmon</cp:lastModifiedBy>
  <cp:lastPrinted>2017-05-17T19:51:51Z</cp:lastPrinted>
  <dcterms:created xsi:type="dcterms:W3CDTF">2003-10-16T17:39:07Z</dcterms:created>
  <dcterms:modified xsi:type="dcterms:W3CDTF">2023-08-30T15:42:59Z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1115160665</vt:i4>
  </property>
  <property fmtid="{D5CDD505-2E9C-101B-9397-08002B2CF9AE}" pid="3" name="_EmailSubject">
    <vt:lpwstr>Spreadsheet for Recovery Estimates</vt:lpwstr>
  </property>
  <property fmtid="{D5CDD505-2E9C-101B-9397-08002B2CF9AE}" pid="4" name="_AuthorEmail">
    <vt:lpwstr>SShish@ospi.wednet.edu</vt:lpwstr>
  </property>
  <property fmtid="{D5CDD505-2E9C-101B-9397-08002B2CF9AE}" pid="5" name="_AuthorEmailDisplayName">
    <vt:lpwstr>Steve Shish</vt:lpwstr>
  </property>
  <property fmtid="{D5CDD505-2E9C-101B-9397-08002B2CF9AE}" pid="6" name="_ReviewingToolsShownOnce">
    <vt:lpwstr/>
  </property>
</Properties>
</file>