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8800" windowHeight="12300" tabRatio="701" firstSheet="2"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state="hidden"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state="hidden"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REVENUE!$A$5:$F$70</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workbook>
</file>

<file path=xl/calcChain.xml><?xml version="1.0" encoding="utf-8"?>
<calcChain xmlns="http://schemas.openxmlformats.org/spreadsheetml/2006/main">
  <c r="D11" i="47" l="1"/>
  <c r="D55" i="44"/>
  <c r="I158" i="54" l="1"/>
  <c r="G158" i="54"/>
  <c r="E73" i="54"/>
  <c r="E74" i="54"/>
  <c r="E75" i="54"/>
  <c r="E76" i="54"/>
  <c r="E77" i="54"/>
  <c r="E78" i="54"/>
  <c r="E79" i="54"/>
  <c r="E80" i="54"/>
  <c r="E81" i="54"/>
  <c r="E82" i="54"/>
  <c r="E83" i="54"/>
  <c r="E84" i="54"/>
  <c r="E85" i="54"/>
  <c r="E86" i="54"/>
  <c r="E87" i="54"/>
  <c r="E88" i="54"/>
  <c r="E89" i="54"/>
  <c r="E90" i="54"/>
  <c r="E91" i="54"/>
  <c r="E92" i="54"/>
  <c r="E93" i="54"/>
  <c r="E94" i="54"/>
  <c r="E95" i="54"/>
  <c r="E96" i="54"/>
  <c r="E97" i="54"/>
  <c r="E98" i="54"/>
  <c r="E99" i="54"/>
  <c r="E100" i="54"/>
  <c r="E72" i="54"/>
  <c r="D8" i="47"/>
  <c r="D41" i="47" l="1"/>
  <c r="D40" i="46"/>
  <c r="D47" i="46"/>
  <c r="D30" i="47"/>
  <c r="D10" i="47" s="1"/>
  <c r="B10" i="56" l="1"/>
  <c r="C10" i="56"/>
  <c r="C14" i="56"/>
  <c r="D47" i="56"/>
  <c r="D42" i="56"/>
  <c r="D40" i="56"/>
  <c r="D19" i="47"/>
  <c r="D9" i="46" l="1"/>
  <c r="D11" i="56" s="1"/>
  <c r="D74" i="44"/>
  <c r="D93" i="44" l="1"/>
  <c r="D44" i="44"/>
  <c r="I680" i="54"/>
  <c r="H680" i="54"/>
  <c r="E16" i="47" l="1"/>
  <c r="E30" i="46"/>
  <c r="E29" i="46"/>
  <c r="E8" i="44"/>
  <c r="F16" i="47" l="1"/>
  <c r="F29" i="46"/>
  <c r="B16" i="71" l="1"/>
  <c r="B8" i="71" l="1"/>
  <c r="B7" i="71"/>
  <c r="I71" i="47" l="1"/>
  <c r="I70" i="47"/>
  <c r="I69" i="47"/>
  <c r="I68" i="47"/>
  <c r="I67" i="47"/>
  <c r="I66" i="47"/>
  <c r="I65" i="47"/>
  <c r="I33" i="46"/>
  <c r="D114" i="44"/>
  <c r="I93" i="44"/>
  <c r="I85" i="44" l="1"/>
  <c r="I83" i="44"/>
  <c r="I44" i="44"/>
  <c r="I36" i="44"/>
  <c r="D557" i="54" l="1"/>
  <c r="D157" i="54"/>
  <c r="D675" i="54" l="1"/>
  <c r="D611" i="54"/>
  <c r="D610" i="54"/>
  <c r="D391" i="54"/>
  <c r="D390" i="54"/>
  <c r="D389" i="54"/>
  <c r="D388" i="54"/>
  <c r="D387" i="54"/>
  <c r="D386" i="54"/>
  <c r="D385"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I66" i="44" l="1"/>
  <c r="C22" i="55" l="1"/>
  <c r="C13" i="55"/>
  <c r="C9" i="55"/>
  <c r="C15" i="55" s="1"/>
  <c r="C24" i="55" s="1"/>
  <c r="C30" i="55" s="1"/>
  <c r="D17" i="71"/>
  <c r="D11" i="71"/>
  <c r="I73" i="47" l="1"/>
  <c r="I64" i="47"/>
  <c r="G42" i="47"/>
  <c r="G36" i="47"/>
  <c r="G27" i="47"/>
  <c r="G19" i="47"/>
  <c r="I7" i="47"/>
  <c r="I58" i="46"/>
  <c r="I57" i="46"/>
  <c r="I56" i="46"/>
  <c r="I53" i="46"/>
  <c r="I52" i="46"/>
  <c r="I47" i="46"/>
  <c r="I46" i="46"/>
  <c r="I45" i="46"/>
  <c r="I44" i="46"/>
  <c r="I43" i="46"/>
  <c r="I42" i="46"/>
  <c r="I40" i="46"/>
  <c r="I34" i="46"/>
  <c r="I32" i="46"/>
  <c r="I30" i="46"/>
  <c r="I29" i="46"/>
  <c r="I28" i="46"/>
  <c r="I27" i="46"/>
  <c r="I26" i="46"/>
  <c r="I24" i="46"/>
  <c r="I23" i="46"/>
  <c r="I15" i="46"/>
  <c r="I14" i="46"/>
  <c r="I13" i="46"/>
  <c r="I9" i="46"/>
  <c r="H104" i="44"/>
  <c r="H95" i="44"/>
  <c r="H87" i="44"/>
  <c r="H71" i="44"/>
  <c r="H46" i="44"/>
  <c r="H31" i="44"/>
  <c r="H38" i="44" s="1"/>
  <c r="H21" i="44"/>
  <c r="G104" i="44"/>
  <c r="G95" i="44"/>
  <c r="G87" i="44"/>
  <c r="G71" i="44"/>
  <c r="G46" i="44"/>
  <c r="G31" i="44"/>
  <c r="G38" i="44" s="1"/>
  <c r="G21" i="44"/>
  <c r="I27" i="44"/>
  <c r="I26" i="44"/>
  <c r="H35" i="46"/>
  <c r="G35" i="46"/>
  <c r="F35" i="46"/>
  <c r="E35" i="46"/>
  <c r="H48" i="46"/>
  <c r="H16" i="46"/>
  <c r="H89" i="44" l="1"/>
  <c r="H40" i="44"/>
  <c r="H37" i="46"/>
  <c r="G89" i="44"/>
  <c r="G44" i="47"/>
  <c r="G48" i="47" s="1"/>
  <c r="G50" i="47" s="1"/>
  <c r="H98" i="44"/>
  <c r="G40" i="44"/>
  <c r="G98" i="44"/>
  <c r="H105" i="44" l="1"/>
  <c r="H106" i="44" s="1"/>
  <c r="H50" i="46"/>
  <c r="H54" i="46" s="1"/>
  <c r="H60" i="46" s="1"/>
  <c r="H54" i="47"/>
  <c r="G105" i="44"/>
  <c r="G106" i="44" s="1"/>
  <c r="G108" i="44" s="1"/>
  <c r="H108" i="44" l="1"/>
  <c r="H62" i="46"/>
  <c r="A1" i="5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6" l="1"/>
  <c r="A1" i="55" s="1"/>
  <c r="A1" i="71"/>
  <c r="A1" i="48"/>
  <c r="A1" i="47"/>
  <c r="M756" i="54" l="1"/>
  <c r="L756" i="54"/>
  <c r="K756" i="54"/>
  <c r="J756" i="54"/>
  <c r="I756" i="54"/>
  <c r="H756" i="54"/>
  <c r="G756" i="54"/>
  <c r="F756" i="54"/>
  <c r="E756" i="54"/>
  <c r="I78" i="47" l="1"/>
  <c r="I77" i="47"/>
  <c r="I76" i="47"/>
  <c r="I75" i="47"/>
  <c r="I74" i="47"/>
  <c r="I72" i="47"/>
  <c r="I63" i="47"/>
  <c r="I47" i="47" l="1"/>
  <c r="I17" i="47"/>
  <c r="I16" i="47"/>
  <c r="E45" i="56"/>
  <c r="F104" i="44"/>
  <c r="E104" i="44"/>
  <c r="D104" i="44"/>
  <c r="I103" i="44"/>
  <c r="I102" i="44"/>
  <c r="I100" i="44"/>
  <c r="I99" i="44"/>
  <c r="F71" i="44"/>
  <c r="E71" i="44"/>
  <c r="I70" i="44"/>
  <c r="I69" i="44"/>
  <c r="I68" i="44"/>
  <c r="I67" i="44"/>
  <c r="I65" i="44"/>
  <c r="I64" i="44"/>
  <c r="I63" i="44"/>
  <c r="I61" i="44"/>
  <c r="I60" i="44"/>
  <c r="I58" i="44"/>
  <c r="I57" i="44"/>
  <c r="I56" i="44"/>
  <c r="I55" i="44"/>
  <c r="I54" i="44"/>
  <c r="F31" i="44"/>
  <c r="F38" i="44" s="1"/>
  <c r="E31" i="44"/>
  <c r="E38" i="44" s="1"/>
  <c r="D31" i="44"/>
  <c r="D38" i="44" s="1"/>
  <c r="D71" i="44"/>
  <c r="I51"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47" i="56"/>
  <c r="E46" i="56"/>
  <c r="E44" i="56"/>
  <c r="E43" i="56"/>
  <c r="E42" i="56"/>
  <c r="E40" i="56"/>
  <c r="E24" i="56"/>
  <c r="E25" i="56"/>
  <c r="E26" i="56"/>
  <c r="E27" i="56"/>
  <c r="E28" i="56"/>
  <c r="E29" i="56"/>
  <c r="E30" i="56"/>
  <c r="E31" i="56"/>
  <c r="E32" i="56"/>
  <c r="E34" i="56"/>
  <c r="E36" i="56"/>
  <c r="E11" i="56"/>
  <c r="E15" i="56"/>
  <c r="E16" i="56"/>
  <c r="E17" i="56"/>
  <c r="C35" i="56"/>
  <c r="C18" i="56"/>
  <c r="B35" i="56"/>
  <c r="B18" i="56"/>
  <c r="A1" i="56"/>
  <c r="D575" i="54" l="1"/>
  <c r="D41" i="54" s="1"/>
  <c r="C37" i="56"/>
  <c r="C50" i="56"/>
  <c r="C54" i="56" s="1"/>
  <c r="C60" i="56" s="1"/>
  <c r="B37" i="56"/>
  <c r="B50" i="56" s="1"/>
  <c r="B54" i="56" s="1"/>
  <c r="B60" i="56" s="1"/>
  <c r="F69" i="53"/>
  <c r="D116" i="54" l="1"/>
  <c r="D132" i="54"/>
  <c r="D204" i="54"/>
  <c r="D219" i="54"/>
  <c r="D331" i="54"/>
  <c r="D393" i="54"/>
  <c r="D653" i="54"/>
  <c r="D703" i="54"/>
  <c r="M98" i="54"/>
  <c r="F98" i="54" l="1"/>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M99" i="54"/>
  <c r="L99" i="54"/>
  <c r="K99" i="54"/>
  <c r="J99" i="54"/>
  <c r="I99" i="54"/>
  <c r="H99" i="54"/>
  <c r="G99" i="54"/>
  <c r="F99" i="54"/>
  <c r="K97" i="54"/>
  <c r="K96" i="54"/>
  <c r="M95" i="54"/>
  <c r="L95" i="54"/>
  <c r="K95" i="54"/>
  <c r="J95" i="54"/>
  <c r="I95" i="54"/>
  <c r="H95" i="54"/>
  <c r="G95" i="54"/>
  <c r="F95" i="54"/>
  <c r="M94" i="54"/>
  <c r="L94" i="54"/>
  <c r="K94" i="54"/>
  <c r="J94" i="54"/>
  <c r="I94" i="54"/>
  <c r="H94" i="54"/>
  <c r="G94" i="54"/>
  <c r="F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M76" i="54"/>
  <c r="L76" i="54"/>
  <c r="K76" i="54"/>
  <c r="J76" i="54"/>
  <c r="I76" i="54"/>
  <c r="H76" i="54"/>
  <c r="G76" i="54"/>
  <c r="M75" i="54"/>
  <c r="L75" i="54"/>
  <c r="K75" i="54"/>
  <c r="J75" i="54"/>
  <c r="I75" i="54"/>
  <c r="H75" i="54"/>
  <c r="G75" i="54"/>
  <c r="M74" i="54"/>
  <c r="L74" i="54"/>
  <c r="K74" i="54"/>
  <c r="J74" i="54"/>
  <c r="I74" i="54"/>
  <c r="H74" i="54"/>
  <c r="G74" i="54"/>
  <c r="M73" i="54"/>
  <c r="L73" i="54"/>
  <c r="K73" i="54"/>
  <c r="J73" i="54"/>
  <c r="I73" i="54"/>
  <c r="H73" i="54"/>
  <c r="G73" i="54"/>
  <c r="M72" i="54"/>
  <c r="L72" i="54"/>
  <c r="K72" i="54"/>
  <c r="J72" i="54"/>
  <c r="I72" i="54"/>
  <c r="H72" i="54"/>
  <c r="G72" i="54"/>
  <c r="M71" i="54"/>
  <c r="L71" i="54"/>
  <c r="K71" i="54"/>
  <c r="J71" i="54"/>
  <c r="E71" i="54"/>
  <c r="E101" i="54" s="1"/>
  <c r="L41" i="54" s="1"/>
  <c r="M70" i="54"/>
  <c r="L70" i="54"/>
  <c r="K70" i="54"/>
  <c r="J70" i="54"/>
  <c r="I70" i="54"/>
  <c r="H70" i="54"/>
  <c r="G70" i="54"/>
  <c r="F70" i="54"/>
  <c r="E70" i="54"/>
  <c r="H46" i="54"/>
  <c r="H45" i="54"/>
  <c r="H44" i="54"/>
  <c r="H43" i="54"/>
  <c r="H42" i="54"/>
  <c r="H41" i="54"/>
  <c r="F61" i="53"/>
  <c r="D12" i="46" s="1"/>
  <c r="F55" i="53"/>
  <c r="D11" i="46" s="1"/>
  <c r="F49" i="53"/>
  <c r="D10" i="46" s="1"/>
  <c r="F35" i="53"/>
  <c r="D8" i="46" s="1"/>
  <c r="F19" i="53"/>
  <c r="D7" i="46" s="1"/>
  <c r="A4" i="54"/>
  <c r="D9" i="56" l="1"/>
  <c r="I7" i="46"/>
  <c r="D14" i="56"/>
  <c r="E14" i="56" s="1"/>
  <c r="I12" i="46"/>
  <c r="D10" i="56"/>
  <c r="E10" i="56" s="1"/>
  <c r="I8" i="46"/>
  <c r="L58" i="54"/>
  <c r="D12" i="56"/>
  <c r="E12" i="56" s="1"/>
  <c r="I10" i="46"/>
  <c r="D13" i="56"/>
  <c r="E13" i="56" s="1"/>
  <c r="I11" i="46"/>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41" i="46"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D88" i="54"/>
  <c r="L24" i="54" s="1"/>
  <c r="D90" i="54"/>
  <c r="L26" i="54" s="1"/>
  <c r="G101" i="54"/>
  <c r="L43" i="54" s="1"/>
  <c r="L101" i="54"/>
  <c r="L48" i="54" s="1"/>
  <c r="E9" i="56" l="1"/>
  <c r="D18" i="56"/>
  <c r="E18" i="56" s="1"/>
  <c r="D41" i="56"/>
  <c r="I41" i="46"/>
  <c r="D33" i="56"/>
  <c r="D56" i="47"/>
  <c r="D31" i="46"/>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33" i="56" l="1"/>
  <c r="I31" i="46"/>
  <c r="D48" i="56"/>
  <c r="E41" i="56"/>
  <c r="E48" i="56" s="1"/>
  <c r="E10" i="54"/>
  <c r="D21" i="56" s="1"/>
  <c r="M56" i="54"/>
  <c r="E60" i="54"/>
  <c r="D21" i="46" s="1"/>
  <c r="E43" i="54"/>
  <c r="D20" i="46" s="1"/>
  <c r="D17" i="48"/>
  <c r="C17" i="48"/>
  <c r="D11" i="48"/>
  <c r="C11" i="48"/>
  <c r="C20" i="48" s="1"/>
  <c r="C21" i="48" s="1"/>
  <c r="C32" i="55"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4" i="47" s="1"/>
  <c r="G82" i="47" s="1"/>
  <c r="G89" i="47" s="1"/>
  <c r="D16" i="46"/>
  <c r="I101" i="44"/>
  <c r="I37" i="44"/>
  <c r="I34" i="44"/>
  <c r="I95" i="44"/>
  <c r="I46" i="44"/>
  <c r="I74"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E22" i="56" s="1"/>
  <c r="I20" i="46"/>
  <c r="D23" i="56"/>
  <c r="E23" i="56" s="1"/>
  <c r="I21" i="46"/>
  <c r="D19" i="46"/>
  <c r="I19" i="46" s="1"/>
  <c r="I35" i="46" s="1"/>
  <c r="D35" i="56"/>
  <c r="E21" i="56"/>
  <c r="D35" i="46"/>
  <c r="E61" i="54"/>
  <c r="I19" i="47"/>
  <c r="E37" i="46"/>
  <c r="E50" i="46" s="1"/>
  <c r="E54" i="46" s="1"/>
  <c r="E60" i="46" s="1"/>
  <c r="I71" i="44"/>
  <c r="D20" i="48"/>
  <c r="D21" i="48" s="1"/>
  <c r="F37" i="46"/>
  <c r="F50" i="46" s="1"/>
  <c r="F54" i="46" s="1"/>
  <c r="F60" i="46" s="1"/>
  <c r="H82" i="47"/>
  <c r="H89" i="47" s="1"/>
  <c r="G50" i="46"/>
  <c r="G54" i="46" s="1"/>
  <c r="G60" i="46" s="1"/>
  <c r="G62" i="46" s="1"/>
  <c r="I104" i="44"/>
  <c r="I16" i="46"/>
  <c r="H44" i="47"/>
  <c r="I48" i="46"/>
  <c r="D40" i="44"/>
  <c r="E40" i="44"/>
  <c r="F40" i="44"/>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7" i="56" l="1"/>
  <c r="E35" i="56"/>
  <c r="D37" i="46"/>
  <c r="D50" i="46" s="1"/>
  <c r="D54" i="46" s="1"/>
  <c r="D60" i="46" s="1"/>
  <c r="I37" i="46"/>
  <c r="I54" i="47" s="1"/>
  <c r="I82" i="47" s="1"/>
  <c r="I89" i="47" s="1"/>
  <c r="F54" i="47"/>
  <c r="F82" i="47" s="1"/>
  <c r="F89" i="47" s="1"/>
  <c r="E54" i="47"/>
  <c r="E82" i="47" s="1"/>
  <c r="E89" i="47" s="1"/>
  <c r="D48" i="47"/>
  <c r="D50" i="47" s="1"/>
  <c r="E48" i="47"/>
  <c r="E50" i="47" s="1"/>
  <c r="F48" i="47"/>
  <c r="F50" i="47" s="1"/>
  <c r="H48" i="47"/>
  <c r="H50" i="47" s="1"/>
  <c r="I98" i="44"/>
  <c r="I40" i="44"/>
  <c r="I44" i="47"/>
  <c r="F106" i="44"/>
  <c r="F62" i="46" s="1"/>
  <c r="E105" i="44"/>
  <c r="E106" i="44" s="1"/>
  <c r="E62" i="46" s="1"/>
  <c r="I89" i="44"/>
  <c r="F244" i="37"/>
  <c r="F25" i="38"/>
  <c r="F23" i="38"/>
  <c r="F3" i="38"/>
  <c r="F63" i="37"/>
  <c r="F19" i="38"/>
  <c r="D54" i="47" l="1"/>
  <c r="D82" i="47" s="1"/>
  <c r="D89" i="47" s="1"/>
  <c r="D50" i="56"/>
  <c r="E37" i="56"/>
  <c r="I50" i="46"/>
  <c r="I54" i="46" s="1"/>
  <c r="I60" i="46" s="1"/>
  <c r="I48" i="47"/>
  <c r="I50" i="47" s="1"/>
  <c r="E108" i="44"/>
  <c r="F108" i="44"/>
  <c r="F17" i="38"/>
  <c r="D54" i="56" l="1"/>
  <c r="E50" i="56"/>
  <c r="F15" i="38"/>
  <c r="D89" i="44"/>
  <c r="D60" i="56" l="1"/>
  <c r="E54" i="56"/>
  <c r="D105" i="44"/>
  <c r="D116" i="44" s="1"/>
  <c r="D117" i="44" s="1"/>
  <c r="E60" i="56" l="1"/>
  <c r="I105" i="44"/>
  <c r="I106" i="44" s="1"/>
  <c r="I62" i="46" s="1"/>
  <c r="D106" i="44"/>
  <c r="D108" i="44" l="1"/>
  <c r="B62" i="56"/>
  <c r="I108" i="44"/>
  <c r="D62" i="4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<sst xmlns="http://schemas.openxmlformats.org/spreadsheetml/2006/main" count="6100" uniqueCount="853">
  <si>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</si>
  <si>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</si>
  <si>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</si>
  <si>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</si>
  <si>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</si>
  <si>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</si>
  <si>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</si>
  <si>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</si>
  <si>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</si>
  <si>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</si>
  <si>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</si>
  <si>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</si>
  <si>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</si>
  <si>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</si>
  <si>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</si>
  <si>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</si>
  <si>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</si>
  <si>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</si>
  <si>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</si>
  <si>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</si>
  <si>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</si>
  <si>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</si>
  <si>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</si>
  <si>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</si>
  <si>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</si>
  <si>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</si>
  <si>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</si>
  <si>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</si>
  <si>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</si>
  <si>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</si>
  <si>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</si>
  <si>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</si>
  <si>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</si>
  <si>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</si>
  <si>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</si>
  <si>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</si>
  <si>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</si>
  <si>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</si>
  <si>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</si>
  <si>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</si>
  <si>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</si>
  <si>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</si>
  <si>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</si>
  <si>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</si>
  <si>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</si>
  <si>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</si>
  <si>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</si>
  <si>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</si>
  <si>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</si>
  <si>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</si>
  <si>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</si>
  <si>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</si>
  <si>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</si>
  <si>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</si>
  <si>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</si>
  <si>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</si>
  <si>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</si>
  <si>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</si>
  <si>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</si>
  <si>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</si>
  <si>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</si>
  <si>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</si>
  <si>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</si>
  <si>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</si>
  <si>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</si>
  <si>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</si>
  <si>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</si>
  <si>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</si>
  <si>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</si>
  <si>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</si>
  <si>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</si>
  <si>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</si>
  <si>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</si>
  <si>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</si>
  <si>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</si>
  <si>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</si>
  <si>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</si>
  <si>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</si>
  <si>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</si>
  <si>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</si>
  <si>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</si>
  <si>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</si>
  <si>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</si>
  <si>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</si>
  <si>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</si>
  <si>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</si>
  <si>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</si>
  <si>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</si>
  <si>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</si>
  <si>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</si>
  <si>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</si>
  <si>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</si>
  <si>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</si>
  <si>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</si>
  <si>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</si>
  <si>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</si>
  <si>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</si>
  <si>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</si>
  <si>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</si>
  <si>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</si>
  <si>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</si>
  <si>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</si>
  <si>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</si>
  <si>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</si>
  <si>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</si>
  <si>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</si>
  <si>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</si>
  <si>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</si>
  <si>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</si>
  <si>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</si>
  <si>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</si>
  <si>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</si>
  <si>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</si>
  <si>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</si>
  <si>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</si>
  <si>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</si>
  <si>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</si>
  <si>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</si>
  <si>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</si>
  <si>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</si>
  <si>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</si>
  <si>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</si>
  <si>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</si>
  <si>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</si>
  <si>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</si>
  <si>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</si>
  <si>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</si>
  <si>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</si>
  <si>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</si>
  <si>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</si>
  <si>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</si>
  <si>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</si>
  <si>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</si>
  <si>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</si>
  <si>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</si>
  <si>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</si>
  <si>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</si>
  <si>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</si>
  <si>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</si>
  <si>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</si>
  <si>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</si>
  <si>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</si>
  <si>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</si>
  <si>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</si>
  <si>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</si>
  <si>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</si>
  <si>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</si>
  <si>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</si>
  <si>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</si>
  <si>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</si>
  <si>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</si>
  <si>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</si>
  <si>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</si>
  <si>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</si>
  <si>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</si>
  <si>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</si>
  <si>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</si>
  <si>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</si>
  <si>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</si>
  <si>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</si>
  <si>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</si>
  <si>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</si>
  <si>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</si>
  <si>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</si>
  <si>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</si>
  <si>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</si>
  <si>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</si>
  <si>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</si>
  <si>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</si>
  <si>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</si>
  <si>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</si>
  <si>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</si>
  <si>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</si>
  <si>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</si>
  <si>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</si>
  <si>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</si>
  <si>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</si>
  <si>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</si>
  <si>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</si>
  <si>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</si>
  <si>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</si>
  <si>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</si>
  <si>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</si>
  <si>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</si>
  <si>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</si>
  <si>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</si>
  <si>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</si>
  <si>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</si>
  <si>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</si>
  <si>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</si>
  <si>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</si>
  <si>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</si>
  <si>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</si>
  <si>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</si>
  <si>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</si>
  <si>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</si>
  <si>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</si>
  <si>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</si>
  <si>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</si>
  <si>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</si>
  <si>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</si>
  <si>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</si>
  <si>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</si>
  <si>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</si>
  <si>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</si>
  <si>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</si>
  <si>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</si>
  <si>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</si>
  <si>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</si>
  <si>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</si>
  <si>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</si>
  <si>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</si>
  <si>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</si>
  <si>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</si>
  <si>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</si>
  <si>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</si>
  <si>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</si>
  <si>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</si>
  <si>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</si>
  <si>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</si>
  <si>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</si>
  <si>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</si>
  <si>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</si>
  <si>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</si>
  <si>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</si>
  <si>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</si>
  <si>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</si>
  <si>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</si>
  <si>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</si>
  <si>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</si>
  <si>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</si>
  <si>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</si>
  <si>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</si>
  <si>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</si>
  <si>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</si>
  <si>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</si>
  <si>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</si>
  <si>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</si>
  <si>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</si>
  <si>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</si>
  <si>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</si>
  <si>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</si>
  <si>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</si>
  <si>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</si>
  <si>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</si>
  <si>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</si>
  <si>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</si>
  <si>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</si>
  <si>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</si>
  <si>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</si>
  <si>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</si>
  <si>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</si>
  <si>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</si>
  <si>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</si>
  <si>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</si>
  <si>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</si>
  <si>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</si>
  <si>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</si>
  <si>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</si>
  <si>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</si>
  <si>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</si>
  <si>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</si>
  <si>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</si>
  <si>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</si>
  <si>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</si>
  <si>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</si>
  <si>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</si>
  <si>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</si>
  <si>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</si>
  <si>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</si>
  <si>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</si>
  <si>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</si>
  <si>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</si>
  <si>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</si>
  <si>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</si>
  <si>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</si>
  <si>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</si>
  <si>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</si>
  <si>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</si>
  <si>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</si>
  <si>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</si>
  <si>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</si>
  <si>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</si>
  <si>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</si>
  <si>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</si>
  <si>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</si>
  <si>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</si>
  <si>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</si>
  <si>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</si>
  <si>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</si>
  <si>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</si>
  <si>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</si>
  <si>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</si>
  <si>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</si>
  <si>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</si>
  <si>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</si>
  <si>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</si>
  <si>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</si>
  <si>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</si>
  <si>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</si>
  <si>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</si>
  <si>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</si>
  <si>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</si>
  <si>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</si>
  <si>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</si>
  <si>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</si>
  <si>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</si>
  <si>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</si>
  <si>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</si>
  <si>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</si>
  <si>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</si>
  <si>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</si>
  <si>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</si>
  <si>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</si>
  <si>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</si>
  <si>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</si>
  <si>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</si>
  <si>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</si>
  <si>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</si>
  <si>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</si>
  <si>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</si>
  <si>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</si>
  <si>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</si>
  <si>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</si>
  <si>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</si>
  <si>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</si>
  <si>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</si>
  <si>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</si>
  <si>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</si>
  <si>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</si>
  <si>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</si>
  <si>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</si>
  <si>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</si>
  <si>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</si>
  <si>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</si>
  <si>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</si>
  <si>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</si>
  <si>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</si>
  <si>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</si>
  <si>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</si>
  <si>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</si>
  <si>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</si>
  <si>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</si>
  <si>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</si>
  <si>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</si>
  <si>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</si>
  <si>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</si>
  <si>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</si>
  <si>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</si>
  <si>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</si>
  <si>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</si>
  <si>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</si>
  <si>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</si>
  <si>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</si>
  <si>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</si>
  <si>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</si>
  <si>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</si>
  <si>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</si>
  <si>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</si>
  <si>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</si>
  <si>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</si>
  <si>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</si>
  <si>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</si>
  <si>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</si>
  <si>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</si>
  <si>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</si>
  <si>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</si>
  <si>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</si>
  <si>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</si>
  <si>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</si>
  <si>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</si>
  <si>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</si>
  <si>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</si>
  <si>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</si>
  <si>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</si>
  <si>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</si>
  <si>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</si>
  <si>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</si>
  <si>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</si>
  <si>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</si>
  <si>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</si>
  <si>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</si>
  <si>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</si>
  <si>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</si>
  <si>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</si>
  <si>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</si>
  <si>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</si>
  <si>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</si>
  <si>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</si>
  <si>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</si>
  <si>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</si>
  <si>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</si>
  <si>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</si>
  <si>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</si>
  <si>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</si>
  <si>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</si>
  <si>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</si>
  <si>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</si>
  <si>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</si>
  <si>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</si>
  <si>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</si>
  <si>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</si>
  <si>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</si>
  <si>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</si>
  <si>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</si>
  <si>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</si>
  <si>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</si>
  <si>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</si>
  <si>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</si>
  <si>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</si>
  <si>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</si>
  <si>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</si>
  <si>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</si>
  <si>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</si>
  <si>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</si>
  <si>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</si>
  <si>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</si>
  <si>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</si>
  <si>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</si>
  <si>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</si>
  <si>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</si>
  <si>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</si>
  <si>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</si>
  <si>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</si>
  <si>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</si>
  <si>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</si>
  <si>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</si>
  <si>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</si>
  <si>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</si>
  <si>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</si>
  <si>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</si>
  <si>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</si>
  <si>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</si>
  <si>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</si>
  <si>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</si>
  <si>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</si>
  <si>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</si>
  <si>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</si>
  <si>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</si>
  <si>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</si>
  <si>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</si>
  <si>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</si>
  <si>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</si>
  <si>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</si>
  <si>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</si>
  <si>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</si>
  <si>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</si>
  <si>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</si>
  <si>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</si>
  <si>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</si>
  <si>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</si>
  <si>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</si>
  <si>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</si>
  <si>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</si>
  <si>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</si>
  <si>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</si>
  <si>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</si>
  <si>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</si>
  <si>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</si>
  <si>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</si>
  <si>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</si>
  <si>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</si>
  <si>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</si>
  <si>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</si>
  <si>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</si>
  <si>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</si>
  <si>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</si>
  <si>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</si>
  <si>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</si>
  <si>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</si>
  <si>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</si>
  <si>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</si>
  <si>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</si>
  <si>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</si>
  <si>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</si>
  <si>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</si>
  <si>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</si>
  <si>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</si>
  <si>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</si>
  <si>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</si>
  <si>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</si>
  <si>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</si>
  <si>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</si>
  <si>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</si>
  <si>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</si>
  <si>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</si>
  <si>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</si>
  <si>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</si>
  <si>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</si>
  <si>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</si>
  <si>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</si>
  <si>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</si>
  <si>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</si>
  <si>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</si>
  <si>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</si>
  <si>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</si>
  <si>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</si>
  <si>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</si>
  <si>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</si>
  <si>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</si>
  <si>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</si>
  <si>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</si>
  <si>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</si>
  <si>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</si>
  <si>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</si>
  <si>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</si>
  <si>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</si>
  <si>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</si>
  <si>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</si>
  <si>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</si>
  <si>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</si>
  <si>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</si>
  <si>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</si>
  <si>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</si>
  <si>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</si>
  <si>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</si>
  <si>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</si>
  <si>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</si>
  <si>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</si>
  <si>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</si>
  <si>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</si>
  <si>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</si>
  <si>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</si>
  <si>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</si>
  <si>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</si>
  <si>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</si>
  <si>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</si>
  <si>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</si>
  <si>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</si>
  <si>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</si>
  <si>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</si>
  <si>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</si>
  <si>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</si>
  <si>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</si>
  <si>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</si>
  <si>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</si>
  <si>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</si>
  <si>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</si>
  <si>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</si>
  <si>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</si>
  <si>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</si>
  <si>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</si>
  <si>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</si>
  <si>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</si>
  <si>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</si>
  <si>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</si>
  <si>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</si>
  <si>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</si>
  <si>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</si>
  <si>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</si>
  <si>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</si>
  <si>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</si>
  <si>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</si>
  <si>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</si>
  <si>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</si>
  <si>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</si>
  <si>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</si>
  <si>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</si>
  <si>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</si>
  <si>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</si>
  <si>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</si>
  <si>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</si>
  <si>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</si>
  <si>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</si>
  <si>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</si>
  <si>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</si>
  <si>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</si>
  <si>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</si>
  <si>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</si>
  <si>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</si>
  <si>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</si>
  <si>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</si>
  <si>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</si>
  <si>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</si>
  <si>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</si>
  <si>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</si>
  <si>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</si>
  <si>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</si>
  <si>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</si>
  <si>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</si>
  <si>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</si>
  <si>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</si>
  <si>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</si>
  <si>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</si>
  <si>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</si>
  <si>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</si>
  <si>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</si>
  <si>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</si>
  <si>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</si>
  <si>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</si>
  <si>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</si>
  <si>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</si>
  <si>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</si>
  <si>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</si>
  <si>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</si>
  <si>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</si>
  <si>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</si>
  <si>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</si>
  <si>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</si>
  <si>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</si>
  <si>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</si>
  <si>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</si>
  <si>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</si>
  <si>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</si>
  <si>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</si>
  <si>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</si>
  <si>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</si>
  <si>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</si>
  <si>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</si>
  <si>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</si>
  <si>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</si>
  <si>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</si>
  <si>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</si>
  <si>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</si>
  <si>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</si>
  <si>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</si>
  <si>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</si>
  <si>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</si>
  <si>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</si>
  <si>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</si>
  <si>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</si>
  <si>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</si>
  <si>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</si>
  <si>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</si>
  <si>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</si>
  <si>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</si>
  <si>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</si>
  <si>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</si>
  <si>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</si>
  <si>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</si>
  <si>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</si>
  <si>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</si>
  <si>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</si>
  <si>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</si>
  <si>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</si>
  <si>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</si>
  <si>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</si>
  <si>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</si>
  <si>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</si>
  <si>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</si>
  <si>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</si>
  <si>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</si>
  <si>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</si>
  <si>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</si>
  <si>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</si>
  <si>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</si>
  <si>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</si>
  <si>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</si>
  <si>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</si>
  <si>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</si>
  <si>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</si>
  <si>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</si>
  <si>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</si>
  <si>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</si>
  <si>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</si>
  <si>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</si>
  <si>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</si>
  <si>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</si>
  <si>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</si>
  <si>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</si>
  <si>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</si>
  <si>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</si>
  <si>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</si>
  <si>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</si>
  <si>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</si>
  <si>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</si>
  <si>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</si>
  <si>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</si>
  <si>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</si>
  <si>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</si>
  <si>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</si>
  <si>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</si>
  <si>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</si>
  <si>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</si>
  <si>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</si>
  <si>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</si>
  <si>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</si>
  <si>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</si>
  <si>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</si>
  <si>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</si>
  <si>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</si>
  <si>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</si>
  <si>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</si>
  <si>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</si>
  <si>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</si>
  <si>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</si>
  <si>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</si>
  <si>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</si>
  <si>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</si>
  <si>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</si>
  <si>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</si>
  <si>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</si>
  <si>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</si>
  <si>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</si>
  <si>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</si>
  <si>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</si>
  <si>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</si>
  <si>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</si>
  <si>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</si>
  <si>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</si>
  <si>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</si>
  <si>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</si>
  <si>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</si>
  <si>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</si>
  <si>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</si>
  <si>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</si>
  <si>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</si>
  <si>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</si>
  <si>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</si>
  <si>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</si>
  <si>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</si>
  <si>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</si>
  <si>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</si>
  <si>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</si>
  <si>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</si>
  <si>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</si>
  <si>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</si>
  <si>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</si>
  <si>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</si>
  <si>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</si>
  <si>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</si>
  <si>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</si>
  <si>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</si>
  <si>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</si>
  <si>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</si>
  <si>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</si>
  <si>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</si>
  <si>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</si>
  <si>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</si>
  <si>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</si>
  <si>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</si>
  <si>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</si>
  <si>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</si>
  <si>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</si>
  <si>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</si>
  <si>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</si>
  <si>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</si>
  <si>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</si>
  <si>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</si>
  <si>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</si>
  <si>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</si>
  <si>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</si>
  <si>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</si>
  <si>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</si>
  <si>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</si>
  <si>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</si>
  <si>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</si>
  <si>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</si>
  <si>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</si>
  <si>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</si>
  <si>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</si>
  <si>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</si>
  <si>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</si>
  <si>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</si>
  <si>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</si>
  <si>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</si>
  <si>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</si>
  <si>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</si>
  <si>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</si>
  <si>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</si>
  <si>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</si>
  <si>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</si>
  <si>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</si>
  <si>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</si>
  <si>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</si>
  <si>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</si>
  <si>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</si>
  <si>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</si>
  <si>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</si>
  <si>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</si>
  <si>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</si>
  <si>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</si>
  <si>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</si>
  <si>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</si>
  <si>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</si>
  <si>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</si>
  <si>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</si>
  <si>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</si>
  <si>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</si>
  <si>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</si>
  <si>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</si>
  <si>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</si>
  <si>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</si>
  <si>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</si>
  <si>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</si>
  <si>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</si>
  <si>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</si>
  <si>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</si>
  <si>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</si>
  <si>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</si>
  <si>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</si>
  <si>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</si>
  <si>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</si>
  <si>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</si>
  <si>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</si>
  <si>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</si>
  <si>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</si>
  <si>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</si>
  <si>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</si>
  <si>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</si>
  <si>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</si>
  <si>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</si>
  <si>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</si>
  <si>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</si>
  <si>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</si>
  <si>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</si>
  <si>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</si>
  <si>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</si>
  <si>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</si>
  <si>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</si>
  <si>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</si>
  <si>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</si>
  <si>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</si>
  <si>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</si>
  <si>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</si>
  <si>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</si>
  <si>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</si>
  <si>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</si>
  <si>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</si>
  <si>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</si>
  <si>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</si>
  <si>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</si>
  <si>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</si>
  <si>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</si>
  <si>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</si>
  <si>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</si>
  <si>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</si>
  <si>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</si>
  <si>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</si>
  <si>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</si>
  <si>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</si>
  <si>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</si>
  <si>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</si>
  <si>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</si>
  <si>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</si>
  <si>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</si>
  <si>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Deferred OutFlows Related to Pensions</t>
  </si>
  <si>
    <t>Deferred OutFlows Related to OPEB</t>
  </si>
  <si>
    <t>Educational Service District #171</t>
  </si>
  <si>
    <t>For the Fiscal Year Ended August 31, 2019</t>
  </si>
  <si>
    <t>FOR THE YEAR ENDED AUGUST 31, 2019</t>
  </si>
  <si>
    <t>For the Year Ended August 31, 2019</t>
  </si>
  <si>
    <t>AUGUST 31, 2019</t>
  </si>
  <si>
    <t>FOR THE FISCAL YEAR ENDED AUGUST 31, 2019</t>
  </si>
  <si>
    <t>Joint Venture Change (WSIPC)</t>
  </si>
  <si>
    <t>2nd</t>
  </si>
  <si>
    <t>January</t>
  </si>
  <si>
    <t>430 Olds Station Rd</t>
  </si>
  <si>
    <t>Wenatchee, WA 98801</t>
  </si>
  <si>
    <t>www.ncesd.org</t>
  </si>
  <si>
    <t>Jason Williams</t>
  </si>
  <si>
    <t>(509) 667-7103</t>
  </si>
  <si>
    <t>jasonw@ncesd.org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</si>
</sst>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6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47" fillId="7" borderId="0" xfId="9" applyFont="1" applyFill="1" applyBorder="1" applyAlignment="1">
      <alignment horizontal="left"/>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7" fillId="0" borderId="0" xfId="9" applyFont="1" applyFill="1" applyBorder="1" applyAlignment="1">
      <alignment horizontal="left"/>
    </xf>
    <xf numFmtId="44" fontId="45" fillId="0" borderId="0" xfId="9" applyFont="1" applyFill="1" applyBorder="1" applyAlignment="1">
      <alignment horizontal="left" vertical="center" wrapText="1"/>
    </xf>
    <xf numFmtId="44" fontId="45" fillId="0" borderId="0" xfId="11" applyFont="1" applyFill="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7"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0" fontId="17" fillId="0" borderId="3" xfId="14" applyFont="1" applyFill="1" applyBorder="1" applyAlignment="1" applyProtection="1">
      <alignment horizontal="left"/>
    </xf>
    <xf numFmtId="0" fontId="17" fillId="8"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9"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49" fontId="17" fillId="0" borderId="0" xfId="11"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sonw@ncesd.org" TargetMode="External"/><Relationship Id="rId1" Type="http://schemas.openxmlformats.org/officeDocument/2006/relationships/hyperlink" Target="http://www.nc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641</v>
      </c>
      <c r="B9" s="168">
        <v>200</v>
      </c>
      <c r="C9" s="168" t="s">
        <v>195</v>
      </c>
    </row>
    <row r="10" spans="1:3">
      <c r="A10" s="168" t="s">
        <v>641</v>
      </c>
      <c r="B10" s="168">
        <v>230</v>
      </c>
      <c r="C10" s="168" t="s">
        <v>196</v>
      </c>
    </row>
    <row r="11" spans="1:3">
      <c r="A11" s="168" t="s">
        <v>641</v>
      </c>
      <c r="B11" s="168">
        <v>240</v>
      </c>
      <c r="C11" s="168" t="s">
        <v>599</v>
      </c>
    </row>
    <row r="12" spans="1:3">
      <c r="A12" s="168" t="s">
        <v>641</v>
      </c>
      <c r="B12" s="168">
        <v>241</v>
      </c>
      <c r="C12" s="168" t="s">
        <v>198</v>
      </c>
    </row>
    <row r="13" spans="1:3">
      <c r="A13" s="168" t="s">
        <v>643</v>
      </c>
      <c r="B13" s="168">
        <v>340</v>
      </c>
      <c r="C13" s="168" t="s">
        <v>201</v>
      </c>
    </row>
    <row r="14" spans="1:3">
      <c r="A14" s="168"/>
      <c r="B14" s="168">
        <v>344</v>
      </c>
      <c r="C14" s="168" t="s">
        <v>600</v>
      </c>
    </row>
    <row r="15" spans="1:3">
      <c r="A15" s="168"/>
      <c r="B15" s="168">
        <v>360</v>
      </c>
      <c r="C15" s="168" t="s">
        <v>82</v>
      </c>
    </row>
    <row r="16" spans="1:3">
      <c r="A16" s="168"/>
      <c r="B16" s="168">
        <v>361</v>
      </c>
      <c r="C16" s="168" t="s">
        <v>601</v>
      </c>
    </row>
    <row r="17" spans="1:3">
      <c r="A17" s="168"/>
      <c r="B17" s="168">
        <v>410</v>
      </c>
      <c r="C17" s="168" t="s">
        <v>602</v>
      </c>
    </row>
    <row r="18" spans="1:3">
      <c r="A18" s="168"/>
      <c r="B18" s="168">
        <v>430</v>
      </c>
      <c r="C18" s="168" t="s">
        <v>205</v>
      </c>
    </row>
    <row r="19" spans="1:3">
      <c r="A19" s="168" t="s">
        <v>642</v>
      </c>
      <c r="B19" s="168">
        <v>450</v>
      </c>
      <c r="C19" s="168" t="s">
        <v>199</v>
      </c>
    </row>
    <row r="20" spans="1:3">
      <c r="A20" s="168"/>
      <c r="B20" s="168">
        <v>452</v>
      </c>
      <c r="C20" s="168" t="s">
        <v>200</v>
      </c>
    </row>
    <row r="21" spans="1:3">
      <c r="A21" s="168"/>
      <c r="B21" s="168">
        <v>475</v>
      </c>
      <c r="C21" s="168" t="s">
        <v>603</v>
      </c>
    </row>
    <row r="22" spans="1:3">
      <c r="A22" s="168"/>
      <c r="B22" s="168">
        <v>480</v>
      </c>
      <c r="C22" s="168" t="s">
        <v>216</v>
      </c>
    </row>
    <row r="23" spans="1:3">
      <c r="A23" s="168"/>
      <c r="B23" s="168">
        <v>490</v>
      </c>
      <c r="C23" s="168" t="s">
        <v>604</v>
      </c>
    </row>
    <row r="24" spans="1:3">
      <c r="A24" s="168"/>
      <c r="B24" s="168">
        <v>491</v>
      </c>
      <c r="C24" s="168" t="s">
        <v>606</v>
      </c>
    </row>
    <row r="25" spans="1:3">
      <c r="A25" s="168"/>
      <c r="B25" s="168">
        <v>492</v>
      </c>
      <c r="C25" s="168" t="s">
        <v>607</v>
      </c>
    </row>
    <row r="26" spans="1:3">
      <c r="A26" s="168"/>
      <c r="B26" s="168">
        <v>493</v>
      </c>
      <c r="C26" s="168" t="s">
        <v>608</v>
      </c>
    </row>
    <row r="27" spans="1:3">
      <c r="A27" s="168"/>
      <c r="B27" s="168">
        <v>494</v>
      </c>
      <c r="C27" s="168" t="s">
        <v>609</v>
      </c>
    </row>
    <row r="28" spans="1:3">
      <c r="A28" s="168"/>
      <c r="B28" s="168">
        <v>498</v>
      </c>
      <c r="C28" s="168" t="s">
        <v>605</v>
      </c>
    </row>
    <row r="29" spans="1:3" ht="13.5" thickBot="1">
      <c r="A29" s="168"/>
      <c r="B29" s="168">
        <v>499</v>
      </c>
      <c r="C29" s="168" t="s">
        <v>610</v>
      </c>
    </row>
    <row r="30" spans="1:3">
      <c r="A30" s="168"/>
      <c r="B30" s="169">
        <v>510</v>
      </c>
      <c r="C30" s="170" t="s">
        <v>611</v>
      </c>
    </row>
    <row r="31" spans="1:3">
      <c r="A31" s="168"/>
      <c r="B31" s="171">
        <v>515</v>
      </c>
      <c r="C31" s="172" t="s">
        <v>612</v>
      </c>
    </row>
    <row r="32" spans="1:3">
      <c r="A32" s="168"/>
      <c r="B32" s="171">
        <v>520</v>
      </c>
      <c r="C32" s="172" t="s">
        <v>613</v>
      </c>
    </row>
    <row r="33" spans="1:4">
      <c r="A33" s="168"/>
      <c r="B33" s="171">
        <v>530</v>
      </c>
      <c r="C33" s="172" t="s">
        <v>614</v>
      </c>
    </row>
    <row r="34" spans="1:4">
      <c r="A34" s="168"/>
      <c r="B34" s="171">
        <v>535</v>
      </c>
      <c r="C34" s="172" t="s">
        <v>595</v>
      </c>
    </row>
    <row r="35" spans="1:4" ht="13.5" thickBot="1">
      <c r="A35" s="168"/>
      <c r="B35" s="173">
        <v>540</v>
      </c>
      <c r="C35" s="174" t="s">
        <v>615</v>
      </c>
    </row>
    <row r="36" spans="1:4">
      <c r="A36" s="168"/>
      <c r="B36" s="168">
        <v>601</v>
      </c>
      <c r="C36" s="168" t="s">
        <v>218</v>
      </c>
    </row>
    <row r="37" spans="1:4">
      <c r="A37" s="168"/>
      <c r="B37" s="168">
        <v>601</v>
      </c>
      <c r="C37" s="168" t="s">
        <v>616</v>
      </c>
    </row>
    <row r="38" spans="1:4">
      <c r="A38" s="168"/>
      <c r="B38" s="168">
        <v>603</v>
      </c>
      <c r="C38" s="168" t="s">
        <v>617</v>
      </c>
    </row>
    <row r="39" spans="1:4">
      <c r="A39" s="168"/>
      <c r="B39" s="168">
        <v>604</v>
      </c>
      <c r="C39" s="168" t="s">
        <v>221</v>
      </c>
    </row>
    <row r="40" spans="1:4">
      <c r="A40" s="168"/>
      <c r="B40" s="168">
        <v>605</v>
      </c>
      <c r="C40" s="168" t="s">
        <v>592</v>
      </c>
    </row>
    <row r="41" spans="1:4">
      <c r="A41" s="168"/>
      <c r="B41" s="168">
        <v>607</v>
      </c>
      <c r="C41" s="168" t="s">
        <v>224</v>
      </c>
      <c r="D41" s="168"/>
    </row>
    <row r="42" spans="1:4">
      <c r="A42" s="168"/>
      <c r="B42" s="168">
        <v>608</v>
      </c>
      <c r="C42" s="168" t="s">
        <v>225</v>
      </c>
      <c r="D42" s="168"/>
    </row>
    <row r="43" spans="1:4">
      <c r="A43" s="168"/>
      <c r="B43" s="168">
        <v>610</v>
      </c>
      <c r="C43" s="168" t="s">
        <v>618</v>
      </c>
    </row>
    <row r="44" spans="1:4">
      <c r="A44" s="168"/>
      <c r="B44" s="168">
        <v>620</v>
      </c>
      <c r="C44" s="168" t="s">
        <v>619</v>
      </c>
    </row>
    <row r="45" spans="1:4">
      <c r="A45" s="168"/>
      <c r="B45" s="168">
        <v>625</v>
      </c>
      <c r="C45" s="168" t="s">
        <v>620</v>
      </c>
    </row>
    <row r="46" spans="1:4">
      <c r="A46" s="168"/>
      <c r="B46" s="168">
        <v>630</v>
      </c>
      <c r="C46" s="168" t="s">
        <v>621</v>
      </c>
    </row>
    <row r="47" spans="1:4">
      <c r="A47" s="168"/>
      <c r="B47" s="168">
        <v>631</v>
      </c>
      <c r="C47" s="168" t="s">
        <v>622</v>
      </c>
    </row>
    <row r="48" spans="1:4">
      <c r="A48" s="168"/>
      <c r="B48" s="168">
        <v>632</v>
      </c>
      <c r="C48" s="168" t="s">
        <v>623</v>
      </c>
    </row>
    <row r="49" spans="1:5">
      <c r="A49" s="168"/>
      <c r="B49" s="168">
        <v>633</v>
      </c>
      <c r="C49" s="168" t="s">
        <v>624</v>
      </c>
      <c r="D49" s="168"/>
      <c r="E49" s="168"/>
    </row>
    <row r="50" spans="1:5">
      <c r="A50" s="168"/>
      <c r="B50" s="168">
        <v>634</v>
      </c>
      <c r="C50" s="168" t="s">
        <v>625</v>
      </c>
      <c r="D50" s="168"/>
      <c r="E50" s="168"/>
    </row>
    <row r="51" spans="1:5">
      <c r="A51" s="168"/>
      <c r="B51" s="168">
        <v>635</v>
      </c>
      <c r="C51" s="168" t="s">
        <v>626</v>
      </c>
      <c r="D51" s="168"/>
      <c r="E51" s="168"/>
    </row>
    <row r="52" spans="1:5">
      <c r="A52" s="168"/>
      <c r="B52" s="168">
        <v>636</v>
      </c>
      <c r="C52" s="168" t="s">
        <v>627</v>
      </c>
      <c r="D52" s="168"/>
      <c r="E52" s="168"/>
    </row>
    <row r="53" spans="1:5">
      <c r="A53" s="168"/>
      <c r="B53" s="168">
        <v>637</v>
      </c>
      <c r="C53" s="168" t="s">
        <v>628</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629</v>
      </c>
    </row>
    <row r="58" spans="1:5">
      <c r="A58" s="168"/>
      <c r="B58" s="168">
        <v>710</v>
      </c>
      <c r="C58" s="168" t="s">
        <v>630</v>
      </c>
    </row>
    <row r="59" spans="1:5">
      <c r="A59" s="168"/>
      <c r="B59" s="168">
        <v>750</v>
      </c>
      <c r="C59" s="168" t="s">
        <v>631</v>
      </c>
    </row>
    <row r="60" spans="1:5">
      <c r="A60" s="168"/>
      <c r="B60" s="168">
        <v>810</v>
      </c>
      <c r="C60" s="168" t="s">
        <v>646</v>
      </c>
    </row>
    <row r="61" spans="1:5">
      <c r="A61" s="168"/>
      <c r="B61" s="168">
        <v>830</v>
      </c>
      <c r="C61" s="168" t="s">
        <v>632</v>
      </c>
    </row>
    <row r="62" spans="1:5">
      <c r="A62" s="168"/>
      <c r="B62" s="168">
        <v>845</v>
      </c>
      <c r="C62" s="168" t="s">
        <v>562</v>
      </c>
    </row>
    <row r="63" spans="1:5">
      <c r="A63" s="168"/>
      <c r="B63" s="168">
        <v>850</v>
      </c>
      <c r="C63" s="168" t="s">
        <v>633</v>
      </c>
    </row>
    <row r="64" spans="1:5">
      <c r="A64" s="168"/>
      <c r="B64" s="168">
        <v>865</v>
      </c>
      <c r="C64" s="168" t="s">
        <v>556</v>
      </c>
    </row>
    <row r="65" spans="1:3">
      <c r="A65" s="168"/>
      <c r="B65" s="168">
        <v>880</v>
      </c>
      <c r="C65" s="168" t="s">
        <v>634</v>
      </c>
    </row>
    <row r="66" spans="1:3">
      <c r="A66" s="168"/>
      <c r="B66" s="168">
        <v>881</v>
      </c>
      <c r="C66" s="168" t="s">
        <v>635</v>
      </c>
    </row>
    <row r="67" spans="1:3">
      <c r="A67" s="168"/>
      <c r="B67" s="168">
        <v>885</v>
      </c>
      <c r="C67" s="168" t="s">
        <v>636</v>
      </c>
    </row>
    <row r="68" spans="1:3">
      <c r="A68" s="168"/>
      <c r="B68" s="168">
        <v>890</v>
      </c>
      <c r="C68" s="168" t="s">
        <v>637</v>
      </c>
    </row>
    <row r="69" spans="1:3">
      <c r="A69" s="168"/>
      <c r="B69" s="168">
        <v>900</v>
      </c>
      <c r="C69" s="168" t="s">
        <v>638</v>
      </c>
    </row>
    <row r="70" spans="1:3">
      <c r="A70" s="168"/>
      <c r="B70" s="168">
        <v>960</v>
      </c>
      <c r="C70" s="168" t="s">
        <v>639</v>
      </c>
    </row>
    <row r="71" spans="1:3">
      <c r="B71">
        <v>965</v>
      </c>
      <c r="C71" t="s">
        <v>640</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Normal="100" zoomScaleSheetLayoutView="100" workbookViewId="0">
      <selection activeCell="E5" sqref="E5"/>
    </sheetView>
  </sheetViews>
  <sheetFormatPr defaultColWidth="8.85546875" defaultRowHeight="12.75"/>
  <cols>
    <col min="1" max="1" width="61.28515625" style="182" customWidth="1"/>
    <col min="2" max="2" width="19.5703125" style="190" customWidth="1"/>
    <col min="3" max="3" width="19.5703125" style="296"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55" t="str">
        <f>+'REVENUE EXPENSES'!A1:I1</f>
        <v>Educational Service District #171</v>
      </c>
      <c r="B1" s="455"/>
      <c r="C1" s="455"/>
      <c r="D1" s="455"/>
      <c r="G1"/>
      <c r="H1"/>
      <c r="I1"/>
      <c r="J1"/>
      <c r="K1"/>
      <c r="L1"/>
      <c r="M1"/>
      <c r="N1"/>
      <c r="O1"/>
      <c r="P1" s="182" t="s">
        <v>191</v>
      </c>
    </row>
    <row r="2" spans="1:16">
      <c r="A2" s="456" t="s">
        <v>652</v>
      </c>
      <c r="B2" s="456"/>
      <c r="C2" s="456"/>
      <c r="D2" s="456"/>
      <c r="G2"/>
      <c r="H2"/>
      <c r="I2"/>
      <c r="J2"/>
      <c r="K2"/>
      <c r="L2"/>
      <c r="M2"/>
      <c r="N2"/>
      <c r="O2"/>
      <c r="P2" s="306" t="s">
        <v>191</v>
      </c>
    </row>
    <row r="3" spans="1:16">
      <c r="A3" s="457" t="s">
        <v>284</v>
      </c>
      <c r="B3" s="457"/>
      <c r="C3" s="457"/>
      <c r="D3" s="457"/>
      <c r="G3"/>
      <c r="H3"/>
      <c r="I3"/>
      <c r="J3"/>
      <c r="K3"/>
      <c r="L3"/>
      <c r="M3"/>
      <c r="N3"/>
      <c r="O3"/>
      <c r="P3" s="306" t="s">
        <v>191</v>
      </c>
    </row>
    <row r="4" spans="1:16">
      <c r="A4" s="187"/>
      <c r="B4" s="226"/>
      <c r="C4" s="302"/>
      <c r="D4" s="227"/>
      <c r="G4"/>
      <c r="H4"/>
      <c r="I4"/>
      <c r="J4"/>
      <c r="K4"/>
      <c r="L4"/>
      <c r="M4"/>
      <c r="N4"/>
      <c r="O4"/>
      <c r="P4" s="306" t="s">
        <v>191</v>
      </c>
    </row>
    <row r="5" spans="1:16" ht="25.5">
      <c r="A5" s="182" t="s">
        <v>536</v>
      </c>
      <c r="B5" s="293" t="s">
        <v>348</v>
      </c>
      <c r="C5" s="292" t="s">
        <v>686</v>
      </c>
      <c r="D5" s="304" t="s">
        <v>687</v>
      </c>
      <c r="G5"/>
      <c r="H5"/>
      <c r="I5"/>
      <c r="J5"/>
      <c r="K5"/>
      <c r="L5"/>
      <c r="M5"/>
      <c r="N5"/>
      <c r="O5"/>
      <c r="P5" s="306" t="s">
        <v>191</v>
      </c>
    </row>
    <row r="6" spans="1:16">
      <c r="A6" s="188" t="s">
        <v>537</v>
      </c>
      <c r="B6" s="189"/>
      <c r="C6" s="295"/>
      <c r="D6" s="189"/>
      <c r="G6"/>
      <c r="H6"/>
      <c r="I6"/>
      <c r="J6"/>
      <c r="K6"/>
      <c r="L6"/>
      <c r="M6"/>
      <c r="N6"/>
      <c r="O6"/>
      <c r="P6" s="306" t="s">
        <v>191</v>
      </c>
    </row>
    <row r="7" spans="1:16">
      <c r="A7" s="191" t="s">
        <v>538</v>
      </c>
      <c r="B7" s="189">
        <v>0</v>
      </c>
      <c r="C7" s="295">
        <v>0</v>
      </c>
      <c r="D7" s="189"/>
      <c r="G7"/>
      <c r="H7"/>
      <c r="I7"/>
      <c r="J7"/>
      <c r="K7"/>
      <c r="L7"/>
      <c r="M7"/>
      <c r="N7"/>
      <c r="O7"/>
      <c r="P7" s="306" t="s">
        <v>191</v>
      </c>
    </row>
    <row r="8" spans="1:16">
      <c r="A8" s="191" t="s">
        <v>539</v>
      </c>
      <c r="B8" s="189"/>
      <c r="C8" s="295"/>
      <c r="D8" s="189"/>
      <c r="G8"/>
      <c r="H8"/>
      <c r="I8"/>
      <c r="J8"/>
      <c r="K8"/>
      <c r="L8"/>
      <c r="M8"/>
      <c r="N8"/>
      <c r="O8"/>
      <c r="P8" s="306" t="s">
        <v>191</v>
      </c>
    </row>
    <row r="9" spans="1:16">
      <c r="A9" s="228" t="s">
        <v>540</v>
      </c>
      <c r="B9" s="221">
        <f>SUM(B7:B8)</f>
        <v>0</v>
      </c>
      <c r="C9" s="301">
        <f>SUM(C7:C8)</f>
        <v>0</v>
      </c>
      <c r="D9" s="221">
        <f>SUM(D7:D8)</f>
        <v>0</v>
      </c>
      <c r="G9"/>
      <c r="H9"/>
      <c r="I9"/>
      <c r="J9"/>
      <c r="K9"/>
      <c r="L9"/>
      <c r="M9"/>
      <c r="N9"/>
      <c r="O9"/>
      <c r="P9" s="306" t="s">
        <v>191</v>
      </c>
    </row>
    <row r="10" spans="1:16">
      <c r="A10" s="188" t="s">
        <v>245</v>
      </c>
      <c r="B10" s="189"/>
      <c r="C10" s="295"/>
      <c r="D10" s="189"/>
      <c r="G10"/>
      <c r="H10"/>
      <c r="I10"/>
      <c r="J10"/>
      <c r="K10"/>
      <c r="L10"/>
      <c r="M10"/>
      <c r="N10"/>
      <c r="O10"/>
      <c r="P10" s="306" t="s">
        <v>191</v>
      </c>
    </row>
    <row r="11" spans="1:16">
      <c r="A11" s="191" t="s">
        <v>541</v>
      </c>
      <c r="B11" s="189"/>
      <c r="C11" s="295"/>
      <c r="D11" s="189"/>
      <c r="G11"/>
      <c r="H11"/>
      <c r="I11"/>
      <c r="J11"/>
      <c r="K11"/>
      <c r="L11"/>
      <c r="M11"/>
      <c r="N11"/>
      <c r="O11"/>
      <c r="P11" s="306" t="s">
        <v>191</v>
      </c>
    </row>
    <row r="12" spans="1:16">
      <c r="A12" s="191" t="s">
        <v>542</v>
      </c>
      <c r="B12" s="189"/>
      <c r="C12" s="295"/>
      <c r="D12" s="189"/>
      <c r="G12"/>
      <c r="H12"/>
      <c r="I12"/>
      <c r="J12"/>
      <c r="K12"/>
      <c r="L12"/>
      <c r="M12"/>
      <c r="N12"/>
      <c r="O12"/>
      <c r="P12" s="306" t="s">
        <v>191</v>
      </c>
    </row>
    <row r="13" spans="1:16">
      <c r="A13" s="228" t="s">
        <v>543</v>
      </c>
      <c r="B13" s="221">
        <f>SUM(B11:B12)</f>
        <v>0</v>
      </c>
      <c r="C13" s="301">
        <f>SUM(C11:C12)</f>
        <v>0</v>
      </c>
      <c r="D13" s="221">
        <f>SUM(D11:D12)</f>
        <v>0</v>
      </c>
      <c r="G13"/>
      <c r="H13"/>
      <c r="I13"/>
      <c r="J13"/>
      <c r="K13"/>
      <c r="L13"/>
      <c r="M13"/>
      <c r="N13"/>
      <c r="O13"/>
      <c r="P13" s="306" t="s">
        <v>191</v>
      </c>
    </row>
    <row r="14" spans="1:16">
      <c r="A14" s="188" t="s">
        <v>544</v>
      </c>
      <c r="B14" s="189"/>
      <c r="C14" s="295"/>
      <c r="D14" s="189"/>
      <c r="G14"/>
      <c r="H14"/>
      <c r="I14"/>
      <c r="J14"/>
      <c r="K14"/>
      <c r="L14"/>
      <c r="M14"/>
      <c r="N14"/>
      <c r="O14"/>
      <c r="P14" s="306" t="s">
        <v>191</v>
      </c>
    </row>
    <row r="15" spans="1:16" ht="13.5" thickBot="1">
      <c r="A15" s="192" t="s">
        <v>545</v>
      </c>
      <c r="B15" s="193">
        <f>B9+B13+B14</f>
        <v>0</v>
      </c>
      <c r="C15" s="297">
        <f>C9+C13+C14</f>
        <v>0</v>
      </c>
      <c r="D15" s="193">
        <f>D9+D13+D14</f>
        <v>0</v>
      </c>
      <c r="G15"/>
      <c r="H15"/>
      <c r="I15"/>
      <c r="J15"/>
      <c r="K15"/>
      <c r="L15"/>
      <c r="M15"/>
      <c r="N15"/>
      <c r="O15"/>
      <c r="P15" s="306" t="s">
        <v>191</v>
      </c>
    </row>
    <row r="16" spans="1:16" ht="13.5" thickTop="1">
      <c r="A16" s="194"/>
      <c r="B16" s="195"/>
      <c r="C16" s="298"/>
      <c r="D16" s="195"/>
      <c r="G16"/>
      <c r="H16"/>
      <c r="I16"/>
      <c r="J16"/>
      <c r="K16"/>
      <c r="L16"/>
      <c r="M16"/>
      <c r="N16"/>
      <c r="O16"/>
      <c r="P16" s="306" t="s">
        <v>191</v>
      </c>
    </row>
    <row r="17" spans="1:16">
      <c r="A17" s="194" t="s">
        <v>546</v>
      </c>
      <c r="B17" s="196"/>
      <c r="C17" s="299"/>
      <c r="D17" s="196"/>
      <c r="G17"/>
      <c r="H17"/>
      <c r="I17"/>
      <c r="J17"/>
      <c r="K17"/>
      <c r="L17"/>
      <c r="M17"/>
      <c r="N17"/>
      <c r="O17"/>
      <c r="P17" s="306" t="s">
        <v>191</v>
      </c>
    </row>
    <row r="18" spans="1:16">
      <c r="A18" s="197" t="s">
        <v>547</v>
      </c>
      <c r="B18" s="189"/>
      <c r="C18" s="295"/>
      <c r="D18" s="189"/>
      <c r="G18"/>
      <c r="H18"/>
      <c r="I18"/>
      <c r="J18"/>
      <c r="K18"/>
      <c r="L18"/>
      <c r="M18"/>
      <c r="N18"/>
      <c r="O18"/>
      <c r="P18" s="306" t="s">
        <v>191</v>
      </c>
    </row>
    <row r="19" spans="1:16">
      <c r="A19" s="197" t="s">
        <v>548</v>
      </c>
      <c r="B19" s="189"/>
      <c r="C19" s="295"/>
      <c r="D19" s="189"/>
      <c r="G19"/>
      <c r="H19"/>
      <c r="I19"/>
      <c r="J19"/>
      <c r="K19"/>
      <c r="L19"/>
      <c r="M19"/>
      <c r="N19"/>
      <c r="O19"/>
      <c r="P19" s="306" t="s">
        <v>191</v>
      </c>
    </row>
    <row r="20" spans="1:16">
      <c r="A20" s="197" t="s">
        <v>549</v>
      </c>
      <c r="B20" s="189"/>
      <c r="C20" s="295"/>
      <c r="D20" s="189"/>
      <c r="G20"/>
      <c r="H20"/>
      <c r="I20"/>
      <c r="J20"/>
      <c r="K20"/>
      <c r="L20"/>
      <c r="M20"/>
      <c r="N20"/>
      <c r="O20"/>
      <c r="P20" s="306" t="s">
        <v>191</v>
      </c>
    </row>
    <row r="21" spans="1:16">
      <c r="A21" s="197" t="s">
        <v>550</v>
      </c>
      <c r="B21" s="189"/>
      <c r="C21" s="295"/>
      <c r="D21" s="189"/>
      <c r="G21"/>
      <c r="H21"/>
      <c r="I21"/>
      <c r="J21"/>
      <c r="K21"/>
      <c r="L21"/>
      <c r="M21"/>
      <c r="N21"/>
      <c r="O21"/>
      <c r="P21" s="306" t="s">
        <v>191</v>
      </c>
    </row>
    <row r="22" spans="1:16" ht="13.5" thickBot="1">
      <c r="A22" s="192" t="s">
        <v>551</v>
      </c>
      <c r="B22" s="193">
        <f>SUM(B18:B21)</f>
        <v>0</v>
      </c>
      <c r="C22" s="297">
        <f>SUM(C18:C21)</f>
        <v>0</v>
      </c>
      <c r="D22" s="193">
        <f>SUM(D18:D21)</f>
        <v>0</v>
      </c>
      <c r="G22"/>
      <c r="H22"/>
      <c r="I22"/>
      <c r="J22"/>
      <c r="K22"/>
      <c r="L22"/>
      <c r="M22"/>
      <c r="N22"/>
      <c r="O22"/>
      <c r="P22" s="306" t="s">
        <v>191</v>
      </c>
    </row>
    <row r="23" spans="1:16" ht="13.5" thickTop="1">
      <c r="A23" s="192"/>
      <c r="B23" s="196"/>
      <c r="C23" s="299"/>
      <c r="D23" s="196"/>
      <c r="G23"/>
      <c r="H23"/>
      <c r="I23"/>
      <c r="J23"/>
      <c r="K23"/>
      <c r="L23"/>
      <c r="M23"/>
      <c r="N23"/>
      <c r="O23"/>
      <c r="P23" s="306" t="s">
        <v>191</v>
      </c>
    </row>
    <row r="24" spans="1:16" ht="13.5" thickBot="1">
      <c r="A24" s="192" t="s">
        <v>655</v>
      </c>
      <c r="B24" s="229">
        <f>B15-B22</f>
        <v>0</v>
      </c>
      <c r="C24" s="303">
        <f>C15-C22</f>
        <v>0</v>
      </c>
      <c r="D24" s="229">
        <f>D15-D22</f>
        <v>0</v>
      </c>
      <c r="G24"/>
      <c r="H24"/>
      <c r="I24"/>
      <c r="J24"/>
      <c r="K24"/>
      <c r="L24"/>
      <c r="M24"/>
      <c r="N24"/>
      <c r="O24"/>
      <c r="P24" s="306" t="s">
        <v>191</v>
      </c>
    </row>
    <row r="25" spans="1:16">
      <c r="A25" s="192"/>
      <c r="B25" s="196"/>
      <c r="C25" s="299"/>
      <c r="D25" s="196"/>
      <c r="G25"/>
      <c r="H25"/>
      <c r="I25"/>
      <c r="J25"/>
      <c r="K25"/>
      <c r="L25"/>
      <c r="M25"/>
      <c r="N25"/>
      <c r="O25"/>
      <c r="P25" s="306" t="s">
        <v>191</v>
      </c>
    </row>
    <row r="26" spans="1:16">
      <c r="A26" s="192" t="s">
        <v>650</v>
      </c>
      <c r="B26" s="196"/>
      <c r="C26" s="299"/>
      <c r="D26" s="196"/>
      <c r="G26"/>
      <c r="H26"/>
      <c r="I26"/>
      <c r="J26"/>
      <c r="K26"/>
      <c r="L26"/>
      <c r="M26"/>
      <c r="N26"/>
      <c r="O26"/>
      <c r="P26" s="306" t="s">
        <v>191</v>
      </c>
    </row>
    <row r="27" spans="1:16">
      <c r="A27" s="192"/>
      <c r="B27" s="189"/>
      <c r="C27" s="295"/>
      <c r="D27" s="189"/>
      <c r="G27"/>
      <c r="H27"/>
      <c r="I27"/>
      <c r="J27"/>
      <c r="K27"/>
      <c r="L27"/>
      <c r="M27"/>
      <c r="N27"/>
      <c r="O27"/>
      <c r="P27" s="306" t="s">
        <v>191</v>
      </c>
    </row>
    <row r="28" spans="1:16">
      <c r="A28" s="198" t="s">
        <v>596</v>
      </c>
      <c r="B28" s="189"/>
      <c r="C28" s="295"/>
      <c r="D28" s="189"/>
      <c r="G28"/>
      <c r="H28"/>
      <c r="I28"/>
      <c r="J28"/>
      <c r="K28"/>
      <c r="L28"/>
      <c r="M28"/>
      <c r="N28"/>
      <c r="O28"/>
      <c r="P28" s="306" t="s">
        <v>191</v>
      </c>
    </row>
    <row r="29" spans="1:16">
      <c r="A29" s="192"/>
      <c r="B29" s="189"/>
      <c r="C29" s="295"/>
      <c r="D29" s="189"/>
      <c r="G29"/>
      <c r="H29"/>
      <c r="I29"/>
      <c r="J29"/>
      <c r="K29"/>
      <c r="L29"/>
      <c r="M29"/>
      <c r="N29"/>
      <c r="O29"/>
      <c r="P29" s="306" t="s">
        <v>191</v>
      </c>
    </row>
    <row r="30" spans="1:16" ht="13.5" thickBot="1">
      <c r="A30" s="192" t="s">
        <v>651</v>
      </c>
      <c r="B30" s="199">
        <f>B24+B26+B28</f>
        <v>0</v>
      </c>
      <c r="C30" s="300">
        <f>C24+C26+C28</f>
        <v>0</v>
      </c>
      <c r="D30" s="199">
        <f>D24+D26+D28</f>
        <v>0</v>
      </c>
      <c r="G30"/>
      <c r="H30"/>
      <c r="I30"/>
      <c r="J30"/>
      <c r="K30"/>
      <c r="L30"/>
      <c r="M30"/>
      <c r="N30"/>
      <c r="O30"/>
      <c r="P30" s="306" t="s">
        <v>191</v>
      </c>
    </row>
    <row r="31" spans="1:16">
      <c r="A31" s="194"/>
      <c r="G31" s="307"/>
      <c r="H31" s="305"/>
      <c r="I31" s="305"/>
      <c r="J31" s="305"/>
      <c r="K31" s="305"/>
      <c r="L31" s="305"/>
      <c r="M31" s="305"/>
      <c r="N31" s="305"/>
      <c r="O31" s="305"/>
    </row>
    <row r="32" spans="1:16">
      <c r="A32" s="200" t="s">
        <v>552</v>
      </c>
      <c r="B32" s="190">
        <f>+FIDUCIARY!B21-'FIDUCIARY CHANGES'!B30</f>
        <v>0</v>
      </c>
      <c r="C32" s="296">
        <f>+FIDUCIARY!C21-'FIDUCIARY CHANGES'!C30</f>
        <v>0</v>
      </c>
      <c r="D32" s="190">
        <v>0</v>
      </c>
    </row>
  </sheetData>
  <mergeCells count="3">
    <mergeCell ref="A1:D1"/>
    <mergeCell ref="A2:D2"/>
    <mergeCell ref="A3:D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workbookViewId="0">
      <selection activeCell="B8" sqref="B8"/>
    </sheetView>
  </sheetViews>
  <sheetFormatPr defaultColWidth="8.85546875" defaultRowHeight="12.75"/>
  <cols>
    <col min="1" max="1" width="53.42578125" style="201" customWidth="1"/>
    <col min="2" max="2" width="18.7109375" style="201" customWidth="1"/>
    <col min="3" max="5" width="18.7109375" style="201" hidden="1" customWidth="1"/>
    <col min="6" max="6" width="5" style="201" hidden="1" customWidth="1"/>
    <col min="7" max="7" width="2.28515625" style="201" hidden="1" customWidth="1"/>
    <col min="8" max="11" width="0" style="201" hidden="1" customWidth="1"/>
    <col min="12" max="12" width="10.85546875" style="201" bestFit="1" customWidth="1"/>
    <col min="13" max="16384" width="8.85546875" style="201"/>
  </cols>
  <sheetData>
    <row r="1" spans="1:17" ht="21" customHeight="1">
      <c r="A1" s="461" t="str">
        <f>+'NET POSITION'!A1:I1</f>
        <v>Educational Service District #171</v>
      </c>
      <c r="B1" s="461"/>
      <c r="C1" s="461"/>
      <c r="D1" s="461"/>
      <c r="E1" s="461"/>
      <c r="H1"/>
      <c r="I1"/>
      <c r="J1"/>
      <c r="K1"/>
      <c r="L1"/>
      <c r="M1"/>
      <c r="N1"/>
      <c r="O1"/>
      <c r="P1"/>
      <c r="Q1" s="201" t="s">
        <v>191</v>
      </c>
    </row>
    <row r="2" spans="1:17" ht="21" customHeight="1">
      <c r="A2" s="462" t="s">
        <v>644</v>
      </c>
      <c r="B2" s="462"/>
      <c r="C2" s="462"/>
      <c r="D2" s="462"/>
      <c r="E2" s="462"/>
      <c r="H2"/>
      <c r="I2"/>
      <c r="J2"/>
      <c r="K2"/>
      <c r="L2"/>
      <c r="M2"/>
      <c r="N2"/>
      <c r="O2"/>
      <c r="P2"/>
      <c r="Q2" s="201" t="s">
        <v>191</v>
      </c>
    </row>
    <row r="3" spans="1:17">
      <c r="A3" s="463" t="s">
        <v>842</v>
      </c>
      <c r="B3" s="463"/>
      <c r="C3" s="463"/>
      <c r="D3" s="463"/>
      <c r="E3" s="463"/>
      <c r="H3"/>
      <c r="I3"/>
      <c r="J3"/>
      <c r="K3"/>
      <c r="L3"/>
      <c r="M3"/>
      <c r="N3"/>
      <c r="O3"/>
      <c r="P3"/>
      <c r="Q3" s="201" t="s">
        <v>191</v>
      </c>
    </row>
    <row r="4" spans="1:17">
      <c r="A4" s="202"/>
      <c r="B4" s="231"/>
      <c r="C4" s="434"/>
      <c r="D4" s="434"/>
      <c r="E4" s="434"/>
      <c r="H4"/>
      <c r="I4"/>
      <c r="J4"/>
      <c r="K4"/>
      <c r="L4"/>
      <c r="M4"/>
      <c r="N4"/>
      <c r="O4"/>
      <c r="P4"/>
      <c r="Q4" s="201" t="s">
        <v>191</v>
      </c>
    </row>
    <row r="5" spans="1:17" ht="25.5">
      <c r="A5" s="202"/>
      <c r="B5" s="291" t="s">
        <v>348</v>
      </c>
      <c r="C5" s="291" t="s">
        <v>688</v>
      </c>
      <c r="D5" s="291" t="s">
        <v>689</v>
      </c>
      <c r="E5" s="304" t="s">
        <v>690</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f>32903.88-1917.72</f>
        <v>30986.159999999996</v>
      </c>
      <c r="C7" s="207"/>
      <c r="D7" s="207"/>
      <c r="E7" s="207"/>
      <c r="H7"/>
      <c r="I7"/>
      <c r="J7"/>
      <c r="K7"/>
      <c r="L7"/>
      <c r="M7"/>
      <c r="N7"/>
      <c r="O7"/>
      <c r="P7"/>
      <c r="Q7" s="201" t="s">
        <v>191</v>
      </c>
    </row>
    <row r="8" spans="1:17">
      <c r="A8" s="206" t="s">
        <v>199</v>
      </c>
      <c r="B8" s="207">
        <f>2807908.2-'NET POSITION'!D33</f>
        <v>2355881.7000000002</v>
      </c>
      <c r="C8" s="207"/>
      <c r="D8" s="207"/>
      <c r="E8" s="207"/>
      <c r="H8"/>
      <c r="I8"/>
      <c r="J8"/>
      <c r="K8"/>
      <c r="L8"/>
      <c r="M8"/>
      <c r="N8"/>
      <c r="O8"/>
      <c r="P8"/>
      <c r="Q8" s="201" t="s">
        <v>191</v>
      </c>
    </row>
    <row r="9" spans="1:17">
      <c r="A9" s="206" t="s">
        <v>201</v>
      </c>
      <c r="B9" s="207">
        <v>40382.92</v>
      </c>
      <c r="C9" s="207"/>
      <c r="D9" s="207"/>
      <c r="E9" s="207"/>
      <c r="H9"/>
      <c r="I9"/>
      <c r="J9"/>
      <c r="K9"/>
      <c r="L9"/>
      <c r="M9"/>
      <c r="N9"/>
      <c r="O9"/>
      <c r="P9"/>
      <c r="Q9" s="201" t="s">
        <v>191</v>
      </c>
    </row>
    <row r="10" spans="1:17" hidden="1">
      <c r="A10" s="206" t="s">
        <v>350</v>
      </c>
      <c r="B10" s="207"/>
      <c r="C10" s="207"/>
      <c r="D10" s="207"/>
      <c r="E10" s="207"/>
      <c r="H10"/>
      <c r="I10"/>
      <c r="J10"/>
      <c r="K10"/>
      <c r="L10"/>
      <c r="M10"/>
      <c r="N10"/>
      <c r="O10"/>
      <c r="P10"/>
      <c r="Q10" s="201" t="s">
        <v>191</v>
      </c>
    </row>
    <row r="11" spans="1:17" ht="13.5" thickBot="1">
      <c r="A11" s="210" t="s">
        <v>349</v>
      </c>
      <c r="B11" s="211">
        <f>SUM(B7:B10)</f>
        <v>2427250.7800000003</v>
      </c>
      <c r="C11" s="211">
        <f>SUM(C7:C10)</f>
        <v>0</v>
      </c>
      <c r="D11" s="211">
        <f>SUM(D7:D10)</f>
        <v>0</v>
      </c>
      <c r="E11" s="211">
        <f>SUM(E7:E10)</f>
        <v>0</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v>33955.86</v>
      </c>
      <c r="C14" s="207"/>
      <c r="D14" s="207"/>
      <c r="E14" s="207"/>
      <c r="H14"/>
      <c r="I14"/>
      <c r="J14"/>
      <c r="K14"/>
      <c r="L14"/>
      <c r="M14"/>
      <c r="N14"/>
      <c r="O14"/>
      <c r="P14"/>
      <c r="Q14" s="201" t="s">
        <v>191</v>
      </c>
    </row>
    <row r="15" spans="1:17" hidden="1">
      <c r="A15" s="206" t="s">
        <v>355</v>
      </c>
      <c r="B15" s="207"/>
      <c r="C15" s="207"/>
      <c r="D15" s="207"/>
      <c r="E15" s="207"/>
      <c r="H15"/>
      <c r="I15"/>
      <c r="J15"/>
      <c r="K15" s="320"/>
      <c r="L15"/>
      <c r="M15"/>
      <c r="N15"/>
      <c r="O15"/>
      <c r="P15"/>
      <c r="Q15" s="201" t="s">
        <v>191</v>
      </c>
    </row>
    <row r="16" spans="1:17">
      <c r="A16" s="208" t="s">
        <v>649</v>
      </c>
      <c r="B16" s="207">
        <f>2427250.78-33955.86</f>
        <v>2393294.92</v>
      </c>
      <c r="C16" s="207"/>
      <c r="D16" s="207"/>
      <c r="E16" s="207"/>
      <c r="H16"/>
      <c r="I16"/>
      <c r="J16"/>
      <c r="K16"/>
      <c r="L16"/>
      <c r="M16"/>
      <c r="N16"/>
      <c r="O16"/>
      <c r="P16"/>
      <c r="Q16" s="201" t="s">
        <v>191</v>
      </c>
    </row>
    <row r="17" spans="1:17" ht="13.5" thickBot="1">
      <c r="A17" s="210" t="s">
        <v>233</v>
      </c>
      <c r="B17" s="211">
        <f>SUM(B14:B16)</f>
        <v>2427250.7799999998</v>
      </c>
      <c r="C17" s="211">
        <f>SUM(C14:C16)</f>
        <v>0</v>
      </c>
      <c r="D17" s="211">
        <f>SUM(D14:D16)</f>
        <v>0</v>
      </c>
      <c r="E17" s="211">
        <f>SUM(E14:E16)</f>
        <v>0</v>
      </c>
      <c r="H17"/>
      <c r="I17"/>
      <c r="J17"/>
      <c r="K17"/>
      <c r="L17"/>
      <c r="M17"/>
      <c r="N17"/>
      <c r="O17"/>
      <c r="P17"/>
      <c r="Q17" s="201" t="s">
        <v>191</v>
      </c>
    </row>
    <row r="18" spans="1:17" ht="13.5" thickTop="1">
      <c r="A18" s="210"/>
      <c r="B18" s="213"/>
      <c r="C18" s="213"/>
      <c r="D18" s="213"/>
      <c r="E18" s="213"/>
      <c r="H18"/>
      <c r="I18"/>
      <c r="J18"/>
      <c r="K18"/>
      <c r="L18"/>
      <c r="M18"/>
      <c r="N18"/>
      <c r="O18"/>
      <c r="P18"/>
    </row>
    <row r="19" spans="1:17" hidden="1"/>
    <row r="20" spans="1:17" hidden="1">
      <c r="A20" s="201" t="s">
        <v>676</v>
      </c>
    </row>
    <row r="21" spans="1:17" ht="39.75" hidden="1" customHeight="1">
      <c r="A21" s="458" t="s">
        <v>693</v>
      </c>
      <c r="B21" s="459"/>
      <c r="C21" s="459"/>
      <c r="D21" s="459"/>
      <c r="E21" s="460"/>
    </row>
    <row r="22" spans="1:17" ht="28.5" hidden="1" customHeight="1">
      <c r="A22" s="458" t="s">
        <v>692</v>
      </c>
      <c r="B22" s="459"/>
      <c r="C22" s="459"/>
      <c r="D22" s="459"/>
      <c r="E22" s="460"/>
    </row>
    <row r="23" spans="1:17" hidden="1"/>
    <row r="24" spans="1:17" hidden="1">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9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40" zoomScaleNormal="100" zoomScaleSheetLayoutView="100" workbookViewId="0">
      <selection activeCell="G69" sqref="G69"/>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64" t="str">
        <f>'CERTIFICATION-COVER'!A4:G4</f>
        <v>Educational Service District #171</v>
      </c>
      <c r="B1" s="464"/>
      <c r="C1" s="464"/>
      <c r="D1" s="464"/>
      <c r="E1" s="464"/>
      <c r="F1" s="464"/>
      <c r="G1" s="76"/>
      <c r="H1" s="77"/>
    </row>
    <row r="2" spans="1:8" ht="15">
      <c r="A2" s="465" t="s">
        <v>391</v>
      </c>
      <c r="B2" s="465"/>
      <c r="C2" s="465"/>
      <c r="D2" s="465"/>
      <c r="E2" s="465"/>
      <c r="F2" s="465"/>
      <c r="G2" s="76"/>
      <c r="H2" s="77"/>
    </row>
    <row r="3" spans="1:8" ht="15">
      <c r="A3" s="465" t="s">
        <v>553</v>
      </c>
      <c r="B3" s="465"/>
      <c r="C3" s="465"/>
      <c r="D3" s="465"/>
      <c r="E3" s="465"/>
      <c r="F3" s="465"/>
      <c r="G3" s="76"/>
      <c r="H3" s="77"/>
    </row>
    <row r="4" spans="1:8" ht="15">
      <c r="A4" s="466" t="s">
        <v>843</v>
      </c>
      <c r="B4" s="466"/>
      <c r="C4" s="466"/>
      <c r="D4" s="466"/>
      <c r="E4" s="466"/>
      <c r="F4" s="466"/>
      <c r="G4" s="76"/>
      <c r="H4" s="77"/>
    </row>
    <row r="5" spans="1:8" ht="3.75" customHeight="1">
      <c r="A5" s="76"/>
      <c r="B5" s="76"/>
      <c r="C5" s="76"/>
      <c r="D5" s="79"/>
      <c r="E5" s="80"/>
      <c r="F5" s="76"/>
      <c r="G5" s="76"/>
      <c r="H5" s="77"/>
    </row>
    <row r="6" spans="1:8" ht="15">
      <c r="A6" s="81" t="s">
        <v>392</v>
      </c>
      <c r="B6" s="82"/>
      <c r="C6" s="82"/>
      <c r="D6" s="83"/>
      <c r="E6" s="78"/>
    </row>
    <row r="7" spans="1:8" ht="14.25">
      <c r="A7" s="85"/>
      <c r="B7" s="85">
        <v>12</v>
      </c>
      <c r="C7" s="82" t="s">
        <v>155</v>
      </c>
      <c r="D7" s="83"/>
      <c r="E7" s="86">
        <v>333338.68</v>
      </c>
    </row>
    <row r="8" spans="1:8" ht="14.25">
      <c r="A8" s="85"/>
      <c r="B8" s="85">
        <v>13</v>
      </c>
      <c r="C8" s="82" t="s">
        <v>393</v>
      </c>
      <c r="D8" s="83"/>
      <c r="E8" s="87">
        <v>29351.71</v>
      </c>
    </row>
    <row r="9" spans="1:8" ht="14.25">
      <c r="A9" s="85"/>
      <c r="B9" s="85">
        <v>14</v>
      </c>
      <c r="C9" s="82" t="s">
        <v>394</v>
      </c>
      <c r="D9" s="83"/>
      <c r="E9" s="87">
        <v>0</v>
      </c>
    </row>
    <row r="10" spans="1:8" ht="14.25">
      <c r="A10" s="85"/>
      <c r="B10" s="85">
        <v>15</v>
      </c>
      <c r="C10" s="82" t="s">
        <v>395</v>
      </c>
      <c r="D10" s="83"/>
      <c r="E10" s="87">
        <v>0</v>
      </c>
    </row>
    <row r="11" spans="1:8" ht="14.25">
      <c r="A11" s="85"/>
      <c r="B11" s="85">
        <v>16</v>
      </c>
      <c r="C11" s="82" t="s">
        <v>245</v>
      </c>
      <c r="D11" s="83"/>
      <c r="E11" s="87">
        <v>62976.12</v>
      </c>
    </row>
    <row r="12" spans="1:8" ht="14.25">
      <c r="A12" s="85"/>
      <c r="B12" s="85">
        <v>17</v>
      </c>
      <c r="C12" s="82" t="s">
        <v>157</v>
      </c>
      <c r="D12" s="83"/>
      <c r="E12" s="87">
        <v>750</v>
      </c>
    </row>
    <row r="13" spans="1:8" ht="14.25">
      <c r="A13" s="85"/>
      <c r="B13" s="85">
        <v>19</v>
      </c>
      <c r="C13" s="82" t="s">
        <v>159</v>
      </c>
      <c r="D13" s="83"/>
      <c r="E13" s="87">
        <v>120321.69</v>
      </c>
    </row>
    <row r="14" spans="1:8" ht="14.25">
      <c r="A14" s="85"/>
      <c r="B14" s="85">
        <v>20</v>
      </c>
      <c r="C14" s="82" t="s">
        <v>153</v>
      </c>
      <c r="D14" s="83"/>
      <c r="E14" s="87">
        <v>0</v>
      </c>
    </row>
    <row r="15" spans="1:8" ht="14.25">
      <c r="A15" s="85"/>
      <c r="B15" s="85">
        <v>21</v>
      </c>
      <c r="C15" s="82" t="s">
        <v>161</v>
      </c>
      <c r="D15" s="83"/>
      <c r="E15" s="87">
        <v>-37</v>
      </c>
    </row>
    <row r="16" spans="1:8" ht="14.25">
      <c r="A16" s="85"/>
      <c r="B16" s="85">
        <v>22</v>
      </c>
      <c r="C16" s="82" t="s">
        <v>396</v>
      </c>
      <c r="D16" s="83"/>
      <c r="E16" s="87">
        <v>0</v>
      </c>
    </row>
    <row r="17" spans="1:8" ht="14.25">
      <c r="A17" s="85"/>
      <c r="B17" s="88">
        <v>23</v>
      </c>
      <c r="C17" s="82" t="s">
        <v>5</v>
      </c>
      <c r="D17" s="83"/>
      <c r="E17" s="87">
        <v>0</v>
      </c>
      <c r="G17" s="89"/>
      <c r="H17" s="90"/>
    </row>
    <row r="18" spans="1:8" ht="16.5">
      <c r="A18" s="85"/>
      <c r="B18" s="85">
        <v>29</v>
      </c>
      <c r="C18" s="82" t="s">
        <v>162</v>
      </c>
      <c r="D18" s="83"/>
      <c r="E18" s="91">
        <v>263013</v>
      </c>
      <c r="G18" s="89"/>
      <c r="H18" s="90"/>
    </row>
    <row r="19" spans="1:8" ht="15">
      <c r="A19" s="92" t="s">
        <v>397</v>
      </c>
      <c r="B19" s="85"/>
      <c r="C19" s="82"/>
      <c r="D19" s="83"/>
      <c r="F19" s="94">
        <f>SUM(E7:E18)</f>
        <v>809714.2</v>
      </c>
    </row>
    <row r="20" spans="1:8" ht="5.25" customHeight="1">
      <c r="F20" s="93"/>
    </row>
    <row r="21" spans="1:8" ht="15">
      <c r="A21" s="81" t="s">
        <v>398</v>
      </c>
      <c r="B21" s="82"/>
      <c r="C21" s="82"/>
      <c r="D21" s="83"/>
      <c r="F21" s="97"/>
    </row>
    <row r="22" spans="1:8" ht="14.25">
      <c r="A22" s="85"/>
      <c r="B22" s="85">
        <v>31</v>
      </c>
      <c r="C22" s="82" t="s">
        <v>163</v>
      </c>
      <c r="D22" s="83"/>
      <c r="E22" s="98">
        <v>793165.19</v>
      </c>
      <c r="F22" s="90"/>
    </row>
    <row r="23" spans="1:8" ht="14.25">
      <c r="A23" s="85"/>
      <c r="B23" s="85">
        <v>32</v>
      </c>
      <c r="C23" s="82" t="s">
        <v>164</v>
      </c>
      <c r="D23" s="83"/>
      <c r="E23" s="99">
        <v>0</v>
      </c>
      <c r="F23" s="90"/>
    </row>
    <row r="24" spans="1:8" ht="14.25">
      <c r="A24" s="85"/>
      <c r="B24" s="85">
        <v>34</v>
      </c>
      <c r="C24" s="82" t="s">
        <v>399</v>
      </c>
      <c r="D24" s="83"/>
      <c r="E24" s="99">
        <v>0</v>
      </c>
      <c r="F24" s="90"/>
    </row>
    <row r="25" spans="1:8" ht="14.25">
      <c r="A25" s="85"/>
      <c r="B25" s="85">
        <v>35</v>
      </c>
      <c r="C25" s="82" t="s">
        <v>575</v>
      </c>
      <c r="D25" s="83"/>
      <c r="E25" s="99">
        <v>0</v>
      </c>
      <c r="F25" s="90"/>
    </row>
    <row r="26" spans="1:8" ht="14.25">
      <c r="A26" s="85"/>
      <c r="B26" s="85">
        <v>36</v>
      </c>
      <c r="C26" s="82" t="s">
        <v>400</v>
      </c>
      <c r="D26" s="83"/>
      <c r="E26" s="99">
        <v>694520.74</v>
      </c>
      <c r="F26" s="90"/>
    </row>
    <row r="27" spans="1:8" ht="14.25">
      <c r="A27" s="85"/>
      <c r="B27" s="85">
        <v>37</v>
      </c>
      <c r="C27" s="82" t="s">
        <v>165</v>
      </c>
      <c r="D27" s="83"/>
      <c r="E27" s="99">
        <v>232636.42</v>
      </c>
      <c r="F27" s="90"/>
    </row>
    <row r="28" spans="1:8" ht="14.25">
      <c r="A28" s="85"/>
      <c r="B28" s="85">
        <v>38</v>
      </c>
      <c r="C28" s="82" t="s">
        <v>576</v>
      </c>
      <c r="D28" s="83"/>
      <c r="E28" s="99">
        <v>0</v>
      </c>
      <c r="F28" s="90"/>
    </row>
    <row r="29" spans="1:8" ht="14.25">
      <c r="A29" s="85"/>
      <c r="B29" s="167">
        <v>39</v>
      </c>
      <c r="C29" s="100" t="s">
        <v>659</v>
      </c>
      <c r="D29" s="97"/>
      <c r="E29" s="99">
        <v>0</v>
      </c>
      <c r="F29" s="90"/>
      <c r="G29" s="84"/>
    </row>
    <row r="30" spans="1:8" ht="14.25">
      <c r="A30" s="85"/>
      <c r="B30" s="85">
        <v>40</v>
      </c>
      <c r="C30" s="82" t="s">
        <v>167</v>
      </c>
      <c r="D30" s="83"/>
      <c r="E30" s="99">
        <v>0</v>
      </c>
      <c r="F30" s="90"/>
      <c r="H30" s="100"/>
    </row>
    <row r="31" spans="1:8" ht="14.25">
      <c r="A31" s="85"/>
      <c r="B31" s="85">
        <v>41</v>
      </c>
      <c r="C31" s="82" t="s">
        <v>401</v>
      </c>
      <c r="D31" s="83"/>
      <c r="E31" s="99">
        <v>0</v>
      </c>
      <c r="F31" s="90"/>
    </row>
    <row r="32" spans="1:8" ht="14.25">
      <c r="A32" s="85"/>
      <c r="B32" s="85">
        <v>42</v>
      </c>
      <c r="C32" s="82" t="s">
        <v>402</v>
      </c>
      <c r="D32" s="83"/>
      <c r="E32" s="99">
        <v>0</v>
      </c>
      <c r="F32" s="90"/>
    </row>
    <row r="33" spans="1:6" s="78" customFormat="1" ht="14.25">
      <c r="A33" s="85"/>
      <c r="B33" s="85">
        <v>43</v>
      </c>
      <c r="C33" s="82" t="s">
        <v>403</v>
      </c>
      <c r="D33" s="83"/>
      <c r="E33" s="99">
        <v>0</v>
      </c>
      <c r="F33" s="90"/>
    </row>
    <row r="34" spans="1:6" s="78" customFormat="1" ht="16.5">
      <c r="A34" s="85"/>
      <c r="B34" s="85">
        <v>49</v>
      </c>
      <c r="C34" s="82" t="s">
        <v>168</v>
      </c>
      <c r="D34" s="83"/>
      <c r="E34" s="101">
        <v>1277251.4099999999</v>
      </c>
      <c r="F34" s="90"/>
    </row>
    <row r="35" spans="1:6" s="78" customFormat="1" ht="15">
      <c r="A35" s="92" t="s">
        <v>404</v>
      </c>
      <c r="B35" s="85"/>
      <c r="C35" s="82"/>
      <c r="D35" s="85"/>
      <c r="E35" s="93"/>
      <c r="F35" s="102">
        <f>SUM(E22:E34)</f>
        <v>2997573.76</v>
      </c>
    </row>
    <row r="36" spans="1:6" s="78" customFormat="1" ht="4.5" customHeight="1">
      <c r="A36" s="95"/>
      <c r="B36" s="95"/>
      <c r="D36" s="96"/>
      <c r="E36" s="93"/>
      <c r="F36" s="93"/>
    </row>
    <row r="37" spans="1:6" s="78" customFormat="1" ht="15">
      <c r="A37" s="81" t="s">
        <v>405</v>
      </c>
      <c r="B37" s="82"/>
      <c r="C37" s="82"/>
      <c r="D37" s="83"/>
      <c r="E37" s="93"/>
      <c r="F37" s="97"/>
    </row>
    <row r="38" spans="1:6" s="78" customFormat="1" ht="14.25">
      <c r="A38" s="85"/>
      <c r="B38" s="85">
        <v>51</v>
      </c>
      <c r="C38" s="82" t="s">
        <v>406</v>
      </c>
      <c r="D38" s="83"/>
      <c r="E38" s="98">
        <v>1289848.1599999999</v>
      </c>
      <c r="F38" s="90"/>
    </row>
    <row r="39" spans="1:6" s="78" customFormat="1" ht="14.25">
      <c r="A39" s="85"/>
      <c r="B39" s="85">
        <v>53</v>
      </c>
      <c r="C39" s="82" t="s">
        <v>407</v>
      </c>
      <c r="D39" s="83"/>
      <c r="E39" s="99">
        <v>177590.17</v>
      </c>
      <c r="F39" s="90"/>
    </row>
    <row r="40" spans="1:6" s="78" customFormat="1" ht="14.25">
      <c r="A40" s="85"/>
      <c r="B40" s="85">
        <v>54</v>
      </c>
      <c r="C40" s="82" t="s">
        <v>156</v>
      </c>
      <c r="D40" s="83"/>
      <c r="E40" s="99">
        <v>0</v>
      </c>
      <c r="F40" s="90"/>
    </row>
    <row r="41" spans="1:6" s="78" customFormat="1" ht="14.25">
      <c r="A41" s="85"/>
      <c r="B41" s="85">
        <v>58</v>
      </c>
      <c r="C41" s="82" t="s">
        <v>103</v>
      </c>
      <c r="D41" s="83"/>
      <c r="E41" s="99">
        <v>-297.77999999999997</v>
      </c>
      <c r="F41" s="90"/>
    </row>
    <row r="42" spans="1:6" s="78" customFormat="1" ht="14.25">
      <c r="A42" s="85"/>
      <c r="B42" s="85">
        <v>60</v>
      </c>
      <c r="C42" s="82" t="s">
        <v>408</v>
      </c>
      <c r="D42" s="83"/>
      <c r="E42" s="99">
        <v>0</v>
      </c>
      <c r="F42" s="90"/>
    </row>
    <row r="43" spans="1:6" s="78" customFormat="1" ht="14.25">
      <c r="A43" s="85"/>
      <c r="B43" s="85">
        <v>61</v>
      </c>
      <c r="C43" s="82" t="s">
        <v>158</v>
      </c>
      <c r="D43" s="83"/>
      <c r="E43" s="99">
        <v>0</v>
      </c>
      <c r="F43" s="90"/>
    </row>
    <row r="44" spans="1:6" s="78" customFormat="1" ht="14.25">
      <c r="A44" s="85"/>
      <c r="B44" s="85">
        <v>62</v>
      </c>
      <c r="C44" s="82" t="s">
        <v>409</v>
      </c>
      <c r="D44" s="83"/>
      <c r="E44" s="99">
        <v>0</v>
      </c>
      <c r="F44" s="90"/>
    </row>
    <row r="45" spans="1:6" s="78" customFormat="1" ht="14.25">
      <c r="A45" s="85"/>
      <c r="B45" s="85">
        <v>63</v>
      </c>
      <c r="C45" s="82" t="s">
        <v>160</v>
      </c>
      <c r="D45" s="83"/>
      <c r="E45" s="99">
        <v>0</v>
      </c>
      <c r="F45" s="90"/>
    </row>
    <row r="46" spans="1:6" s="78" customFormat="1" ht="14.25">
      <c r="A46" s="85"/>
      <c r="B46" s="85">
        <v>67</v>
      </c>
      <c r="C46" s="82" t="s">
        <v>410</v>
      </c>
      <c r="D46" s="83"/>
      <c r="E46" s="99">
        <v>0</v>
      </c>
      <c r="F46" s="90"/>
    </row>
    <row r="47" spans="1:6" s="78" customFormat="1" ht="14.25">
      <c r="A47" s="85"/>
      <c r="B47" s="85">
        <v>68</v>
      </c>
      <c r="C47" s="82" t="s">
        <v>411</v>
      </c>
      <c r="D47" s="83"/>
      <c r="E47" s="99">
        <v>0</v>
      </c>
      <c r="F47" s="90"/>
    </row>
    <row r="48" spans="1:6" s="78" customFormat="1" ht="16.5">
      <c r="A48" s="85"/>
      <c r="B48" s="85">
        <v>69</v>
      </c>
      <c r="C48" s="82" t="s">
        <v>412</v>
      </c>
      <c r="D48" s="83"/>
      <c r="E48" s="101">
        <v>693975.47</v>
      </c>
      <c r="F48" s="90"/>
    </row>
    <row r="49" spans="1:8" ht="15">
      <c r="A49" s="92" t="s">
        <v>413</v>
      </c>
      <c r="B49" s="85"/>
      <c r="C49" s="82"/>
      <c r="D49" s="85"/>
      <c r="F49" s="102">
        <f>SUM(E38:E48)</f>
        <v>2161116.0199999996</v>
      </c>
    </row>
    <row r="50" spans="1:8" ht="3.75" customHeight="1">
      <c r="F50" s="93"/>
    </row>
    <row r="51" spans="1:8" ht="15">
      <c r="A51" s="81" t="s">
        <v>414</v>
      </c>
      <c r="B51" s="82"/>
      <c r="C51" s="82"/>
      <c r="D51" s="83"/>
      <c r="F51" s="97"/>
    </row>
    <row r="52" spans="1:8" ht="14.25">
      <c r="A52" s="85"/>
      <c r="B52" s="85">
        <v>71</v>
      </c>
      <c r="C52" s="82" t="s">
        <v>415</v>
      </c>
      <c r="D52" s="83"/>
      <c r="E52" s="98">
        <v>2331711.73</v>
      </c>
      <c r="F52" s="90"/>
    </row>
    <row r="53" spans="1:8" ht="14.25">
      <c r="A53" s="85"/>
      <c r="B53" s="85">
        <v>72</v>
      </c>
      <c r="C53" s="82" t="s">
        <v>416</v>
      </c>
      <c r="D53" s="83"/>
      <c r="E53" s="99">
        <v>0</v>
      </c>
      <c r="F53" s="90"/>
    </row>
    <row r="54" spans="1:8" ht="16.5">
      <c r="A54" s="85"/>
      <c r="B54" s="85">
        <v>73</v>
      </c>
      <c r="C54" s="82" t="s">
        <v>417</v>
      </c>
      <c r="D54" s="83"/>
      <c r="E54" s="101">
        <v>84311.84</v>
      </c>
      <c r="F54" s="90"/>
    </row>
    <row r="55" spans="1:8" ht="15">
      <c r="A55" s="92" t="s">
        <v>418</v>
      </c>
      <c r="B55" s="85"/>
      <c r="C55" s="82"/>
      <c r="D55" s="83"/>
      <c r="F55" s="102">
        <f>SUM(E52:E54)</f>
        <v>2416023.5699999998</v>
      </c>
    </row>
    <row r="56" spans="1:8" ht="6" customHeight="1">
      <c r="F56" s="93"/>
    </row>
    <row r="57" spans="1:8" ht="15">
      <c r="A57" s="81" t="s">
        <v>419</v>
      </c>
      <c r="B57" s="82"/>
      <c r="C57" s="82"/>
      <c r="D57" s="83"/>
      <c r="F57" s="97"/>
    </row>
    <row r="58" spans="1:8" ht="14.25">
      <c r="A58" s="85"/>
      <c r="B58" s="85">
        <v>81</v>
      </c>
      <c r="C58" s="82" t="s">
        <v>415</v>
      </c>
      <c r="D58" s="83"/>
      <c r="E58" s="98">
        <v>8866369.7200000007</v>
      </c>
      <c r="F58" s="90"/>
    </row>
    <row r="59" spans="1:8" ht="14.25">
      <c r="A59" s="85"/>
      <c r="B59" s="85">
        <v>82</v>
      </c>
      <c r="C59" s="82" t="s">
        <v>416</v>
      </c>
      <c r="D59" s="83"/>
      <c r="E59" s="99">
        <v>0</v>
      </c>
      <c r="F59" s="90"/>
    </row>
    <row r="60" spans="1:8" ht="16.5">
      <c r="A60" s="85"/>
      <c r="B60" s="85">
        <v>83</v>
      </c>
      <c r="C60" s="82" t="s">
        <v>417</v>
      </c>
      <c r="D60" s="83"/>
      <c r="E60" s="101">
        <v>1426529.57</v>
      </c>
      <c r="F60" s="90"/>
    </row>
    <row r="61" spans="1:8" ht="15">
      <c r="A61" s="92" t="s">
        <v>420</v>
      </c>
      <c r="B61" s="85"/>
      <c r="C61" s="82"/>
      <c r="D61" s="83"/>
      <c r="F61" s="102">
        <f>SUM(E58:E60)</f>
        <v>10292899.290000001</v>
      </c>
    </row>
    <row r="62" spans="1:8" ht="5.25" customHeight="1">
      <c r="F62" s="93"/>
    </row>
    <row r="63" spans="1:8" ht="15">
      <c r="A63" s="81" t="s">
        <v>421</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422</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565</v>
      </c>
      <c r="D68" s="97"/>
      <c r="E68" s="101">
        <v>8776</v>
      </c>
      <c r="F68" s="90"/>
      <c r="H68" s="100"/>
    </row>
    <row r="69" spans="1:8" ht="16.5">
      <c r="A69" s="92" t="s">
        <v>423</v>
      </c>
      <c r="B69" s="85"/>
      <c r="C69" s="82"/>
      <c r="D69" s="85"/>
      <c r="F69" s="101">
        <f>SUM(E64:E68)</f>
        <v>8776</v>
      </c>
    </row>
    <row r="70" spans="1:8" ht="16.5">
      <c r="A70" s="92" t="s">
        <v>424</v>
      </c>
      <c r="B70" s="85"/>
      <c r="C70" s="82"/>
      <c r="D70" s="83"/>
      <c r="F70" s="103">
        <f>+F19+F35+F49+F55+F61+F69</f>
        <v>18686102.84</v>
      </c>
    </row>
    <row r="71" spans="1:8" ht="1.5" customHeight="1">
      <c r="A71" s="78"/>
      <c r="B71" s="78"/>
      <c r="D71" s="78"/>
      <c r="E71" s="84"/>
    </row>
    <row r="72" spans="1:8" ht="1.5" customHeight="1"/>
    <row r="73" spans="1:8" s="104" customFormat="1">
      <c r="A73" s="104" t="s">
        <v>577</v>
      </c>
      <c r="E73" s="105"/>
      <c r="F73" s="106" t="s">
        <v>557</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40" zoomScaleNormal="100" zoomScaleSheetLayoutView="75" workbookViewId="0">
      <selection activeCell="D54" sqref="D54"/>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3.5703125" style="117" customWidth="1"/>
    <col min="7" max="7" width="12.85546875" style="117" bestFit="1" customWidth="1"/>
    <col min="8" max="8" width="12.85546875" style="117" customWidth="1"/>
    <col min="9" max="9" width="13.7109375" style="117" customWidth="1"/>
    <col min="10" max="10" width="15.140625" style="117" customWidth="1"/>
    <col min="11" max="11" width="12.85546875" style="117" bestFit="1" customWidth="1"/>
    <col min="12" max="12" width="15.7109375" style="117" bestFit="1" customWidth="1"/>
    <col min="13" max="13" width="16.85546875" style="83" bestFit="1" customWidth="1"/>
    <col min="14" max="14" width="12" style="117" customWidth="1"/>
    <col min="15" max="16" width="12" style="104" customWidth="1"/>
    <col min="17" max="16384" width="11.42578125" style="104"/>
  </cols>
  <sheetData>
    <row r="1" spans="1:14" ht="15">
      <c r="A1" s="108" t="str">
        <f>'CERTIFICATION-COVER'!A4:G4</f>
        <v>Educational Service District #171</v>
      </c>
      <c r="B1" s="76"/>
      <c r="C1" s="76"/>
      <c r="D1" s="76"/>
      <c r="E1" s="76"/>
      <c r="F1" s="77"/>
      <c r="G1" s="77"/>
      <c r="H1" s="77"/>
      <c r="I1" s="77"/>
      <c r="J1" s="77"/>
      <c r="K1" s="76"/>
      <c r="L1" s="109"/>
      <c r="M1" s="76"/>
      <c r="N1" s="104"/>
    </row>
    <row r="2" spans="1:14" ht="15">
      <c r="A2" s="110" t="s">
        <v>425</v>
      </c>
      <c r="B2" s="76"/>
      <c r="C2" s="111"/>
      <c r="D2" s="79"/>
      <c r="E2" s="76"/>
      <c r="F2" s="77"/>
      <c r="G2" s="112"/>
      <c r="H2" s="80"/>
      <c r="I2" s="77"/>
      <c r="J2" s="80"/>
      <c r="K2" s="76"/>
      <c r="L2" s="113"/>
      <c r="M2" s="76"/>
      <c r="N2" s="104"/>
    </row>
    <row r="3" spans="1:14" ht="15">
      <c r="A3" s="110" t="s">
        <v>553</v>
      </c>
      <c r="B3" s="76"/>
      <c r="C3" s="111"/>
      <c r="D3" s="79"/>
      <c r="E3" s="76"/>
      <c r="F3" s="77"/>
      <c r="G3" s="112"/>
      <c r="H3" s="80"/>
      <c r="I3" s="77"/>
      <c r="J3" s="114"/>
      <c r="K3" s="76"/>
      <c r="L3" s="113"/>
      <c r="M3" s="76"/>
      <c r="N3" s="104"/>
    </row>
    <row r="4" spans="1:14" ht="15">
      <c r="A4" s="110" t="str">
        <f>REVENUE!A4</f>
        <v>FOR THE FISCAL YEAR ENDED AUGUST 31, 2019</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426</v>
      </c>
      <c r="C6" s="92"/>
      <c r="D6" s="82"/>
      <c r="E6" s="83"/>
      <c r="F6" s="83"/>
      <c r="G6" s="92"/>
      <c r="H6" s="92" t="s">
        <v>427</v>
      </c>
      <c r="I6" s="82"/>
      <c r="J6" s="82"/>
      <c r="K6" s="83"/>
      <c r="L6" s="82"/>
      <c r="M6" s="82"/>
      <c r="N6" s="104"/>
    </row>
    <row r="7" spans="1:14" ht="15">
      <c r="A7" s="82"/>
      <c r="B7" s="92" t="s">
        <v>428</v>
      </c>
      <c r="C7" s="82"/>
      <c r="D7" s="82"/>
      <c r="E7" s="83"/>
      <c r="F7" s="83"/>
      <c r="G7" s="115"/>
      <c r="H7" s="115">
        <v>11</v>
      </c>
      <c r="I7" s="175" t="s">
        <v>169</v>
      </c>
      <c r="J7" s="82"/>
      <c r="K7" s="83"/>
      <c r="L7" s="94">
        <f t="shared" ref="L7:L22" si="0">D71</f>
        <v>51344.34</v>
      </c>
      <c r="M7" s="82"/>
      <c r="N7" s="104"/>
    </row>
    <row r="8" spans="1:14">
      <c r="A8" s="82"/>
      <c r="B8" s="118" t="s">
        <v>429</v>
      </c>
      <c r="C8" s="175" t="s">
        <v>430</v>
      </c>
      <c r="D8" s="94">
        <f>D119</f>
        <v>1935861.2799999998</v>
      </c>
      <c r="E8" s="83"/>
      <c r="F8" s="83"/>
      <c r="G8" s="115"/>
      <c r="H8" s="115">
        <v>12</v>
      </c>
      <c r="I8" s="175" t="s">
        <v>170</v>
      </c>
      <c r="J8" s="82"/>
      <c r="K8" s="83"/>
      <c r="L8" s="102">
        <f t="shared" si="0"/>
        <v>496663.14999999997</v>
      </c>
      <c r="M8" s="82"/>
      <c r="N8" s="104"/>
    </row>
    <row r="9" spans="1:14" ht="16.5">
      <c r="A9" s="82"/>
      <c r="B9" s="118" t="s">
        <v>431</v>
      </c>
      <c r="C9" s="175" t="s">
        <v>432</v>
      </c>
      <c r="D9" s="160">
        <f>D135</f>
        <v>-60402.170000000158</v>
      </c>
      <c r="E9" s="82"/>
      <c r="F9" s="82"/>
      <c r="G9" s="82"/>
      <c r="H9" s="115">
        <v>13</v>
      </c>
      <c r="I9" s="175" t="s">
        <v>171</v>
      </c>
      <c r="J9" s="82"/>
      <c r="K9" s="83"/>
      <c r="L9" s="102">
        <f t="shared" si="0"/>
        <v>915831.07000000007</v>
      </c>
      <c r="M9" s="82"/>
      <c r="N9" s="104"/>
    </row>
    <row r="10" spans="1:14" ht="15">
      <c r="A10" s="82"/>
      <c r="B10" s="81" t="s">
        <v>433</v>
      </c>
      <c r="C10" s="178"/>
      <c r="D10" s="83"/>
      <c r="E10" s="120">
        <f>SUM(D8:D9)</f>
        <v>1875459.1099999996</v>
      </c>
      <c r="F10" s="82"/>
      <c r="G10" s="82"/>
      <c r="H10" s="115">
        <v>14</v>
      </c>
      <c r="I10" s="175" t="s">
        <v>172</v>
      </c>
      <c r="J10" s="82"/>
      <c r="K10" s="83"/>
      <c r="L10" s="102">
        <f t="shared" si="0"/>
        <v>202874.18</v>
      </c>
      <c r="M10" s="82"/>
      <c r="N10" s="104"/>
    </row>
    <row r="11" spans="1:14" ht="15">
      <c r="A11" s="82"/>
      <c r="B11" s="81" t="s">
        <v>434</v>
      </c>
      <c r="C11" s="175"/>
      <c r="D11" s="83"/>
      <c r="E11" s="82"/>
      <c r="F11" s="82"/>
      <c r="G11" s="82"/>
      <c r="H11" s="115">
        <v>15</v>
      </c>
      <c r="I11" s="175" t="s">
        <v>143</v>
      </c>
      <c r="J11" s="82"/>
      <c r="K11" s="83"/>
      <c r="L11" s="102">
        <f t="shared" si="0"/>
        <v>117011.39</v>
      </c>
      <c r="M11" s="82"/>
      <c r="N11" s="104"/>
    </row>
    <row r="12" spans="1:14">
      <c r="A12" s="82"/>
      <c r="B12" s="115">
        <v>10</v>
      </c>
      <c r="C12" s="175" t="s">
        <v>173</v>
      </c>
      <c r="D12" s="94">
        <f>D149</f>
        <v>44515.729999999996</v>
      </c>
      <c r="E12" s="83"/>
      <c r="F12" s="121"/>
      <c r="G12" s="115"/>
      <c r="H12" s="115">
        <v>16</v>
      </c>
      <c r="I12" s="175" t="s">
        <v>435</v>
      </c>
      <c r="J12" s="82"/>
      <c r="K12" s="83"/>
      <c r="L12" s="102">
        <f t="shared" si="0"/>
        <v>0.15</v>
      </c>
      <c r="M12" s="82"/>
      <c r="N12" s="104"/>
    </row>
    <row r="13" spans="1:14">
      <c r="A13" s="82"/>
      <c r="B13" s="115">
        <v>12</v>
      </c>
      <c r="C13" s="175" t="s">
        <v>164</v>
      </c>
      <c r="D13" s="102">
        <f>D164</f>
        <v>3697318.3000000003</v>
      </c>
      <c r="E13" s="83"/>
      <c r="F13" s="121"/>
      <c r="G13" s="115"/>
      <c r="H13" s="115">
        <v>17</v>
      </c>
      <c r="I13" s="175" t="s">
        <v>176</v>
      </c>
      <c r="J13" s="82"/>
      <c r="K13" s="83"/>
      <c r="L13" s="102">
        <f t="shared" si="0"/>
        <v>599.5</v>
      </c>
      <c r="M13" s="82"/>
      <c r="N13" s="104"/>
    </row>
    <row r="14" spans="1:14" ht="15">
      <c r="A14" s="82"/>
      <c r="B14" s="115">
        <v>13</v>
      </c>
      <c r="C14" s="175" t="s">
        <v>578</v>
      </c>
      <c r="D14" s="102">
        <f>D178</f>
        <v>0</v>
      </c>
      <c r="F14" s="166"/>
      <c r="G14" s="115"/>
      <c r="H14" s="158">
        <v>20</v>
      </c>
      <c r="I14" s="133" t="s">
        <v>701</v>
      </c>
      <c r="J14" s="82"/>
      <c r="K14" s="83"/>
      <c r="L14" s="102">
        <f t="shared" si="0"/>
        <v>0</v>
      </c>
      <c r="M14" s="82"/>
      <c r="N14" s="104"/>
    </row>
    <row r="15" spans="1:14">
      <c r="A15" s="82"/>
      <c r="B15" s="115">
        <v>16</v>
      </c>
      <c r="C15" s="175" t="s">
        <v>175</v>
      </c>
      <c r="D15" s="102">
        <f>D192</f>
        <v>1139550.72</v>
      </c>
      <c r="E15" s="83"/>
      <c r="F15" s="121"/>
      <c r="G15" s="115"/>
      <c r="H15" s="158">
        <v>21</v>
      </c>
      <c r="I15" s="133" t="s">
        <v>175</v>
      </c>
      <c r="J15" s="82"/>
      <c r="K15" s="83"/>
      <c r="L15" s="102">
        <f t="shared" si="0"/>
        <v>5166975.16</v>
      </c>
      <c r="M15" s="82"/>
      <c r="N15" s="104"/>
    </row>
    <row r="16" spans="1:14">
      <c r="A16" s="82"/>
      <c r="B16" s="115">
        <v>18</v>
      </c>
      <c r="C16" s="175" t="s">
        <v>177</v>
      </c>
      <c r="D16" s="102">
        <f>D207</f>
        <v>10243.369999999999</v>
      </c>
      <c r="E16" s="83"/>
      <c r="F16" s="121"/>
      <c r="G16" s="115"/>
      <c r="H16" s="158">
        <v>22</v>
      </c>
      <c r="I16" s="133" t="s">
        <v>179</v>
      </c>
      <c r="J16" s="82"/>
      <c r="K16" s="83"/>
      <c r="L16" s="102">
        <f t="shared" si="0"/>
        <v>0</v>
      </c>
      <c r="M16" s="82"/>
      <c r="N16" s="104"/>
    </row>
    <row r="17" spans="1:14">
      <c r="A17" s="82"/>
      <c r="B17" s="115">
        <v>19</v>
      </c>
      <c r="C17" s="175" t="s">
        <v>436</v>
      </c>
      <c r="D17" s="102">
        <f>D222</f>
        <v>2455612.2799999998</v>
      </c>
      <c r="E17" s="83"/>
      <c r="F17" s="121"/>
      <c r="G17" s="115"/>
      <c r="H17" s="158">
        <v>23</v>
      </c>
      <c r="I17" s="133" t="s">
        <v>180</v>
      </c>
      <c r="J17" s="82"/>
      <c r="K17" s="83"/>
      <c r="L17" s="102">
        <f t="shared" si="0"/>
        <v>36060.1</v>
      </c>
      <c r="M17" s="82"/>
      <c r="N17" s="104"/>
    </row>
    <row r="18" spans="1:14">
      <c r="A18" s="82"/>
      <c r="B18" s="115">
        <v>20</v>
      </c>
      <c r="C18" s="175" t="s">
        <v>102</v>
      </c>
      <c r="D18" s="102">
        <f>D236</f>
        <v>348025.26</v>
      </c>
      <c r="E18" s="83"/>
      <c r="F18" s="121"/>
      <c r="G18" s="115"/>
      <c r="H18" s="158">
        <v>26</v>
      </c>
      <c r="I18" s="133" t="s">
        <v>702</v>
      </c>
      <c r="J18" s="82"/>
      <c r="K18" s="83"/>
      <c r="L18" s="102">
        <f t="shared" si="0"/>
        <v>0</v>
      </c>
      <c r="M18" s="82"/>
      <c r="N18" s="104"/>
    </row>
    <row r="19" spans="1:14">
      <c r="A19" s="82"/>
      <c r="B19" s="115">
        <v>21</v>
      </c>
      <c r="C19" s="175" t="s">
        <v>579</v>
      </c>
      <c r="D19" s="102">
        <f>D250</f>
        <v>0</v>
      </c>
      <c r="F19" s="121"/>
      <c r="G19" s="115"/>
      <c r="H19" s="158">
        <v>27</v>
      </c>
      <c r="I19" s="133" t="s">
        <v>182</v>
      </c>
      <c r="J19" s="82"/>
      <c r="K19" s="83"/>
      <c r="L19" s="102">
        <f t="shared" si="0"/>
        <v>2568903.7500000005</v>
      </c>
      <c r="M19" s="82"/>
      <c r="N19" s="104"/>
    </row>
    <row r="20" spans="1:14">
      <c r="A20" s="82"/>
      <c r="B20" s="115">
        <v>22</v>
      </c>
      <c r="C20" s="175" t="s">
        <v>181</v>
      </c>
      <c r="D20" s="102">
        <f>D264</f>
        <v>0</v>
      </c>
      <c r="E20" s="83"/>
      <c r="F20" s="121"/>
      <c r="G20" s="115"/>
      <c r="H20" s="158">
        <v>41</v>
      </c>
      <c r="I20" s="133" t="s">
        <v>703</v>
      </c>
      <c r="J20" s="82"/>
      <c r="K20" s="83"/>
      <c r="L20" s="102">
        <f t="shared" si="0"/>
        <v>0</v>
      </c>
      <c r="M20" s="82"/>
      <c r="N20" s="104"/>
    </row>
    <row r="21" spans="1:14">
      <c r="A21" s="82"/>
      <c r="B21" s="115">
        <v>23</v>
      </c>
      <c r="C21" s="175" t="s">
        <v>580</v>
      </c>
      <c r="D21" s="102">
        <f>D278</f>
        <v>1218185.23</v>
      </c>
      <c r="F21" s="121"/>
      <c r="G21" s="115"/>
      <c r="H21" s="158">
        <v>42</v>
      </c>
      <c r="I21" s="133" t="s">
        <v>704</v>
      </c>
      <c r="J21" s="82"/>
      <c r="K21" s="83"/>
      <c r="L21" s="102">
        <f t="shared" si="0"/>
        <v>0</v>
      </c>
      <c r="M21" s="82"/>
      <c r="N21" s="104"/>
    </row>
    <row r="22" spans="1:14">
      <c r="A22" s="82"/>
      <c r="B22" s="115">
        <v>24</v>
      </c>
      <c r="C22" s="175" t="s">
        <v>103</v>
      </c>
      <c r="D22" s="102">
        <f>D292</f>
        <v>1954629.54</v>
      </c>
      <c r="E22" s="83"/>
      <c r="F22" s="121"/>
      <c r="G22" s="115"/>
      <c r="H22" s="158">
        <v>44</v>
      </c>
      <c r="I22" s="133" t="s">
        <v>705</v>
      </c>
      <c r="J22" s="82"/>
      <c r="K22" s="83"/>
      <c r="L22" s="102">
        <f t="shared" si="0"/>
        <v>0</v>
      </c>
      <c r="M22" s="82"/>
      <c r="N22" s="104"/>
    </row>
    <row r="23" spans="1:14">
      <c r="A23" s="82"/>
      <c r="B23" s="115">
        <v>25</v>
      </c>
      <c r="C23" s="175" t="s">
        <v>183</v>
      </c>
      <c r="D23" s="102">
        <f>D306</f>
        <v>0</v>
      </c>
      <c r="E23" s="83"/>
      <c r="F23" s="121"/>
      <c r="G23" s="115"/>
      <c r="H23" s="158">
        <v>51</v>
      </c>
      <c r="I23" s="175" t="s">
        <v>437</v>
      </c>
      <c r="J23" s="82"/>
      <c r="K23" s="83"/>
      <c r="L23" s="102">
        <f t="shared" ref="L23:L36" si="1">D87</f>
        <v>0</v>
      </c>
      <c r="M23" s="82"/>
      <c r="N23" s="104"/>
    </row>
    <row r="24" spans="1:14">
      <c r="A24" s="82"/>
      <c r="B24" s="115">
        <v>26</v>
      </c>
      <c r="C24" s="175" t="s">
        <v>438</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9860.4499999999989</v>
      </c>
      <c r="E27" s="83"/>
      <c r="F27" s="121"/>
      <c r="G27" s="115"/>
      <c r="H27" s="158">
        <v>59</v>
      </c>
      <c r="I27" s="175" t="s">
        <v>439</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663034.39</v>
      </c>
      <c r="M28" s="82"/>
      <c r="N28" s="104"/>
    </row>
    <row r="29" spans="1:14" ht="14.25" customHeight="1">
      <c r="A29" s="82"/>
      <c r="B29" s="115">
        <v>34</v>
      </c>
      <c r="C29" s="175" t="s">
        <v>167</v>
      </c>
      <c r="D29" s="102">
        <f>D396</f>
        <v>25511.29</v>
      </c>
      <c r="E29" s="83"/>
      <c r="F29" s="121"/>
      <c r="G29" s="115"/>
      <c r="H29" s="158">
        <v>72</v>
      </c>
      <c r="I29" s="175" t="s">
        <v>700</v>
      </c>
      <c r="J29" s="82"/>
      <c r="K29" s="83"/>
      <c r="L29" s="102">
        <f t="shared" si="1"/>
        <v>0</v>
      </c>
      <c r="M29" s="82"/>
      <c r="N29" s="104"/>
    </row>
    <row r="30" spans="1:14" ht="14.25" customHeight="1">
      <c r="A30" s="82"/>
      <c r="B30" s="115">
        <v>36</v>
      </c>
      <c r="C30" s="179" t="s">
        <v>120</v>
      </c>
      <c r="D30" s="102">
        <f>D410</f>
        <v>519753.14999999997</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107744.37</v>
      </c>
      <c r="M31" s="82"/>
      <c r="N31" s="104"/>
    </row>
    <row r="32" spans="1:14" ht="14.25" customHeight="1">
      <c r="A32" s="82"/>
      <c r="B32" s="155">
        <v>40</v>
      </c>
      <c r="C32" s="179" t="s">
        <v>123</v>
      </c>
      <c r="D32" s="102">
        <f>D438</f>
        <v>0</v>
      </c>
      <c r="E32" s="83"/>
      <c r="F32" s="121"/>
      <c r="G32" s="115"/>
      <c r="H32" s="115">
        <v>83</v>
      </c>
      <c r="I32" s="175" t="s">
        <v>440</v>
      </c>
      <c r="J32" s="82"/>
      <c r="K32" s="83"/>
      <c r="L32" s="102">
        <f t="shared" si="1"/>
        <v>138856.97</v>
      </c>
      <c r="M32" s="82"/>
      <c r="N32" s="104"/>
    </row>
    <row r="33" spans="1:14" ht="14.25" customHeight="1">
      <c r="A33" s="82"/>
      <c r="B33" s="155">
        <v>42</v>
      </c>
      <c r="C33" s="179" t="s">
        <v>125</v>
      </c>
      <c r="D33" s="102">
        <f>D452</f>
        <v>0</v>
      </c>
      <c r="E33" s="83"/>
      <c r="F33" s="121"/>
      <c r="G33" s="115"/>
      <c r="H33" s="115">
        <v>84</v>
      </c>
      <c r="I33" s="175" t="s">
        <v>441</v>
      </c>
      <c r="J33" s="82"/>
      <c r="K33" s="83"/>
      <c r="L33" s="102">
        <f t="shared" si="1"/>
        <v>0</v>
      </c>
      <c r="M33" s="82"/>
      <c r="N33" s="104"/>
    </row>
    <row r="34" spans="1:14" ht="14.25" customHeight="1">
      <c r="A34" s="82"/>
      <c r="B34" s="155">
        <v>43</v>
      </c>
      <c r="C34" s="179" t="s">
        <v>535</v>
      </c>
      <c r="D34" s="102">
        <f>D466</f>
        <v>0</v>
      </c>
      <c r="E34" s="83"/>
      <c r="F34" s="121"/>
      <c r="G34" s="115"/>
      <c r="H34" s="158">
        <v>89</v>
      </c>
      <c r="I34" s="176" t="s">
        <v>563</v>
      </c>
      <c r="J34" s="100"/>
      <c r="K34" s="97"/>
      <c r="L34" s="102">
        <f t="shared" si="1"/>
        <v>131180</v>
      </c>
      <c r="M34" s="82"/>
      <c r="N34" s="104"/>
    </row>
    <row r="35" spans="1:14" ht="14.25" customHeight="1">
      <c r="A35" s="82"/>
      <c r="B35" s="155">
        <v>46</v>
      </c>
      <c r="C35" s="179" t="s">
        <v>105</v>
      </c>
      <c r="D35" s="102">
        <f>D493</f>
        <v>0</v>
      </c>
      <c r="E35" s="83"/>
      <c r="F35" s="121"/>
      <c r="G35" s="115"/>
      <c r="H35" s="115">
        <v>98</v>
      </c>
      <c r="I35" s="175" t="s">
        <v>127</v>
      </c>
      <c r="J35" s="82"/>
      <c r="K35" s="83"/>
      <c r="L35" s="102">
        <f t="shared" si="1"/>
        <v>8038279.5199999986</v>
      </c>
      <c r="M35" s="82"/>
      <c r="N35" s="104"/>
    </row>
    <row r="36" spans="1:14" ht="14.25" customHeight="1">
      <c r="A36" s="82"/>
      <c r="B36" s="115">
        <v>48</v>
      </c>
      <c r="C36" s="175" t="s">
        <v>128</v>
      </c>
      <c r="D36" s="102">
        <f>D507</f>
        <v>0</v>
      </c>
      <c r="E36" s="83"/>
      <c r="F36" s="83"/>
      <c r="G36" s="115"/>
      <c r="H36" s="115">
        <v>99</v>
      </c>
      <c r="I36" s="175" t="s">
        <v>442</v>
      </c>
      <c r="J36" s="82"/>
      <c r="K36" s="83"/>
      <c r="L36" s="160">
        <f t="shared" si="1"/>
        <v>-1201104.6200000001</v>
      </c>
      <c r="M36" s="82"/>
      <c r="N36" s="104"/>
    </row>
    <row r="37" spans="1:14" ht="17.25">
      <c r="A37" s="82"/>
      <c r="B37" s="115">
        <v>51</v>
      </c>
      <c r="C37" s="175" t="s">
        <v>581</v>
      </c>
      <c r="D37" s="102">
        <f>D521</f>
        <v>0</v>
      </c>
      <c r="E37" s="83"/>
      <c r="F37" s="121"/>
      <c r="G37" s="92"/>
      <c r="H37" s="123" t="s">
        <v>443</v>
      </c>
      <c r="I37" s="177"/>
      <c r="J37" s="82"/>
      <c r="K37" s="83"/>
      <c r="L37" s="83"/>
      <c r="M37" s="161">
        <f>SUM(L7:L36)</f>
        <v>17434253.419999998</v>
      </c>
      <c r="N37" s="104"/>
    </row>
    <row r="38" spans="1:14" ht="17.25">
      <c r="A38" s="82"/>
      <c r="B38" s="115">
        <v>52</v>
      </c>
      <c r="C38" s="175" t="s">
        <v>582</v>
      </c>
      <c r="D38" s="102">
        <f>D535</f>
        <v>0</v>
      </c>
      <c r="E38" s="83"/>
      <c r="F38" s="125"/>
      <c r="G38" s="82"/>
      <c r="H38" s="123"/>
      <c r="I38" s="177"/>
      <c r="J38" s="82"/>
      <c r="K38" s="83"/>
      <c r="L38" s="83"/>
      <c r="M38" s="161"/>
      <c r="N38" s="104"/>
    </row>
    <row r="39" spans="1:14">
      <c r="A39" s="82"/>
      <c r="B39" s="115">
        <v>53</v>
      </c>
      <c r="C39" s="175" t="s">
        <v>583</v>
      </c>
      <c r="D39" s="102">
        <f>D549</f>
        <v>0</v>
      </c>
      <c r="E39" s="83"/>
      <c r="F39" s="121"/>
      <c r="G39" s="82"/>
      <c r="H39" s="82"/>
      <c r="I39" s="175"/>
      <c r="J39" s="82"/>
      <c r="K39" s="121"/>
      <c r="L39" s="83"/>
      <c r="M39" s="82"/>
      <c r="N39" s="104"/>
    </row>
    <row r="40" spans="1:14" ht="15">
      <c r="A40" s="82"/>
      <c r="B40" s="115">
        <v>54</v>
      </c>
      <c r="C40" s="175" t="s">
        <v>584</v>
      </c>
      <c r="D40" s="102">
        <f>D564</f>
        <v>323490.57</v>
      </c>
      <c r="E40" s="83"/>
      <c r="F40" s="121"/>
      <c r="G40" s="92"/>
      <c r="H40" s="92" t="s">
        <v>444</v>
      </c>
      <c r="I40" s="175"/>
      <c r="J40" s="82"/>
      <c r="K40" s="121"/>
      <c r="L40" s="83"/>
      <c r="M40" s="82"/>
      <c r="N40" s="104"/>
    </row>
    <row r="41" spans="1:14">
      <c r="A41" s="82"/>
      <c r="B41" s="115">
        <v>58</v>
      </c>
      <c r="C41" s="175" t="s">
        <v>573</v>
      </c>
      <c r="D41" s="102">
        <f>D575</f>
        <v>0</v>
      </c>
      <c r="E41" s="83"/>
      <c r="F41" s="121"/>
      <c r="G41" s="82"/>
      <c r="H41" s="83" t="str">
        <f>"(0)"</f>
        <v>(0)</v>
      </c>
      <c r="I41" s="175" t="s">
        <v>445</v>
      </c>
      <c r="J41" s="82"/>
      <c r="K41" s="83"/>
      <c r="L41" s="94">
        <f>E101</f>
        <v>1145947.1599999999</v>
      </c>
      <c r="M41" s="82"/>
      <c r="N41" s="104"/>
    </row>
    <row r="42" spans="1:14" ht="16.5">
      <c r="A42" s="82"/>
      <c r="B42" s="115">
        <v>59</v>
      </c>
      <c r="C42" s="175" t="s">
        <v>106</v>
      </c>
      <c r="D42" s="160">
        <f>D589</f>
        <v>308430.61</v>
      </c>
      <c r="E42" s="83"/>
      <c r="F42" s="121"/>
      <c r="G42" s="83"/>
      <c r="H42" s="83" t="str">
        <f>"(1)"</f>
        <v>(1)</v>
      </c>
      <c r="I42" s="175" t="s">
        <v>447</v>
      </c>
      <c r="J42" s="82"/>
      <c r="K42" s="83"/>
      <c r="L42" s="102">
        <f>F101</f>
        <v>-1201104.6200000001</v>
      </c>
      <c r="N42" s="104"/>
    </row>
    <row r="43" spans="1:14" ht="15">
      <c r="A43" s="82"/>
      <c r="B43" s="123" t="s">
        <v>446</v>
      </c>
      <c r="C43" s="175"/>
      <c r="D43" s="83"/>
      <c r="E43" s="102">
        <f>SUM(D12:D42)</f>
        <v>12055126.499999998</v>
      </c>
      <c r="F43" s="121"/>
      <c r="G43" s="83"/>
      <c r="H43" s="83" t="str">
        <f>"(2)"</f>
        <v>(2)</v>
      </c>
      <c r="I43" s="175" t="s">
        <v>448</v>
      </c>
      <c r="J43" s="82"/>
      <c r="K43" s="83"/>
      <c r="L43" s="102">
        <f>G101</f>
        <v>2665755.3899999997</v>
      </c>
      <c r="M43" s="82"/>
      <c r="N43" s="104"/>
    </row>
    <row r="44" spans="1:14">
      <c r="A44" s="82"/>
      <c r="B44" s="115"/>
      <c r="C44" s="175"/>
      <c r="D44" s="121"/>
      <c r="E44" s="83"/>
      <c r="F44" s="121"/>
      <c r="G44" s="83"/>
      <c r="H44" s="83" t="str">
        <f>"(3)"</f>
        <v>(3)</v>
      </c>
      <c r="I44" s="175" t="s">
        <v>450</v>
      </c>
      <c r="J44" s="82"/>
      <c r="K44" s="83"/>
      <c r="L44" s="102">
        <f>H101</f>
        <v>5002360.5299999993</v>
      </c>
      <c r="M44" s="82"/>
      <c r="N44" s="104"/>
    </row>
    <row r="45" spans="1:14" ht="15">
      <c r="A45" s="82"/>
      <c r="B45" s="92" t="s">
        <v>449</v>
      </c>
      <c r="C45" s="175"/>
      <c r="D45" s="121"/>
      <c r="E45" s="83"/>
      <c r="F45" s="121"/>
      <c r="G45" s="83"/>
      <c r="H45" s="83" t="str">
        <f>"(4)"</f>
        <v>(4)</v>
      </c>
      <c r="I45" s="175" t="s">
        <v>452</v>
      </c>
      <c r="J45" s="82"/>
      <c r="K45" s="83"/>
      <c r="L45" s="102">
        <f>I101</f>
        <v>2754227.3200000003</v>
      </c>
      <c r="M45" s="82"/>
      <c r="N45" s="104"/>
    </row>
    <row r="46" spans="1:14">
      <c r="A46" s="82"/>
      <c r="B46" s="115">
        <v>62</v>
      </c>
      <c r="C46" s="175" t="s">
        <v>451</v>
      </c>
      <c r="D46" s="94">
        <f>D601</f>
        <v>0</v>
      </c>
      <c r="E46" s="83"/>
      <c r="F46" s="121"/>
      <c r="G46" s="83"/>
      <c r="H46" s="83" t="str">
        <f>"(5)"</f>
        <v>(5)</v>
      </c>
      <c r="I46" s="175" t="s">
        <v>453</v>
      </c>
      <c r="J46" s="82"/>
      <c r="K46" s="83"/>
      <c r="L46" s="102">
        <f>J101</f>
        <v>1593152.0699999998</v>
      </c>
      <c r="M46" s="82"/>
      <c r="N46" s="104"/>
    </row>
    <row r="47" spans="1:14">
      <c r="A47" s="82"/>
      <c r="B47" s="115">
        <v>64</v>
      </c>
      <c r="C47" s="175" t="s">
        <v>130</v>
      </c>
      <c r="D47" s="102">
        <f>D615</f>
        <v>2010736.44</v>
      </c>
      <c r="E47" s="83"/>
      <c r="F47" s="121"/>
      <c r="G47" s="83"/>
      <c r="H47" s="83" t="s">
        <v>454</v>
      </c>
      <c r="I47" s="175" t="s">
        <v>455</v>
      </c>
      <c r="J47" s="82"/>
      <c r="K47" s="83"/>
      <c r="L47" s="102">
        <f>K101</f>
        <v>4578038.24</v>
      </c>
      <c r="M47" s="82"/>
      <c r="N47" s="104"/>
    </row>
    <row r="48" spans="1:14">
      <c r="A48" s="82"/>
      <c r="B48" s="115">
        <v>66</v>
      </c>
      <c r="C48" s="175" t="s">
        <v>131</v>
      </c>
      <c r="D48" s="102">
        <f>D627</f>
        <v>0</v>
      </c>
      <c r="E48" s="83"/>
      <c r="F48" s="121"/>
      <c r="G48" s="83" t="s">
        <v>191</v>
      </c>
      <c r="H48" s="83" t="s">
        <v>456</v>
      </c>
      <c r="I48" s="175" t="s">
        <v>457</v>
      </c>
      <c r="J48" s="82"/>
      <c r="K48" s="83"/>
      <c r="L48" s="102">
        <f>L101</f>
        <v>673461.05</v>
      </c>
      <c r="M48" s="82"/>
      <c r="N48" s="104"/>
    </row>
    <row r="49" spans="1:14" ht="16.5">
      <c r="A49" s="82"/>
      <c r="B49" s="115">
        <v>68</v>
      </c>
      <c r="C49" s="175" t="s">
        <v>132</v>
      </c>
      <c r="D49" s="102">
        <f>D639</f>
        <v>0</v>
      </c>
      <c r="E49" s="83"/>
      <c r="F49" s="121"/>
      <c r="G49" s="83"/>
      <c r="H49" s="83" t="s">
        <v>458</v>
      </c>
      <c r="I49" s="175" t="s">
        <v>248</v>
      </c>
      <c r="J49" s="82"/>
      <c r="K49" s="83"/>
      <c r="L49" s="160">
        <f>M101</f>
        <v>222416.28</v>
      </c>
      <c r="M49" s="82"/>
      <c r="N49" s="104"/>
    </row>
    <row r="50" spans="1:14" ht="17.25">
      <c r="A50" s="82"/>
      <c r="B50" s="115">
        <v>70</v>
      </c>
      <c r="C50" s="175" t="s">
        <v>133</v>
      </c>
      <c r="D50" s="102">
        <f>D655</f>
        <v>0</v>
      </c>
      <c r="E50" s="83"/>
      <c r="F50" s="121"/>
      <c r="G50" s="83"/>
      <c r="H50" s="92" t="s">
        <v>459</v>
      </c>
      <c r="I50" s="177"/>
      <c r="J50" s="82"/>
      <c r="K50" s="83"/>
      <c r="L50" s="83"/>
      <c r="M50" s="161">
        <f>SUM(L41:L49)</f>
        <v>17434253.420000002</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380337.61999999994</v>
      </c>
      <c r="E52" s="83"/>
      <c r="F52" s="121"/>
      <c r="G52" s="92"/>
      <c r="H52" s="92" t="s">
        <v>461</v>
      </c>
      <c r="I52" s="175"/>
      <c r="J52" s="82"/>
      <c r="K52" s="121"/>
      <c r="L52" s="164"/>
      <c r="M52" s="82"/>
      <c r="N52" s="104"/>
    </row>
    <row r="53" spans="1:14">
      <c r="A53" s="82"/>
      <c r="B53" s="115">
        <v>74</v>
      </c>
      <c r="C53" s="175" t="s">
        <v>460</v>
      </c>
      <c r="D53" s="102">
        <f>D694</f>
        <v>20658.34</v>
      </c>
      <c r="E53" s="83"/>
      <c r="F53" s="83"/>
      <c r="G53" s="82"/>
      <c r="H53" s="82"/>
      <c r="I53" s="175" t="s">
        <v>462</v>
      </c>
      <c r="J53" s="82"/>
      <c r="K53" s="83"/>
      <c r="L53" s="94">
        <f>D130</f>
        <v>138856.97</v>
      </c>
      <c r="M53" s="162"/>
      <c r="N53" s="104"/>
    </row>
    <row r="54" spans="1:14">
      <c r="A54" s="82"/>
      <c r="B54" s="115">
        <v>76</v>
      </c>
      <c r="C54" s="175" t="s">
        <v>135</v>
      </c>
      <c r="D54" s="102">
        <f>D706</f>
        <v>0</v>
      </c>
      <c r="E54" s="83"/>
      <c r="F54" s="121"/>
      <c r="G54" s="82"/>
      <c r="H54" s="82"/>
      <c r="I54" s="175" t="s">
        <v>463</v>
      </c>
      <c r="J54" s="82"/>
      <c r="K54" s="83"/>
      <c r="L54" s="102">
        <f>$D145+$D160+$D188+$D203+$D218+$D232+$D260+$D288+$D302+$D316+$D330+$D344+$D358+$D372+$D392+$D406+$D420+$D434+$D448+$D489+$D503+$D585</f>
        <v>0</v>
      </c>
      <c r="N54" s="104"/>
    </row>
    <row r="55" spans="1:14" ht="16.5">
      <c r="A55" s="82"/>
      <c r="B55" s="115">
        <v>78</v>
      </c>
      <c r="C55" s="175" t="s">
        <v>136</v>
      </c>
      <c r="D55" s="102">
        <f>D718</f>
        <v>131651.18000000002</v>
      </c>
      <c r="E55" s="83"/>
      <c r="F55" s="121"/>
      <c r="G55" s="82"/>
      <c r="H55" s="82"/>
      <c r="I55" s="175" t="s">
        <v>464</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465</v>
      </c>
      <c r="J56" s="82"/>
      <c r="K56" s="83"/>
      <c r="L56" s="83"/>
      <c r="M56" s="94">
        <f>SUM(L53:L55)</f>
        <v>138856.97</v>
      </c>
      <c r="N56" s="104"/>
    </row>
    <row r="57" spans="1:14" ht="15">
      <c r="A57" s="82"/>
      <c r="B57" s="115">
        <v>82</v>
      </c>
      <c r="C57" s="175" t="s">
        <v>138</v>
      </c>
      <c r="D57" s="102">
        <f>D742</f>
        <v>0</v>
      </c>
      <c r="E57" s="83"/>
      <c r="F57" s="121"/>
      <c r="G57" s="82"/>
      <c r="H57" s="92" t="s">
        <v>466</v>
      </c>
      <c r="I57" s="175"/>
      <c r="J57" s="83"/>
      <c r="K57" s="83"/>
      <c r="L57" s="121"/>
      <c r="M57" s="164"/>
      <c r="N57" s="104"/>
    </row>
    <row r="58" spans="1:14">
      <c r="A58" s="82"/>
      <c r="B58" s="115">
        <v>89</v>
      </c>
      <c r="C58" s="175" t="s">
        <v>139</v>
      </c>
      <c r="D58" s="102">
        <f>D756</f>
        <v>960284.23</v>
      </c>
      <c r="E58" s="83"/>
      <c r="F58" s="121"/>
      <c r="G58" s="82"/>
      <c r="H58" s="82"/>
      <c r="I58" s="175" t="s">
        <v>462</v>
      </c>
      <c r="J58" s="83"/>
      <c r="K58" s="83"/>
      <c r="L58" s="94">
        <f>M119+M135</f>
        <v>222416.28</v>
      </c>
      <c r="M58" s="162"/>
      <c r="N58" s="104"/>
    </row>
    <row r="59" spans="1:14" ht="16.5">
      <c r="A59" s="82"/>
      <c r="B59" s="115">
        <v>99</v>
      </c>
      <c r="C59" s="175" t="s">
        <v>140</v>
      </c>
      <c r="D59" s="160">
        <f>D767</f>
        <v>0</v>
      </c>
      <c r="E59" s="83"/>
      <c r="F59" s="121"/>
      <c r="G59" s="82"/>
      <c r="H59" s="82"/>
      <c r="I59" s="175" t="s">
        <v>463</v>
      </c>
      <c r="J59" s="83"/>
      <c r="K59" s="83"/>
      <c r="L59" s="102">
        <f>$M149+$M164+$M192+$M207+$M222+$M236+$M264+$M292+$M306+$M320+$M334+$M348+$M362+$M376+$M396+$M410+$M424+$M438+$M452+$M493+$M507+$M589</f>
        <v>0</v>
      </c>
      <c r="M59" s="164"/>
      <c r="N59" s="104"/>
    </row>
    <row r="60" spans="1:14" ht="16.5">
      <c r="A60" s="82"/>
      <c r="B60" s="92" t="s">
        <v>467</v>
      </c>
      <c r="C60" s="175"/>
      <c r="D60" s="83"/>
      <c r="E60" s="160">
        <f>SUM(D46:D59)</f>
        <v>3503667.81</v>
      </c>
      <c r="F60" s="121"/>
      <c r="G60" s="82"/>
      <c r="H60" s="82"/>
      <c r="I60" s="175" t="s">
        <v>464</v>
      </c>
      <c r="J60" s="83"/>
      <c r="K60" s="83"/>
      <c r="L60" s="160">
        <f>$M601+$M615+$M627+$M639+$M655+$M667+$M682+$M694+$M706+$M718+$M730+$M742+$M767+$M756</f>
        <v>0</v>
      </c>
      <c r="M60" s="164"/>
      <c r="N60" s="104"/>
    </row>
    <row r="61" spans="1:14" ht="17.25">
      <c r="A61" s="82"/>
      <c r="B61" s="81" t="s">
        <v>468</v>
      </c>
      <c r="C61" s="175"/>
      <c r="D61" s="83"/>
      <c r="E61" s="161">
        <f>E10+E43+E60</f>
        <v>17434253.419999998</v>
      </c>
      <c r="F61" s="121"/>
      <c r="G61" s="82"/>
      <c r="H61" s="82"/>
      <c r="I61" s="177" t="s">
        <v>469</v>
      </c>
      <c r="J61" s="83"/>
      <c r="K61" s="83"/>
      <c r="L61" s="83"/>
      <c r="M61" s="161">
        <f>SUM(L58:L60)</f>
        <v>222416.28</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470</v>
      </c>
      <c r="D65" s="104"/>
      <c r="E65" s="104"/>
      <c r="F65" s="121"/>
      <c r="G65" s="100"/>
      <c r="H65" s="326" t="s">
        <v>425</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27"/>
      <c r="H67" s="328" t="s">
        <v>444</v>
      </c>
      <c r="I67" s="329"/>
      <c r="J67" s="128"/>
      <c r="K67" s="128"/>
      <c r="L67" s="128"/>
      <c r="M67" s="128"/>
    </row>
    <row r="68" spans="1:14" ht="14.25" customHeight="1">
      <c r="A68" s="124"/>
      <c r="B68" s="130"/>
      <c r="C68" s="124"/>
      <c r="D68" s="128"/>
      <c r="E68" s="129" t="s">
        <v>471</v>
      </c>
      <c r="F68" s="129" t="s">
        <v>472</v>
      </c>
      <c r="G68" s="129" t="s">
        <v>473</v>
      </c>
      <c r="H68" s="129" t="s">
        <v>474</v>
      </c>
      <c r="I68" s="129" t="s">
        <v>475</v>
      </c>
      <c r="J68" s="129" t="s">
        <v>476</v>
      </c>
      <c r="K68" s="129" t="s">
        <v>477</v>
      </c>
      <c r="L68" s="128"/>
      <c r="M68" s="129" t="s">
        <v>478</v>
      </c>
      <c r="N68" s="104"/>
    </row>
    <row r="69" spans="1:14" ht="14.25" customHeight="1">
      <c r="A69" s="124"/>
      <c r="B69" s="130"/>
      <c r="C69" s="131" t="s">
        <v>479</v>
      </c>
      <c r="D69" s="129" t="s">
        <v>480</v>
      </c>
      <c r="E69" s="129" t="s">
        <v>481</v>
      </c>
      <c r="F69" s="129" t="s">
        <v>481</v>
      </c>
      <c r="G69" s="129" t="s">
        <v>482</v>
      </c>
      <c r="H69" s="129" t="s">
        <v>482</v>
      </c>
      <c r="I69" s="129" t="s">
        <v>483</v>
      </c>
      <c r="J69" s="129" t="s">
        <v>484</v>
      </c>
      <c r="K69" s="129" t="s">
        <v>485</v>
      </c>
      <c r="L69" s="129" t="s">
        <v>457</v>
      </c>
      <c r="M69" s="129" t="s">
        <v>486</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51344.34</v>
      </c>
      <c r="E71" s="134">
        <f t="shared" ref="E71" si="2">SUMIF($B$107:$B$766,$B71,E$107:E$766)</f>
        <v>0</v>
      </c>
      <c r="F71" s="135" t="s">
        <v>487</v>
      </c>
      <c r="G71" s="135" t="s">
        <v>487</v>
      </c>
      <c r="H71" s="135" t="s">
        <v>487</v>
      </c>
      <c r="I71" s="135" t="s">
        <v>487</v>
      </c>
      <c r="J71" s="134">
        <f t="shared" ref="J71:M84" si="3">SUMIF($B$107:$B$766,$B71,J$107:J$766)</f>
        <v>3307.06</v>
      </c>
      <c r="K71" s="134">
        <f t="shared" si="3"/>
        <v>35184.370000000003</v>
      </c>
      <c r="L71" s="134">
        <f t="shared" si="3"/>
        <v>12852.91</v>
      </c>
      <c r="M71" s="134">
        <f t="shared" si="3"/>
        <v>0</v>
      </c>
    </row>
    <row r="72" spans="1:14" s="136" customFormat="1" ht="14.25" customHeight="1">
      <c r="A72" s="133"/>
      <c r="B72" s="132">
        <v>12</v>
      </c>
      <c r="C72" s="133" t="s">
        <v>170</v>
      </c>
      <c r="D72" s="134">
        <f t="shared" ref="D72:D99" si="4">SUM(E72:M72)</f>
        <v>496663.14999999997</v>
      </c>
      <c r="E72" s="134">
        <f>SUMIF($B$107:$B$766,$B72,E$107:E$766)</f>
        <v>33329.879999999997</v>
      </c>
      <c r="F72" s="135" t="s">
        <v>487</v>
      </c>
      <c r="G72" s="134">
        <f t="shared" ref="G72:I84" si="5">SUMIF($B$107:$B$766,$B72,G$107:G$766)</f>
        <v>228870.82</v>
      </c>
      <c r="H72" s="134">
        <f t="shared" si="5"/>
        <v>52598.07</v>
      </c>
      <c r="I72" s="134">
        <f t="shared" si="5"/>
        <v>85621.67</v>
      </c>
      <c r="J72" s="134">
        <f t="shared" si="3"/>
        <v>8421.66</v>
      </c>
      <c r="K72" s="134">
        <f t="shared" si="3"/>
        <v>27710.63</v>
      </c>
      <c r="L72" s="134">
        <f t="shared" si="3"/>
        <v>35133.879999999997</v>
      </c>
      <c r="M72" s="134">
        <f t="shared" si="3"/>
        <v>24976.54</v>
      </c>
    </row>
    <row r="73" spans="1:14" s="136" customFormat="1" ht="14.25" customHeight="1">
      <c r="A73" s="133"/>
      <c r="B73" s="132">
        <v>13</v>
      </c>
      <c r="C73" s="133" t="s">
        <v>171</v>
      </c>
      <c r="D73" s="134">
        <f t="shared" si="4"/>
        <v>915831.07000000007</v>
      </c>
      <c r="E73" s="134">
        <f t="shared" ref="E73:E100" si="6">SUMIF($B$107:$B$766,$B73,E$107:E$766)</f>
        <v>109489.36</v>
      </c>
      <c r="F73" s="135" t="s">
        <v>487</v>
      </c>
      <c r="G73" s="134">
        <f t="shared" si="5"/>
        <v>0</v>
      </c>
      <c r="H73" s="134">
        <f t="shared" si="5"/>
        <v>446188.43</v>
      </c>
      <c r="I73" s="134">
        <f t="shared" si="5"/>
        <v>182520.83</v>
      </c>
      <c r="J73" s="134">
        <f t="shared" si="3"/>
        <v>6126.67</v>
      </c>
      <c r="K73" s="134">
        <f t="shared" si="3"/>
        <v>151206.9</v>
      </c>
      <c r="L73" s="134">
        <f t="shared" si="3"/>
        <v>20298.88</v>
      </c>
      <c r="M73" s="134">
        <f t="shared" si="3"/>
        <v>0</v>
      </c>
    </row>
    <row r="74" spans="1:14" s="136" customFormat="1" ht="14.25" customHeight="1">
      <c r="A74" s="133"/>
      <c r="B74" s="132">
        <v>14</v>
      </c>
      <c r="C74" s="133" t="s">
        <v>172</v>
      </c>
      <c r="D74" s="134">
        <f t="shared" si="4"/>
        <v>202874.18</v>
      </c>
      <c r="E74" s="134">
        <f t="shared" si="6"/>
        <v>25082.61</v>
      </c>
      <c r="F74" s="135" t="s">
        <v>487</v>
      </c>
      <c r="G74" s="134">
        <f t="shared" si="5"/>
        <v>0</v>
      </c>
      <c r="H74" s="134">
        <f t="shared" si="5"/>
        <v>126641.79</v>
      </c>
      <c r="I74" s="134">
        <f t="shared" si="5"/>
        <v>49904.02</v>
      </c>
      <c r="J74" s="134">
        <f t="shared" si="3"/>
        <v>62.59</v>
      </c>
      <c r="K74" s="134">
        <f t="shared" si="3"/>
        <v>1183.17</v>
      </c>
      <c r="L74" s="134">
        <f t="shared" si="3"/>
        <v>0</v>
      </c>
      <c r="M74" s="134">
        <f t="shared" si="3"/>
        <v>0</v>
      </c>
    </row>
    <row r="75" spans="1:14" s="136" customFormat="1" ht="14.25" customHeight="1">
      <c r="A75" s="133"/>
      <c r="B75" s="132">
        <v>15</v>
      </c>
      <c r="C75" s="104" t="s">
        <v>143</v>
      </c>
      <c r="D75" s="134">
        <f t="shared" si="4"/>
        <v>117011.39</v>
      </c>
      <c r="E75" s="134">
        <f t="shared" si="6"/>
        <v>10656.66</v>
      </c>
      <c r="F75" s="135" t="s">
        <v>487</v>
      </c>
      <c r="G75" s="134">
        <f t="shared" si="5"/>
        <v>0</v>
      </c>
      <c r="H75" s="134">
        <f t="shared" si="5"/>
        <v>53059.94</v>
      </c>
      <c r="I75" s="134">
        <f t="shared" si="5"/>
        <v>18037.63</v>
      </c>
      <c r="J75" s="134">
        <f t="shared" si="3"/>
        <v>9110.4500000000007</v>
      </c>
      <c r="K75" s="134">
        <f t="shared" si="3"/>
        <v>23487.7</v>
      </c>
      <c r="L75" s="134">
        <f t="shared" si="3"/>
        <v>2659.01</v>
      </c>
      <c r="M75" s="134">
        <f t="shared" si="3"/>
        <v>0</v>
      </c>
    </row>
    <row r="76" spans="1:14" s="136" customFormat="1" ht="14.25" customHeight="1">
      <c r="A76" s="133"/>
      <c r="B76" s="132">
        <v>16</v>
      </c>
      <c r="C76" s="104" t="s">
        <v>435</v>
      </c>
      <c r="D76" s="134">
        <f t="shared" si="4"/>
        <v>0.15</v>
      </c>
      <c r="E76" s="134">
        <f t="shared" si="6"/>
        <v>0</v>
      </c>
      <c r="F76" s="135" t="s">
        <v>487</v>
      </c>
      <c r="G76" s="134">
        <f t="shared" si="5"/>
        <v>0</v>
      </c>
      <c r="H76" s="134">
        <f t="shared" si="5"/>
        <v>0</v>
      </c>
      <c r="I76" s="134">
        <f t="shared" si="5"/>
        <v>0</v>
      </c>
      <c r="J76" s="134">
        <f t="shared" si="3"/>
        <v>0.15</v>
      </c>
      <c r="K76" s="134">
        <f t="shared" si="3"/>
        <v>0</v>
      </c>
      <c r="L76" s="134">
        <f t="shared" si="3"/>
        <v>0</v>
      </c>
      <c r="M76" s="134">
        <f t="shared" si="3"/>
        <v>0</v>
      </c>
    </row>
    <row r="77" spans="1:14" s="136" customFormat="1" ht="14.25" customHeight="1">
      <c r="A77" s="133"/>
      <c r="B77" s="132">
        <v>17</v>
      </c>
      <c r="C77" s="133" t="s">
        <v>176</v>
      </c>
      <c r="D77" s="134">
        <f t="shared" si="4"/>
        <v>599.5</v>
      </c>
      <c r="E77" s="134">
        <f t="shared" si="6"/>
        <v>0</v>
      </c>
      <c r="F77" s="135" t="s">
        <v>487</v>
      </c>
      <c r="G77" s="134">
        <f t="shared" si="5"/>
        <v>0</v>
      </c>
      <c r="H77" s="134">
        <f t="shared" si="5"/>
        <v>0</v>
      </c>
      <c r="I77" s="134">
        <f t="shared" si="5"/>
        <v>0</v>
      </c>
      <c r="J77" s="134">
        <f t="shared" si="3"/>
        <v>0</v>
      </c>
      <c r="K77" s="134">
        <f t="shared" si="3"/>
        <v>599.5</v>
      </c>
      <c r="L77" s="134">
        <f t="shared" si="3"/>
        <v>0</v>
      </c>
      <c r="M77" s="134">
        <f t="shared" si="3"/>
        <v>0</v>
      </c>
    </row>
    <row r="78" spans="1:14" s="136" customFormat="1" ht="14.25" customHeight="1">
      <c r="B78" s="132">
        <v>20</v>
      </c>
      <c r="C78" s="133" t="s">
        <v>701</v>
      </c>
      <c r="D78" s="134">
        <f t="shared" si="4"/>
        <v>0</v>
      </c>
      <c r="E78" s="134">
        <f t="shared" si="6"/>
        <v>0</v>
      </c>
      <c r="F78" s="135" t="s">
        <v>487</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5166975.16</v>
      </c>
      <c r="E79" s="134">
        <f t="shared" si="6"/>
        <v>269965.56</v>
      </c>
      <c r="F79" s="135" t="s">
        <v>487</v>
      </c>
      <c r="G79" s="134">
        <f t="shared" si="5"/>
        <v>862248.73</v>
      </c>
      <c r="H79" s="134">
        <f t="shared" si="5"/>
        <v>846789.47</v>
      </c>
      <c r="I79" s="134">
        <f t="shared" si="5"/>
        <v>673635.44000000006</v>
      </c>
      <c r="J79" s="134">
        <f t="shared" si="3"/>
        <v>656623.78</v>
      </c>
      <c r="K79" s="134">
        <f t="shared" si="3"/>
        <v>1674974.04</v>
      </c>
      <c r="L79" s="134">
        <f t="shared" si="3"/>
        <v>182738.14</v>
      </c>
      <c r="M79" s="134">
        <f t="shared" si="3"/>
        <v>0</v>
      </c>
    </row>
    <row r="80" spans="1:14" s="136" customFormat="1" ht="14.25" customHeight="1">
      <c r="A80" s="133"/>
      <c r="B80" s="132">
        <v>22</v>
      </c>
      <c r="C80" s="133" t="s">
        <v>179</v>
      </c>
      <c r="D80" s="134">
        <f t="shared" si="4"/>
        <v>0</v>
      </c>
      <c r="E80" s="134">
        <f t="shared" si="6"/>
        <v>0</v>
      </c>
      <c r="F80" s="135" t="s">
        <v>487</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36060.1</v>
      </c>
      <c r="E81" s="134">
        <f t="shared" si="6"/>
        <v>7321.72</v>
      </c>
      <c r="F81" s="135" t="s">
        <v>487</v>
      </c>
      <c r="G81" s="134">
        <f t="shared" si="5"/>
        <v>0</v>
      </c>
      <c r="H81" s="134">
        <f t="shared" si="5"/>
        <v>17968.32</v>
      </c>
      <c r="I81" s="134">
        <f t="shared" si="5"/>
        <v>8359.64</v>
      </c>
      <c r="J81" s="134">
        <f t="shared" si="3"/>
        <v>57.67</v>
      </c>
      <c r="K81" s="134">
        <f t="shared" si="3"/>
        <v>2075.65</v>
      </c>
      <c r="L81" s="134">
        <f t="shared" si="3"/>
        <v>277.10000000000002</v>
      </c>
      <c r="M81" s="134">
        <f t="shared" si="3"/>
        <v>0</v>
      </c>
    </row>
    <row r="82" spans="1:13" s="136" customFormat="1" ht="14.25" customHeight="1">
      <c r="B82" s="132">
        <v>26</v>
      </c>
      <c r="C82" s="133" t="s">
        <v>702</v>
      </c>
      <c r="D82" s="134">
        <f t="shared" si="4"/>
        <v>0</v>
      </c>
      <c r="E82" s="134">
        <f t="shared" si="6"/>
        <v>0</v>
      </c>
      <c r="F82" s="135" t="s">
        <v>487</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2568903.7500000005</v>
      </c>
      <c r="E83" s="134">
        <f t="shared" si="6"/>
        <v>12767.3</v>
      </c>
      <c r="F83" s="135" t="s">
        <v>487</v>
      </c>
      <c r="G83" s="134">
        <f t="shared" si="5"/>
        <v>1514441.75</v>
      </c>
      <c r="H83" s="134">
        <f t="shared" si="5"/>
        <v>138478.51</v>
      </c>
      <c r="I83" s="134">
        <f t="shared" si="5"/>
        <v>664330.99000000011</v>
      </c>
      <c r="J83" s="134">
        <f t="shared" si="3"/>
        <v>11976.240000000002</v>
      </c>
      <c r="K83" s="134">
        <f t="shared" si="3"/>
        <v>64426.29</v>
      </c>
      <c r="L83" s="134">
        <f t="shared" si="3"/>
        <v>162482.67000000001</v>
      </c>
      <c r="M83" s="134">
        <f t="shared" si="3"/>
        <v>0</v>
      </c>
    </row>
    <row r="84" spans="1:13" s="136" customFormat="1" ht="14.25" customHeight="1">
      <c r="B84" s="132">
        <v>41</v>
      </c>
      <c r="C84" s="133" t="s">
        <v>703</v>
      </c>
      <c r="D84" s="134">
        <f t="shared" si="4"/>
        <v>0</v>
      </c>
      <c r="E84" s="134">
        <f t="shared" si="6"/>
        <v>0</v>
      </c>
      <c r="F84" s="135" t="s">
        <v>487</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704</v>
      </c>
      <c r="D85" s="134">
        <f t="shared" si="4"/>
        <v>0</v>
      </c>
      <c r="E85" s="134">
        <f t="shared" si="6"/>
        <v>0</v>
      </c>
      <c r="F85" s="135" t="s">
        <v>487</v>
      </c>
      <c r="G85" s="135" t="s">
        <v>487</v>
      </c>
      <c r="H85" s="135" t="s">
        <v>487</v>
      </c>
      <c r="I85" s="135" t="s">
        <v>487</v>
      </c>
      <c r="J85" s="134">
        <f t="shared" ref="J85:K95" si="7">SUMIF($B$107:$B$766,$B85,J$107:J$766)</f>
        <v>0</v>
      </c>
      <c r="K85" s="134">
        <f t="shared" si="7"/>
        <v>0</v>
      </c>
      <c r="L85" s="135" t="s">
        <v>487</v>
      </c>
      <c r="M85" s="135" t="s">
        <v>487</v>
      </c>
    </row>
    <row r="86" spans="1:13" s="136" customFormat="1" ht="14.25" customHeight="1">
      <c r="B86" s="132">
        <v>44</v>
      </c>
      <c r="C86" s="133" t="s">
        <v>705</v>
      </c>
      <c r="D86" s="134">
        <f t="shared" si="4"/>
        <v>0</v>
      </c>
      <c r="E86" s="134">
        <f t="shared" si="6"/>
        <v>0</v>
      </c>
      <c r="F86" s="135" t="s">
        <v>487</v>
      </c>
      <c r="G86" s="135" t="s">
        <v>487</v>
      </c>
      <c r="H86" s="134">
        <f t="shared" ref="H86:I95" si="8">SUMIF($B$107:$B$766,$B86,H$107:H$766)</f>
        <v>0</v>
      </c>
      <c r="I86" s="134">
        <f t="shared" si="8"/>
        <v>0</v>
      </c>
      <c r="J86" s="134">
        <f t="shared" si="7"/>
        <v>0</v>
      </c>
      <c r="K86" s="134">
        <f t="shared" si="7"/>
        <v>0</v>
      </c>
      <c r="L86" s="134">
        <f t="shared" ref="L86:M95" si="9">SUMIF($B$107:$B$766,$B86,L$107:L$766)</f>
        <v>0</v>
      </c>
      <c r="M86" s="134">
        <f t="shared" si="9"/>
        <v>0</v>
      </c>
    </row>
    <row r="87" spans="1:13" s="136" customFormat="1" ht="14.25" customHeight="1">
      <c r="A87" s="133"/>
      <c r="B87" s="132">
        <v>51</v>
      </c>
      <c r="C87" s="104" t="s">
        <v>437</v>
      </c>
      <c r="D87" s="134">
        <f t="shared" si="4"/>
        <v>0</v>
      </c>
      <c r="E87" s="134">
        <f t="shared" si="6"/>
        <v>0</v>
      </c>
      <c r="F87" s="135" t="s">
        <v>487</v>
      </c>
      <c r="G87" s="134">
        <f t="shared" ref="G87:G95" si="10">SUMIF($B$107:$B$766,$B87,G$107:G$766)</f>
        <v>0</v>
      </c>
      <c r="H87" s="134">
        <f t="shared" si="8"/>
        <v>0</v>
      </c>
      <c r="I87" s="134">
        <f t="shared" si="8"/>
        <v>0</v>
      </c>
      <c r="J87" s="134">
        <f t="shared" si="7"/>
        <v>0</v>
      </c>
      <c r="K87" s="134">
        <f t="shared" si="7"/>
        <v>0</v>
      </c>
      <c r="L87" s="134">
        <f t="shared" si="9"/>
        <v>0</v>
      </c>
      <c r="M87" s="134">
        <f t="shared" si="9"/>
        <v>0</v>
      </c>
    </row>
    <row r="88" spans="1:13" s="136" customFormat="1" ht="14.25" customHeight="1">
      <c r="A88" s="133"/>
      <c r="B88" s="132">
        <v>52</v>
      </c>
      <c r="C88" s="133" t="s">
        <v>184</v>
      </c>
      <c r="D88" s="134">
        <f t="shared" si="4"/>
        <v>0</v>
      </c>
      <c r="E88" s="134">
        <f t="shared" si="6"/>
        <v>0</v>
      </c>
      <c r="F88" s="135" t="s">
        <v>487</v>
      </c>
      <c r="G88" s="134">
        <f t="shared" si="10"/>
        <v>0</v>
      </c>
      <c r="H88" s="134">
        <f t="shared" si="8"/>
        <v>0</v>
      </c>
      <c r="I88" s="134">
        <f t="shared" si="8"/>
        <v>0</v>
      </c>
      <c r="J88" s="134">
        <f t="shared" si="7"/>
        <v>0</v>
      </c>
      <c r="K88" s="134">
        <f t="shared" si="7"/>
        <v>0</v>
      </c>
      <c r="L88" s="134">
        <f t="shared" si="9"/>
        <v>0</v>
      </c>
      <c r="M88" s="134">
        <f t="shared" si="9"/>
        <v>0</v>
      </c>
    </row>
    <row r="89" spans="1:13" s="136" customFormat="1" ht="14.25" customHeight="1">
      <c r="A89" s="133"/>
      <c r="B89" s="132">
        <v>53</v>
      </c>
      <c r="C89" s="133" t="s">
        <v>185</v>
      </c>
      <c r="D89" s="134">
        <f t="shared" si="4"/>
        <v>0</v>
      </c>
      <c r="E89" s="134">
        <f t="shared" si="6"/>
        <v>0</v>
      </c>
      <c r="F89" s="135" t="s">
        <v>487</v>
      </c>
      <c r="G89" s="134">
        <f t="shared" si="10"/>
        <v>0</v>
      </c>
      <c r="H89" s="134">
        <f t="shared" si="8"/>
        <v>0</v>
      </c>
      <c r="I89" s="134">
        <f t="shared" si="8"/>
        <v>0</v>
      </c>
      <c r="J89" s="134">
        <f t="shared" si="7"/>
        <v>0</v>
      </c>
      <c r="K89" s="134">
        <f t="shared" si="7"/>
        <v>0</v>
      </c>
      <c r="L89" s="134">
        <f t="shared" si="9"/>
        <v>0</v>
      </c>
      <c r="M89" s="134">
        <f t="shared" si="9"/>
        <v>0</v>
      </c>
    </row>
    <row r="90" spans="1:13" s="136" customFormat="1" ht="14.25" customHeight="1">
      <c r="A90" s="133"/>
      <c r="B90" s="132">
        <v>56</v>
      </c>
      <c r="C90" s="133" t="s">
        <v>108</v>
      </c>
      <c r="D90" s="134">
        <f t="shared" si="4"/>
        <v>0</v>
      </c>
      <c r="E90" s="134">
        <f t="shared" si="6"/>
        <v>0</v>
      </c>
      <c r="F90" s="135" t="s">
        <v>487</v>
      </c>
      <c r="G90" s="134">
        <f t="shared" si="10"/>
        <v>0</v>
      </c>
      <c r="H90" s="134">
        <f t="shared" si="8"/>
        <v>0</v>
      </c>
      <c r="I90" s="134">
        <f t="shared" si="8"/>
        <v>0</v>
      </c>
      <c r="J90" s="134">
        <f t="shared" si="7"/>
        <v>0</v>
      </c>
      <c r="K90" s="134">
        <f t="shared" si="7"/>
        <v>0</v>
      </c>
      <c r="L90" s="134">
        <f t="shared" si="9"/>
        <v>0</v>
      </c>
      <c r="M90" s="134">
        <f t="shared" si="9"/>
        <v>0</v>
      </c>
    </row>
    <row r="91" spans="1:13" s="136" customFormat="1" ht="14.25" customHeight="1">
      <c r="A91" s="133"/>
      <c r="B91" s="132">
        <v>59</v>
      </c>
      <c r="C91" s="133" t="s">
        <v>488</v>
      </c>
      <c r="D91" s="134">
        <f t="shared" si="4"/>
        <v>0</v>
      </c>
      <c r="E91" s="134">
        <f t="shared" si="6"/>
        <v>0</v>
      </c>
      <c r="F91" s="134">
        <f>SUMIF($B$107:$B$766,$B91,F$107:F$766)</f>
        <v>0</v>
      </c>
      <c r="G91" s="134">
        <f t="shared" si="10"/>
        <v>0</v>
      </c>
      <c r="H91" s="134">
        <f t="shared" si="8"/>
        <v>0</v>
      </c>
      <c r="I91" s="134">
        <f t="shared" si="8"/>
        <v>0</v>
      </c>
      <c r="J91" s="134">
        <f t="shared" si="7"/>
        <v>0</v>
      </c>
      <c r="K91" s="134">
        <f t="shared" si="7"/>
        <v>0</v>
      </c>
      <c r="L91" s="134">
        <f t="shared" si="9"/>
        <v>0</v>
      </c>
      <c r="M91" s="134">
        <f t="shared" si="9"/>
        <v>0</v>
      </c>
    </row>
    <row r="92" spans="1:13" s="136" customFormat="1" ht="14.25" customHeight="1">
      <c r="A92" s="133"/>
      <c r="B92" s="132">
        <v>60</v>
      </c>
      <c r="C92" s="133" t="s">
        <v>190</v>
      </c>
      <c r="D92" s="134">
        <f t="shared" si="4"/>
        <v>663034.39</v>
      </c>
      <c r="E92" s="134">
        <f t="shared" si="6"/>
        <v>0</v>
      </c>
      <c r="F92" s="135" t="s">
        <v>487</v>
      </c>
      <c r="G92" s="134">
        <f t="shared" si="10"/>
        <v>0</v>
      </c>
      <c r="H92" s="134">
        <f t="shared" si="8"/>
        <v>84457.57</v>
      </c>
      <c r="I92" s="134">
        <f t="shared" si="8"/>
        <v>47200.63</v>
      </c>
      <c r="J92" s="134">
        <f t="shared" si="7"/>
        <v>169003.49</v>
      </c>
      <c r="K92" s="134">
        <f t="shared" si="7"/>
        <v>362372.7</v>
      </c>
      <c r="L92" s="134">
        <f t="shared" si="9"/>
        <v>0</v>
      </c>
      <c r="M92" s="134">
        <f t="shared" si="9"/>
        <v>0</v>
      </c>
    </row>
    <row r="93" spans="1:13" s="136" customFormat="1" ht="14.25" customHeight="1">
      <c r="A93" s="133"/>
      <c r="B93" s="132">
        <v>72</v>
      </c>
      <c r="C93" s="133" t="s">
        <v>700</v>
      </c>
      <c r="D93" s="134">
        <f t="shared" si="4"/>
        <v>0</v>
      </c>
      <c r="E93" s="134">
        <f t="shared" si="6"/>
        <v>0</v>
      </c>
      <c r="F93" s="134">
        <f>SUMIF($B$107:$B$766,$B93,F$107:F$766)</f>
        <v>0</v>
      </c>
      <c r="G93" s="134">
        <f t="shared" si="10"/>
        <v>0</v>
      </c>
      <c r="H93" s="134">
        <f t="shared" si="8"/>
        <v>0</v>
      </c>
      <c r="I93" s="134">
        <f t="shared" si="8"/>
        <v>0</v>
      </c>
      <c r="J93" s="134">
        <f t="shared" si="7"/>
        <v>0</v>
      </c>
      <c r="K93" s="134">
        <f t="shared" si="7"/>
        <v>0</v>
      </c>
      <c r="L93" s="134">
        <f t="shared" si="9"/>
        <v>0</v>
      </c>
      <c r="M93" s="134">
        <f t="shared" si="9"/>
        <v>0</v>
      </c>
    </row>
    <row r="94" spans="1:13" s="136" customFormat="1" ht="14.25" customHeight="1">
      <c r="A94" s="133"/>
      <c r="B94" s="132">
        <v>73</v>
      </c>
      <c r="C94" s="133" t="s">
        <v>109</v>
      </c>
      <c r="D94" s="134">
        <f t="shared" si="4"/>
        <v>0</v>
      </c>
      <c r="E94" s="134">
        <f t="shared" si="6"/>
        <v>0</v>
      </c>
      <c r="F94" s="134">
        <f>SUMIF($B$107:$B$766,$B94,F$107:F$766)</f>
        <v>0</v>
      </c>
      <c r="G94" s="134">
        <f t="shared" si="10"/>
        <v>0</v>
      </c>
      <c r="H94" s="134">
        <f t="shared" si="8"/>
        <v>0</v>
      </c>
      <c r="I94" s="134">
        <f t="shared" si="8"/>
        <v>0</v>
      </c>
      <c r="J94" s="134">
        <f t="shared" si="7"/>
        <v>0</v>
      </c>
      <c r="K94" s="134">
        <f t="shared" si="7"/>
        <v>0</v>
      </c>
      <c r="L94" s="134">
        <f t="shared" si="9"/>
        <v>0</v>
      </c>
      <c r="M94" s="134">
        <f t="shared" si="9"/>
        <v>0</v>
      </c>
    </row>
    <row r="95" spans="1:13" s="136" customFormat="1" ht="14.25" customHeight="1">
      <c r="A95" s="133"/>
      <c r="B95" s="132">
        <v>75</v>
      </c>
      <c r="C95" s="133" t="s">
        <v>122</v>
      </c>
      <c r="D95" s="134">
        <f t="shared" si="4"/>
        <v>107744.37</v>
      </c>
      <c r="E95" s="134">
        <f t="shared" si="6"/>
        <v>0</v>
      </c>
      <c r="F95" s="134">
        <f>SUMIF($B$107:$B$766,$B95,F$107:F$766)</f>
        <v>0</v>
      </c>
      <c r="G95" s="134">
        <f t="shared" si="10"/>
        <v>0</v>
      </c>
      <c r="H95" s="134">
        <f t="shared" si="8"/>
        <v>0</v>
      </c>
      <c r="I95" s="134">
        <f t="shared" si="8"/>
        <v>0</v>
      </c>
      <c r="J95" s="134">
        <f t="shared" si="7"/>
        <v>649.84</v>
      </c>
      <c r="K95" s="134">
        <f t="shared" si="7"/>
        <v>40834.79</v>
      </c>
      <c r="L95" s="134">
        <f t="shared" si="9"/>
        <v>0</v>
      </c>
      <c r="M95" s="134">
        <f t="shared" si="9"/>
        <v>66259.740000000005</v>
      </c>
    </row>
    <row r="96" spans="1:13" s="136" customFormat="1" ht="14.25" customHeight="1">
      <c r="A96" s="133"/>
      <c r="B96" s="132">
        <v>83</v>
      </c>
      <c r="C96" s="133" t="s">
        <v>124</v>
      </c>
      <c r="D96" s="134">
        <f t="shared" si="4"/>
        <v>138856.97</v>
      </c>
      <c r="E96" s="134">
        <f t="shared" si="6"/>
        <v>0</v>
      </c>
      <c r="F96" s="135" t="s">
        <v>487</v>
      </c>
      <c r="G96" s="135" t="s">
        <v>487</v>
      </c>
      <c r="H96" s="135" t="s">
        <v>487</v>
      </c>
      <c r="I96" s="135" t="s">
        <v>487</v>
      </c>
      <c r="J96" s="135" t="s">
        <v>487</v>
      </c>
      <c r="K96" s="134">
        <f>SUMIF($B$107:$B$766,$B96,K$107:K$766)</f>
        <v>138856.97</v>
      </c>
      <c r="L96" s="135" t="s">
        <v>487</v>
      </c>
      <c r="M96" s="135" t="s">
        <v>487</v>
      </c>
    </row>
    <row r="97" spans="1:13" s="136" customFormat="1" ht="12.75">
      <c r="A97" s="133"/>
      <c r="B97" s="132">
        <v>84</v>
      </c>
      <c r="C97" s="133" t="s">
        <v>126</v>
      </c>
      <c r="D97" s="134">
        <f t="shared" si="4"/>
        <v>0</v>
      </c>
      <c r="E97" s="134">
        <f t="shared" si="6"/>
        <v>0</v>
      </c>
      <c r="F97" s="135" t="s">
        <v>487</v>
      </c>
      <c r="G97" s="135" t="s">
        <v>487</v>
      </c>
      <c r="H97" s="135" t="s">
        <v>487</v>
      </c>
      <c r="I97" s="135" t="s">
        <v>487</v>
      </c>
      <c r="J97" s="135" t="s">
        <v>487</v>
      </c>
      <c r="K97" s="134">
        <f>SUMIF($B$107:$B$766,$B97,K$107:K$766)</f>
        <v>0</v>
      </c>
      <c r="L97" s="135" t="s">
        <v>487</v>
      </c>
      <c r="M97" s="135" t="s">
        <v>487</v>
      </c>
    </row>
    <row r="98" spans="1:13" s="136" customFormat="1" ht="12.75">
      <c r="A98" s="133"/>
      <c r="B98" s="132">
        <v>89</v>
      </c>
      <c r="C98" s="133" t="s">
        <v>563</v>
      </c>
      <c r="D98" s="134">
        <f t="shared" si="4"/>
        <v>131180</v>
      </c>
      <c r="E98" s="134">
        <f t="shared" si="6"/>
        <v>0</v>
      </c>
      <c r="F98" s="134">
        <f>SUMIF($B$107:$B$766,$B98,F$107:F$766)</f>
        <v>0</v>
      </c>
      <c r="G98" s="135" t="s">
        <v>487</v>
      </c>
      <c r="H98" s="135" t="s">
        <v>487</v>
      </c>
      <c r="I98" s="135" t="s">
        <v>487</v>
      </c>
      <c r="J98" s="135" t="s">
        <v>487</v>
      </c>
      <c r="K98" s="135" t="s">
        <v>487</v>
      </c>
      <c r="L98" s="135" t="s">
        <v>487</v>
      </c>
      <c r="M98" s="134">
        <f>SUMIF($B$107:$B$766,$B98,M$107:M$766)</f>
        <v>131180</v>
      </c>
    </row>
    <row r="99" spans="1:13" s="136" customFormat="1" ht="12.75">
      <c r="A99" s="133"/>
      <c r="B99" s="132">
        <v>98</v>
      </c>
      <c r="C99" s="133" t="s">
        <v>127</v>
      </c>
      <c r="D99" s="134">
        <f t="shared" si="4"/>
        <v>8038279.5199999986</v>
      </c>
      <c r="E99" s="134">
        <f t="shared" si="6"/>
        <v>677334.07000000007</v>
      </c>
      <c r="F99" s="134">
        <f>SUMIF($B$107:$B$766,$B99,F$107:F$766)</f>
        <v>0</v>
      </c>
      <c r="G99" s="134">
        <f t="shared" ref="G99:L99" si="11">SUMIF($B$107:$B$766,$B99,G$107:G$766)</f>
        <v>60194.09</v>
      </c>
      <c r="H99" s="134">
        <f t="shared" si="11"/>
        <v>3236178.4299999997</v>
      </c>
      <c r="I99" s="134">
        <f t="shared" si="11"/>
        <v>1024616.4700000001</v>
      </c>
      <c r="J99" s="134">
        <f t="shared" si="11"/>
        <v>727812.47</v>
      </c>
      <c r="K99" s="134">
        <f t="shared" si="11"/>
        <v>2055125.5299999998</v>
      </c>
      <c r="L99" s="134">
        <f t="shared" si="11"/>
        <v>257018.46</v>
      </c>
      <c r="M99" s="134">
        <f>SUMIF($B$107:$B$766,$B99,M$107:M$766)</f>
        <v>0</v>
      </c>
    </row>
    <row r="100" spans="1:13" s="136" customFormat="1" ht="15">
      <c r="A100" s="133"/>
      <c r="B100" s="132">
        <v>99</v>
      </c>
      <c r="C100" s="133" t="s">
        <v>442</v>
      </c>
      <c r="D100" s="119">
        <f>SUM(E100:M100)</f>
        <v>-1201104.6200000001</v>
      </c>
      <c r="E100" s="134">
        <f t="shared" si="6"/>
        <v>0</v>
      </c>
      <c r="F100" s="119">
        <f>F118+F134+F148+F163+F191+F206+F221+F235+F263+F291+F305+F319+F333+F347+F361+F375+F395+F409+F423+F437+F451+F492+F506+F588+F600+F614+F626+F638+F654+F666+F681+F693+F705+F717+F729+F741+F766+F755</f>
        <v>-1201104.6200000001</v>
      </c>
      <c r="G100" s="137" t="s">
        <v>487</v>
      </c>
      <c r="H100" s="137" t="s">
        <v>487</v>
      </c>
      <c r="I100" s="137" t="s">
        <v>487</v>
      </c>
      <c r="J100" s="137" t="s">
        <v>487</v>
      </c>
      <c r="K100" s="137" t="s">
        <v>487</v>
      </c>
      <c r="L100" s="137" t="s">
        <v>487</v>
      </c>
      <c r="M100" s="137" t="s">
        <v>487</v>
      </c>
    </row>
    <row r="101" spans="1:13" s="140" customFormat="1" ht="15">
      <c r="A101" s="133"/>
      <c r="B101" s="138"/>
      <c r="C101" s="138" t="s">
        <v>489</v>
      </c>
      <c r="D101" s="139">
        <f>SUM(D71:D100)</f>
        <v>17434253.419999998</v>
      </c>
      <c r="E101" s="139">
        <f>SUM(E71:E100)</f>
        <v>1145947.1599999999</v>
      </c>
      <c r="F101" s="139">
        <f>SUM(F71:F100)</f>
        <v>-1201104.6200000001</v>
      </c>
      <c r="G101" s="139">
        <f>SUM(G71:G100)</f>
        <v>2665755.3899999997</v>
      </c>
      <c r="H101" s="139">
        <f t="shared" ref="H101:M101" si="12">SUM(H71:H100)</f>
        <v>5002360.5299999993</v>
      </c>
      <c r="I101" s="139">
        <f t="shared" si="12"/>
        <v>2754227.3200000003</v>
      </c>
      <c r="J101" s="139">
        <f t="shared" si="12"/>
        <v>1593152.0699999998</v>
      </c>
      <c r="K101" s="139">
        <f t="shared" si="12"/>
        <v>4578038.24</v>
      </c>
      <c r="L101" s="139">
        <f t="shared" si="12"/>
        <v>673461.05</v>
      </c>
      <c r="M101" s="139">
        <f t="shared" si="12"/>
        <v>222416.28</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490</v>
      </c>
      <c r="I103" s="142" t="s">
        <v>444</v>
      </c>
    </row>
    <row r="104" spans="1:13" s="136" customFormat="1" ht="12.75">
      <c r="B104" s="141"/>
      <c r="C104" s="133"/>
      <c r="D104" s="133"/>
      <c r="E104" s="143" t="s">
        <v>471</v>
      </c>
      <c r="F104" s="143" t="s">
        <v>472</v>
      </c>
      <c r="G104" s="143" t="s">
        <v>473</v>
      </c>
      <c r="H104" s="143" t="s">
        <v>474</v>
      </c>
      <c r="I104" s="143" t="s">
        <v>475</v>
      </c>
      <c r="J104" s="129" t="s">
        <v>476</v>
      </c>
      <c r="K104" s="129" t="s">
        <v>477</v>
      </c>
      <c r="L104" s="133"/>
      <c r="M104" s="143" t="s">
        <v>478</v>
      </c>
    </row>
    <row r="105" spans="1:13" s="136" customFormat="1" ht="12.75">
      <c r="B105" s="141"/>
      <c r="C105" s="143" t="s">
        <v>479</v>
      </c>
      <c r="D105" s="143" t="s">
        <v>480</v>
      </c>
      <c r="E105" s="143" t="s">
        <v>481</v>
      </c>
      <c r="F105" s="143" t="s">
        <v>481</v>
      </c>
      <c r="G105" s="143" t="s">
        <v>482</v>
      </c>
      <c r="H105" s="143" t="s">
        <v>482</v>
      </c>
      <c r="I105" s="143" t="s">
        <v>483</v>
      </c>
      <c r="J105" s="129" t="s">
        <v>484</v>
      </c>
      <c r="K105" s="143" t="s">
        <v>485</v>
      </c>
      <c r="L105" s="143" t="s">
        <v>457</v>
      </c>
      <c r="M105" s="143" t="s">
        <v>486</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3">SUM(E107:M107)</f>
        <v>51344.34</v>
      </c>
      <c r="E107" s="144"/>
      <c r="F107" s="135" t="s">
        <v>487</v>
      </c>
      <c r="G107" s="135" t="s">
        <v>487</v>
      </c>
      <c r="H107" s="135" t="s">
        <v>487</v>
      </c>
      <c r="I107" s="135" t="s">
        <v>487</v>
      </c>
      <c r="J107" s="145">
        <v>3307.06</v>
      </c>
      <c r="K107" s="145">
        <v>35184.370000000003</v>
      </c>
      <c r="L107" s="145">
        <v>12852.91</v>
      </c>
      <c r="M107" s="145"/>
    </row>
    <row r="108" spans="1:13" s="136" customFormat="1" ht="12.75">
      <c r="B108" s="132">
        <v>12</v>
      </c>
      <c r="C108" s="133" t="s">
        <v>170</v>
      </c>
      <c r="D108" s="134">
        <f t="shared" si="13"/>
        <v>496663.14999999997</v>
      </c>
      <c r="E108" s="144">
        <v>33329.879999999997</v>
      </c>
      <c r="F108" s="135" t="s">
        <v>487</v>
      </c>
      <c r="G108" s="145">
        <v>228870.82</v>
      </c>
      <c r="H108" s="144">
        <v>52598.07</v>
      </c>
      <c r="I108" s="145">
        <v>85621.67</v>
      </c>
      <c r="J108" s="145">
        <v>8421.66</v>
      </c>
      <c r="K108" s="145">
        <v>27710.63</v>
      </c>
      <c r="L108" s="145">
        <v>35133.879999999997</v>
      </c>
      <c r="M108" s="145">
        <v>24976.54</v>
      </c>
    </row>
    <row r="109" spans="1:13" s="136" customFormat="1" ht="12.75">
      <c r="B109" s="132">
        <v>13</v>
      </c>
      <c r="C109" s="133" t="s">
        <v>171</v>
      </c>
      <c r="D109" s="134">
        <f t="shared" si="13"/>
        <v>915831.07000000007</v>
      </c>
      <c r="E109" s="144">
        <v>109489.36</v>
      </c>
      <c r="F109" s="135" t="s">
        <v>487</v>
      </c>
      <c r="G109" s="145"/>
      <c r="H109" s="144">
        <v>446188.43</v>
      </c>
      <c r="I109" s="145">
        <v>182520.83</v>
      </c>
      <c r="J109" s="145">
        <v>6126.67</v>
      </c>
      <c r="K109" s="145">
        <v>151206.9</v>
      </c>
      <c r="L109" s="145">
        <v>20298.88</v>
      </c>
      <c r="M109" s="145"/>
    </row>
    <row r="110" spans="1:13" s="136" customFormat="1" ht="12.75">
      <c r="B110" s="132">
        <v>14</v>
      </c>
      <c r="C110" s="133" t="s">
        <v>172</v>
      </c>
      <c r="D110" s="134">
        <f t="shared" si="13"/>
        <v>202874.18</v>
      </c>
      <c r="E110" s="144">
        <v>25082.61</v>
      </c>
      <c r="F110" s="135" t="s">
        <v>487</v>
      </c>
      <c r="G110" s="145"/>
      <c r="H110" s="144">
        <v>126641.79</v>
      </c>
      <c r="I110" s="145">
        <v>49904.02</v>
      </c>
      <c r="J110" s="145">
        <v>62.59</v>
      </c>
      <c r="K110" s="145">
        <v>1183.17</v>
      </c>
      <c r="L110" s="145"/>
      <c r="M110" s="145"/>
    </row>
    <row r="111" spans="1:13" s="136" customFormat="1" ht="12.75">
      <c r="B111" s="132">
        <v>15</v>
      </c>
      <c r="C111" s="133" t="s">
        <v>143</v>
      </c>
      <c r="D111" s="134">
        <f t="shared" si="13"/>
        <v>117011.39</v>
      </c>
      <c r="E111" s="144">
        <v>10656.66</v>
      </c>
      <c r="F111" s="135" t="s">
        <v>487</v>
      </c>
      <c r="G111" s="145"/>
      <c r="H111" s="144">
        <v>53059.94</v>
      </c>
      <c r="I111" s="145">
        <v>18037.63</v>
      </c>
      <c r="J111" s="145">
        <v>9110.4500000000007</v>
      </c>
      <c r="K111" s="145">
        <v>23487.7</v>
      </c>
      <c r="L111" s="145">
        <v>2659.01</v>
      </c>
      <c r="M111" s="145"/>
    </row>
    <row r="112" spans="1:13" s="136" customFormat="1" ht="12.75">
      <c r="B112" s="132">
        <v>16</v>
      </c>
      <c r="C112" s="133" t="s">
        <v>174</v>
      </c>
      <c r="D112" s="134">
        <f t="shared" si="13"/>
        <v>0.15</v>
      </c>
      <c r="E112" s="144"/>
      <c r="F112" s="135" t="s">
        <v>487</v>
      </c>
      <c r="G112" s="145"/>
      <c r="H112" s="144"/>
      <c r="I112" s="145"/>
      <c r="J112" s="145">
        <v>0.15</v>
      </c>
      <c r="K112" s="145"/>
      <c r="L112" s="145"/>
      <c r="M112" s="145"/>
    </row>
    <row r="113" spans="1:13" s="136" customFormat="1" ht="12.75">
      <c r="B113" s="132">
        <v>17</v>
      </c>
      <c r="C113" s="133" t="s">
        <v>176</v>
      </c>
      <c r="D113" s="134">
        <f t="shared" si="13"/>
        <v>599.5</v>
      </c>
      <c r="E113" s="144"/>
      <c r="F113" s="135" t="s">
        <v>487</v>
      </c>
      <c r="G113" s="145"/>
      <c r="H113" s="144"/>
      <c r="I113" s="145"/>
      <c r="J113" s="145"/>
      <c r="K113" s="145">
        <v>599.5</v>
      </c>
      <c r="L113" s="145"/>
      <c r="M113" s="145"/>
    </row>
    <row r="114" spans="1:13" s="136" customFormat="1" ht="12.75">
      <c r="B114" s="132">
        <v>22</v>
      </c>
      <c r="C114" s="133" t="s">
        <v>179</v>
      </c>
      <c r="D114" s="134">
        <f t="shared" si="13"/>
        <v>0</v>
      </c>
      <c r="E114" s="144"/>
      <c r="F114" s="135" t="s">
        <v>487</v>
      </c>
      <c r="G114" s="145"/>
      <c r="H114" s="144"/>
      <c r="I114" s="145"/>
      <c r="J114" s="145"/>
      <c r="K114" s="145"/>
      <c r="L114" s="145"/>
      <c r="M114" s="145"/>
    </row>
    <row r="115" spans="1:13" s="136" customFormat="1" ht="12.75">
      <c r="B115" s="132">
        <v>23</v>
      </c>
      <c r="C115" s="133" t="s">
        <v>180</v>
      </c>
      <c r="D115" s="134">
        <f t="shared" si="13"/>
        <v>36060.1</v>
      </c>
      <c r="E115" s="144">
        <v>7321.72</v>
      </c>
      <c r="F115" s="135" t="s">
        <v>487</v>
      </c>
      <c r="G115" s="145"/>
      <c r="H115" s="144">
        <v>17968.32</v>
      </c>
      <c r="I115" s="145">
        <v>8359.64</v>
      </c>
      <c r="J115" s="145">
        <v>57.67</v>
      </c>
      <c r="K115" s="145">
        <v>2075.65</v>
      </c>
      <c r="L115" s="145">
        <v>277.10000000000002</v>
      </c>
      <c r="M115" s="145"/>
    </row>
    <row r="116" spans="1:13" s="136" customFormat="1" ht="12.75">
      <c r="B116" s="132">
        <v>89</v>
      </c>
      <c r="C116" s="133" t="s">
        <v>563</v>
      </c>
      <c r="D116" s="134">
        <f t="shared" si="13"/>
        <v>0</v>
      </c>
      <c r="E116" s="144"/>
      <c r="F116" s="135" t="s">
        <v>487</v>
      </c>
      <c r="G116" s="153" t="s">
        <v>487</v>
      </c>
      <c r="H116" s="156" t="s">
        <v>487</v>
      </c>
      <c r="I116" s="153" t="s">
        <v>487</v>
      </c>
      <c r="J116" s="153" t="s">
        <v>487</v>
      </c>
      <c r="K116" s="153" t="s">
        <v>487</v>
      </c>
      <c r="L116" s="153" t="s">
        <v>487</v>
      </c>
    </row>
    <row r="117" spans="1:13" s="136" customFormat="1" ht="12.75">
      <c r="B117" s="132">
        <v>98</v>
      </c>
      <c r="C117" s="133" t="s">
        <v>127</v>
      </c>
      <c r="D117" s="134">
        <f t="shared" si="13"/>
        <v>115477.4</v>
      </c>
      <c r="E117" s="145">
        <v>6500.28</v>
      </c>
      <c r="F117" s="135" t="s">
        <v>487</v>
      </c>
      <c r="G117" s="135"/>
      <c r="H117" s="135">
        <v>62790.45</v>
      </c>
      <c r="I117" s="135">
        <v>21989.01</v>
      </c>
      <c r="J117" s="135">
        <v>517.79999999999995</v>
      </c>
      <c r="K117" s="145">
        <v>5285.91</v>
      </c>
      <c r="L117" s="135">
        <v>18393.95</v>
      </c>
      <c r="M117" s="135"/>
    </row>
    <row r="118" spans="1:13" s="136" customFormat="1" ht="15">
      <c r="B118" s="132">
        <v>99</v>
      </c>
      <c r="C118" s="133" t="s">
        <v>442</v>
      </c>
      <c r="D118" s="119">
        <f>SUM(E118:F118)</f>
        <v>0</v>
      </c>
      <c r="E118" s="119"/>
      <c r="F118" s="119"/>
      <c r="G118" s="137" t="s">
        <v>487</v>
      </c>
      <c r="H118" s="137" t="s">
        <v>487</v>
      </c>
      <c r="I118" s="137" t="s">
        <v>487</v>
      </c>
      <c r="J118" s="137" t="s">
        <v>487</v>
      </c>
      <c r="K118" s="137" t="s">
        <v>487</v>
      </c>
      <c r="L118" s="137" t="s">
        <v>487</v>
      </c>
      <c r="M118" s="137" t="s">
        <v>487</v>
      </c>
    </row>
    <row r="119" spans="1:13" s="140" customFormat="1" ht="15">
      <c r="A119" s="136"/>
      <c r="B119" s="146"/>
      <c r="C119" s="122" t="s">
        <v>489</v>
      </c>
      <c r="D119" s="139">
        <f>SUM(D107:D118)</f>
        <v>1935861.2799999998</v>
      </c>
      <c r="E119" s="139">
        <f t="shared" ref="E119:M119" si="14">SUM(E107:E118)</f>
        <v>192380.50999999998</v>
      </c>
      <c r="F119" s="139">
        <f t="shared" si="14"/>
        <v>0</v>
      </c>
      <c r="G119" s="139">
        <f t="shared" si="14"/>
        <v>228870.82</v>
      </c>
      <c r="H119" s="139">
        <f t="shared" si="14"/>
        <v>759246.99999999988</v>
      </c>
      <c r="I119" s="139">
        <f t="shared" si="14"/>
        <v>366432.80000000005</v>
      </c>
      <c r="J119" s="139">
        <f t="shared" si="14"/>
        <v>27604.05</v>
      </c>
      <c r="K119" s="139">
        <f t="shared" si="14"/>
        <v>246733.83000000002</v>
      </c>
      <c r="L119" s="139">
        <f t="shared" si="14"/>
        <v>89615.73</v>
      </c>
      <c r="M119" s="139">
        <f t="shared" si="14"/>
        <v>24976.54</v>
      </c>
    </row>
    <row r="120" spans="1:13" s="136" customFormat="1" ht="12.75">
      <c r="A120" s="140"/>
      <c r="B120" s="147"/>
    </row>
    <row r="121" spans="1:13" s="136" customFormat="1" ht="12.75">
      <c r="B121" s="148"/>
    </row>
    <row r="122" spans="1:13" s="136" customFormat="1" ht="12.75">
      <c r="B122" s="122" t="s">
        <v>491</v>
      </c>
      <c r="I122" s="142" t="s">
        <v>444</v>
      </c>
    </row>
    <row r="123" spans="1:13" s="136" customFormat="1" ht="12.75">
      <c r="B123" s="141"/>
      <c r="C123" s="133"/>
      <c r="D123" s="133"/>
      <c r="E123" s="143" t="s">
        <v>471</v>
      </c>
      <c r="F123" s="143" t="s">
        <v>472</v>
      </c>
      <c r="G123" s="143" t="s">
        <v>473</v>
      </c>
      <c r="H123" s="143" t="s">
        <v>474</v>
      </c>
      <c r="I123" s="143" t="s">
        <v>475</v>
      </c>
      <c r="J123" s="129" t="s">
        <v>476</v>
      </c>
      <c r="K123" s="129" t="s">
        <v>477</v>
      </c>
      <c r="L123" s="133"/>
      <c r="M123" s="143" t="s">
        <v>478</v>
      </c>
    </row>
    <row r="124" spans="1:13" s="136" customFormat="1" ht="12.75">
      <c r="B124" s="141"/>
      <c r="C124" s="143" t="s">
        <v>479</v>
      </c>
      <c r="D124" s="143" t="s">
        <v>480</v>
      </c>
      <c r="E124" s="143" t="s">
        <v>481</v>
      </c>
      <c r="F124" s="143" t="s">
        <v>481</v>
      </c>
      <c r="G124" s="143" t="s">
        <v>482</v>
      </c>
      <c r="H124" s="143" t="s">
        <v>482</v>
      </c>
      <c r="I124" s="143" t="s">
        <v>483</v>
      </c>
      <c r="J124" s="129" t="s">
        <v>484</v>
      </c>
      <c r="K124" s="143" t="s">
        <v>485</v>
      </c>
      <c r="L124" s="143" t="s">
        <v>457</v>
      </c>
      <c r="M124" s="143" t="s">
        <v>486</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5">SUM(E126:M126)</f>
        <v>663034.39</v>
      </c>
      <c r="E126" s="145"/>
      <c r="F126" s="135" t="s">
        <v>487</v>
      </c>
      <c r="G126" s="145"/>
      <c r="H126" s="145">
        <v>84457.57</v>
      </c>
      <c r="I126" s="145">
        <v>47200.63</v>
      </c>
      <c r="J126" s="145">
        <v>169003.49</v>
      </c>
      <c r="K126" s="145">
        <v>362372.7</v>
      </c>
      <c r="L126" s="145"/>
      <c r="M126" s="145"/>
    </row>
    <row r="127" spans="1:13" s="136" customFormat="1" ht="12.75">
      <c r="A127" s="133"/>
      <c r="B127" s="132">
        <v>72</v>
      </c>
      <c r="C127" s="133" t="s">
        <v>700</v>
      </c>
      <c r="D127" s="134">
        <f t="shared" si="15"/>
        <v>0</v>
      </c>
      <c r="E127" s="145"/>
      <c r="F127" s="135"/>
      <c r="G127" s="145"/>
      <c r="H127" s="145"/>
      <c r="I127" s="145"/>
      <c r="J127" s="145"/>
      <c r="K127" s="145"/>
      <c r="L127" s="145"/>
      <c r="M127" s="145"/>
    </row>
    <row r="128" spans="1:13" s="136" customFormat="1" ht="12.75">
      <c r="B128" s="132">
        <v>73</v>
      </c>
      <c r="C128" s="133" t="s">
        <v>109</v>
      </c>
      <c r="D128" s="134">
        <f t="shared" si="15"/>
        <v>0</v>
      </c>
      <c r="E128" s="145"/>
      <c r="F128" s="145"/>
      <c r="G128" s="145"/>
      <c r="H128" s="145"/>
      <c r="I128" s="145"/>
      <c r="J128" s="145"/>
      <c r="K128" s="145"/>
      <c r="L128" s="145"/>
      <c r="M128" s="145"/>
    </row>
    <row r="129" spans="1:13" s="136" customFormat="1" ht="12.75">
      <c r="B129" s="132">
        <v>75</v>
      </c>
      <c r="C129" s="133" t="s">
        <v>122</v>
      </c>
      <c r="D129" s="134">
        <f t="shared" si="15"/>
        <v>107744.37</v>
      </c>
      <c r="E129" s="145"/>
      <c r="F129" s="145"/>
      <c r="G129" s="145"/>
      <c r="H129" s="145"/>
      <c r="I129" s="145"/>
      <c r="J129" s="145">
        <v>649.84</v>
      </c>
      <c r="K129" s="145">
        <v>40834.79</v>
      </c>
      <c r="L129" s="145"/>
      <c r="M129" s="145">
        <v>66259.740000000005</v>
      </c>
    </row>
    <row r="130" spans="1:13" s="136" customFormat="1" ht="12.75">
      <c r="B130" s="132">
        <v>83</v>
      </c>
      <c r="C130" s="133" t="s">
        <v>124</v>
      </c>
      <c r="D130" s="134">
        <f t="shared" si="15"/>
        <v>138856.97</v>
      </c>
      <c r="E130" s="145"/>
      <c r="F130" s="135" t="s">
        <v>487</v>
      </c>
      <c r="G130" s="135" t="s">
        <v>487</v>
      </c>
      <c r="H130" s="135" t="s">
        <v>487</v>
      </c>
      <c r="I130" s="135" t="s">
        <v>487</v>
      </c>
      <c r="J130" s="135" t="s">
        <v>487</v>
      </c>
      <c r="K130" s="145">
        <v>138856.97</v>
      </c>
      <c r="L130" s="135" t="s">
        <v>487</v>
      </c>
      <c r="M130" s="135" t="s">
        <v>487</v>
      </c>
    </row>
    <row r="131" spans="1:13" s="136" customFormat="1" ht="12.75">
      <c r="B131" s="132">
        <v>84</v>
      </c>
      <c r="C131" s="133" t="s">
        <v>126</v>
      </c>
      <c r="D131" s="134">
        <f t="shared" si="15"/>
        <v>0</v>
      </c>
      <c r="E131" s="145"/>
      <c r="F131" s="135" t="s">
        <v>487</v>
      </c>
      <c r="G131" s="135" t="s">
        <v>487</v>
      </c>
      <c r="H131" s="135" t="s">
        <v>487</v>
      </c>
      <c r="I131" s="135" t="s">
        <v>487</v>
      </c>
      <c r="J131" s="135" t="s">
        <v>487</v>
      </c>
      <c r="K131" s="145"/>
      <c r="L131" s="135" t="s">
        <v>487</v>
      </c>
      <c r="M131" s="135" t="s">
        <v>487</v>
      </c>
    </row>
    <row r="132" spans="1:13" s="136" customFormat="1" ht="12.75">
      <c r="B132" s="132">
        <v>89</v>
      </c>
      <c r="C132" s="133" t="s">
        <v>563</v>
      </c>
      <c r="D132" s="134">
        <f t="shared" si="15"/>
        <v>131180</v>
      </c>
      <c r="E132" s="144"/>
      <c r="F132" s="135"/>
      <c r="G132" s="153" t="s">
        <v>487</v>
      </c>
      <c r="H132" s="156" t="s">
        <v>487</v>
      </c>
      <c r="I132" s="153" t="s">
        <v>487</v>
      </c>
      <c r="J132" s="153" t="s">
        <v>487</v>
      </c>
      <c r="K132" s="153" t="s">
        <v>487</v>
      </c>
      <c r="L132" s="153" t="s">
        <v>487</v>
      </c>
      <c r="M132" s="136">
        <v>131180</v>
      </c>
    </row>
    <row r="133" spans="1:13" s="136" customFormat="1" ht="12.75">
      <c r="B133" s="132">
        <v>98</v>
      </c>
      <c r="C133" s="133" t="s">
        <v>127</v>
      </c>
      <c r="D133" s="134">
        <f t="shared" si="15"/>
        <v>99886.72000000003</v>
      </c>
      <c r="E133" s="145">
        <v>92517.75</v>
      </c>
      <c r="F133" s="135"/>
      <c r="G133" s="135"/>
      <c r="H133" s="135">
        <v>210757.53</v>
      </c>
      <c r="I133" s="135">
        <v>-292554.99</v>
      </c>
      <c r="J133" s="135">
        <v>13751.09</v>
      </c>
      <c r="K133" s="145">
        <v>75368.94</v>
      </c>
      <c r="L133" s="135">
        <v>46.4</v>
      </c>
      <c r="M133" s="135"/>
    </row>
    <row r="134" spans="1:13" s="136" customFormat="1" ht="15">
      <c r="B134" s="132">
        <v>99</v>
      </c>
      <c r="C134" s="133" t="s">
        <v>442</v>
      </c>
      <c r="D134" s="119">
        <f>SUM(E134:F134)</f>
        <v>-1201104.6200000001</v>
      </c>
      <c r="E134" s="119"/>
      <c r="F134" s="119">
        <v>-1201104.6200000001</v>
      </c>
      <c r="G134" s="137" t="s">
        <v>487</v>
      </c>
      <c r="H134" s="137" t="s">
        <v>487</v>
      </c>
      <c r="I134" s="137" t="s">
        <v>487</v>
      </c>
      <c r="J134" s="137" t="s">
        <v>487</v>
      </c>
      <c r="K134" s="137" t="s">
        <v>487</v>
      </c>
      <c r="L134" s="137" t="s">
        <v>487</v>
      </c>
      <c r="M134" s="137" t="s">
        <v>487</v>
      </c>
    </row>
    <row r="135" spans="1:13" s="140" customFormat="1" ht="15">
      <c r="A135" s="136"/>
      <c r="B135" s="146"/>
      <c r="C135" s="122" t="s">
        <v>489</v>
      </c>
      <c r="D135" s="139">
        <f>SUM(D126:D134)</f>
        <v>-60402.170000000158</v>
      </c>
      <c r="E135" s="139">
        <f t="shared" ref="E135:M135" si="16">SUM(E126:E134)</f>
        <v>92517.75</v>
      </c>
      <c r="F135" s="139">
        <f t="shared" si="16"/>
        <v>-1201104.6200000001</v>
      </c>
      <c r="G135" s="139">
        <f t="shared" si="16"/>
        <v>0</v>
      </c>
      <c r="H135" s="139">
        <f t="shared" si="16"/>
        <v>295215.09999999998</v>
      </c>
      <c r="I135" s="139">
        <f t="shared" si="16"/>
        <v>-245354.36</v>
      </c>
      <c r="J135" s="139">
        <f t="shared" si="16"/>
        <v>183404.41999999998</v>
      </c>
      <c r="K135" s="139">
        <f t="shared" si="16"/>
        <v>617433.39999999991</v>
      </c>
      <c r="L135" s="139">
        <f t="shared" si="16"/>
        <v>46.4</v>
      </c>
      <c r="M135" s="139">
        <f t="shared" si="16"/>
        <v>197439.74</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492</v>
      </c>
      <c r="C138" s="133"/>
      <c r="D138" s="133"/>
      <c r="E138" s="133"/>
      <c r="F138" s="133"/>
      <c r="G138" s="133"/>
      <c r="H138" s="133"/>
      <c r="I138" s="143" t="s">
        <v>444</v>
      </c>
      <c r="J138" s="133"/>
      <c r="K138" s="133"/>
      <c r="L138" s="133"/>
      <c r="M138" s="133"/>
    </row>
    <row r="139" spans="1:13" s="136" customFormat="1" ht="12.75">
      <c r="B139" s="132"/>
      <c r="C139" s="133"/>
      <c r="D139" s="133"/>
      <c r="E139" s="143" t="s">
        <v>471</v>
      </c>
      <c r="F139" s="143" t="s">
        <v>472</v>
      </c>
      <c r="G139" s="143" t="s">
        <v>473</v>
      </c>
      <c r="H139" s="143" t="s">
        <v>474</v>
      </c>
      <c r="I139" s="143" t="s">
        <v>475</v>
      </c>
      <c r="J139" s="129" t="s">
        <v>476</v>
      </c>
      <c r="K139" s="143" t="s">
        <v>477</v>
      </c>
      <c r="L139" s="133"/>
      <c r="M139" s="143" t="s">
        <v>478</v>
      </c>
    </row>
    <row r="140" spans="1:13" s="136" customFormat="1" ht="12.75">
      <c r="B140" s="132"/>
      <c r="C140" s="143" t="s">
        <v>479</v>
      </c>
      <c r="D140" s="143" t="s">
        <v>480</v>
      </c>
      <c r="E140" s="143" t="s">
        <v>481</v>
      </c>
      <c r="F140" s="143" t="s">
        <v>481</v>
      </c>
      <c r="G140" s="143" t="s">
        <v>482</v>
      </c>
      <c r="H140" s="143" t="s">
        <v>482</v>
      </c>
      <c r="I140" s="143" t="s">
        <v>483</v>
      </c>
      <c r="J140" s="129" t="s">
        <v>484</v>
      </c>
      <c r="K140" s="143" t="s">
        <v>485</v>
      </c>
      <c r="L140" s="143" t="s">
        <v>457</v>
      </c>
      <c r="M140" s="143" t="s">
        <v>486</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7">SUM(E142:M142)</f>
        <v>0</v>
      </c>
      <c r="E142" s="145"/>
      <c r="F142" s="135" t="s">
        <v>487</v>
      </c>
      <c r="G142" s="145"/>
      <c r="H142" s="145"/>
      <c r="I142" s="145"/>
      <c r="J142" s="145"/>
      <c r="K142" s="145"/>
      <c r="L142" s="145"/>
      <c r="M142" s="145"/>
    </row>
    <row r="143" spans="1:13" s="136" customFormat="1" ht="12.75">
      <c r="B143" s="132">
        <v>27</v>
      </c>
      <c r="C143" s="133" t="s">
        <v>182</v>
      </c>
      <c r="D143" s="134">
        <f t="shared" si="17"/>
        <v>0</v>
      </c>
      <c r="E143" s="145"/>
      <c r="F143" s="135" t="s">
        <v>487</v>
      </c>
      <c r="G143" s="145"/>
      <c r="H143" s="145"/>
      <c r="I143" s="145"/>
      <c r="J143" s="145"/>
      <c r="K143" s="145"/>
      <c r="L143" s="145"/>
      <c r="M143" s="145"/>
    </row>
    <row r="144" spans="1:13" s="136" customFormat="1" ht="12.75">
      <c r="B144" s="132">
        <v>60</v>
      </c>
      <c r="C144" s="133" t="s">
        <v>190</v>
      </c>
      <c r="D144" s="134">
        <f t="shared" si="17"/>
        <v>0</v>
      </c>
      <c r="E144" s="145"/>
      <c r="F144" s="135" t="s">
        <v>487</v>
      </c>
      <c r="G144" s="145"/>
      <c r="H144" s="145"/>
      <c r="I144" s="145"/>
      <c r="J144" s="145"/>
      <c r="K144" s="145"/>
      <c r="L144" s="145"/>
      <c r="M144" s="145"/>
    </row>
    <row r="145" spans="1:13" s="136" customFormat="1" ht="12.75">
      <c r="B145" s="132">
        <v>83</v>
      </c>
      <c r="C145" s="133" t="s">
        <v>124</v>
      </c>
      <c r="D145" s="134">
        <f t="shared" si="17"/>
        <v>0</v>
      </c>
      <c r="E145" s="145"/>
      <c r="F145" s="135" t="s">
        <v>487</v>
      </c>
      <c r="G145" s="135" t="s">
        <v>487</v>
      </c>
      <c r="H145" s="135" t="s">
        <v>487</v>
      </c>
      <c r="I145" s="135" t="s">
        <v>487</v>
      </c>
      <c r="J145" s="135" t="s">
        <v>487</v>
      </c>
      <c r="K145" s="145"/>
      <c r="L145" s="135" t="s">
        <v>487</v>
      </c>
      <c r="M145" s="135" t="s">
        <v>487</v>
      </c>
    </row>
    <row r="146" spans="1:13" s="136" customFormat="1" ht="12.75">
      <c r="B146" s="132">
        <v>89</v>
      </c>
      <c r="C146" s="133" t="s">
        <v>563</v>
      </c>
      <c r="D146" s="134">
        <f t="shared" si="17"/>
        <v>0</v>
      </c>
      <c r="E146" s="144"/>
      <c r="F146" s="135" t="s">
        <v>487</v>
      </c>
      <c r="G146" s="153" t="s">
        <v>487</v>
      </c>
      <c r="H146" s="156" t="s">
        <v>487</v>
      </c>
      <c r="I146" s="153" t="s">
        <v>487</v>
      </c>
      <c r="J146" s="153" t="s">
        <v>487</v>
      </c>
      <c r="K146" s="153" t="s">
        <v>487</v>
      </c>
      <c r="L146" s="153" t="s">
        <v>487</v>
      </c>
    </row>
    <row r="147" spans="1:13" s="136" customFormat="1" ht="12.75">
      <c r="B147" s="132">
        <v>98</v>
      </c>
      <c r="C147" s="133" t="s">
        <v>127</v>
      </c>
      <c r="D147" s="134">
        <f t="shared" si="17"/>
        <v>44515.729999999996</v>
      </c>
      <c r="E147" s="145"/>
      <c r="F147" s="135" t="s">
        <v>487</v>
      </c>
      <c r="G147" s="145"/>
      <c r="H147" s="145"/>
      <c r="I147" s="145"/>
      <c r="J147" s="145">
        <v>37536.82</v>
      </c>
      <c r="K147" s="145">
        <v>4285.07</v>
      </c>
      <c r="L147" s="145">
        <v>2693.84</v>
      </c>
      <c r="M147" s="145"/>
    </row>
    <row r="148" spans="1:13" s="136" customFormat="1" ht="15">
      <c r="B148" s="132">
        <v>99</v>
      </c>
      <c r="C148" s="133" t="s">
        <v>442</v>
      </c>
      <c r="D148" s="119">
        <f t="shared" si="17"/>
        <v>0</v>
      </c>
      <c r="E148" s="119"/>
      <c r="F148" s="119"/>
      <c r="G148" s="137" t="s">
        <v>487</v>
      </c>
      <c r="H148" s="137" t="s">
        <v>487</v>
      </c>
      <c r="I148" s="137" t="s">
        <v>487</v>
      </c>
      <c r="J148" s="137" t="s">
        <v>487</v>
      </c>
      <c r="K148" s="137" t="s">
        <v>487</v>
      </c>
      <c r="L148" s="137" t="s">
        <v>487</v>
      </c>
      <c r="M148" s="137" t="s">
        <v>487</v>
      </c>
    </row>
    <row r="149" spans="1:13" s="140" customFormat="1" ht="15">
      <c r="A149" s="136"/>
      <c r="B149" s="138"/>
      <c r="C149" s="122" t="s">
        <v>489</v>
      </c>
      <c r="D149" s="139">
        <f t="shared" ref="D149:M149" si="18">SUM(D142:D148)</f>
        <v>44515.729999999996</v>
      </c>
      <c r="E149" s="139">
        <f t="shared" si="18"/>
        <v>0</v>
      </c>
      <c r="F149" s="139">
        <f t="shared" si="18"/>
        <v>0</v>
      </c>
      <c r="G149" s="139">
        <f t="shared" si="18"/>
        <v>0</v>
      </c>
      <c r="H149" s="139">
        <f t="shared" si="18"/>
        <v>0</v>
      </c>
      <c r="I149" s="139">
        <f t="shared" si="18"/>
        <v>0</v>
      </c>
      <c r="J149" s="139">
        <f t="shared" si="18"/>
        <v>37536.82</v>
      </c>
      <c r="K149" s="139">
        <f t="shared" si="18"/>
        <v>4285.07</v>
      </c>
      <c r="L149" s="139">
        <f t="shared" si="18"/>
        <v>2693.84</v>
      </c>
      <c r="M149" s="139">
        <f t="shared" si="18"/>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493</v>
      </c>
      <c r="C152" s="133"/>
      <c r="D152" s="133"/>
      <c r="E152" s="133"/>
      <c r="F152" s="133"/>
      <c r="G152" s="133"/>
      <c r="H152" s="133"/>
      <c r="I152" s="143" t="s">
        <v>444</v>
      </c>
      <c r="J152" s="133"/>
      <c r="K152" s="133"/>
      <c r="L152" s="133"/>
      <c r="M152" s="133"/>
    </row>
    <row r="153" spans="1:13" s="136" customFormat="1" ht="12.75">
      <c r="B153" s="141"/>
      <c r="C153" s="133"/>
      <c r="D153" s="133"/>
      <c r="E153" s="143" t="s">
        <v>471</v>
      </c>
      <c r="F153" s="143" t="s">
        <v>472</v>
      </c>
      <c r="G153" s="143" t="s">
        <v>473</v>
      </c>
      <c r="H153" s="143" t="s">
        <v>474</v>
      </c>
      <c r="I153" s="143" t="s">
        <v>475</v>
      </c>
      <c r="J153" s="129" t="s">
        <v>476</v>
      </c>
      <c r="K153" s="143" t="s">
        <v>477</v>
      </c>
      <c r="L153" s="133"/>
      <c r="M153" s="143" t="s">
        <v>478</v>
      </c>
    </row>
    <row r="154" spans="1:13" s="136" customFormat="1" ht="12.75">
      <c r="B154" s="141"/>
      <c r="C154" s="143" t="s">
        <v>479</v>
      </c>
      <c r="D154" s="143" t="s">
        <v>480</v>
      </c>
      <c r="E154" s="143" t="s">
        <v>481</v>
      </c>
      <c r="F154" s="143" t="s">
        <v>481</v>
      </c>
      <c r="G154" s="143" t="s">
        <v>482</v>
      </c>
      <c r="H154" s="143" t="s">
        <v>482</v>
      </c>
      <c r="I154" s="143" t="s">
        <v>483</v>
      </c>
      <c r="J154" s="129" t="s">
        <v>484</v>
      </c>
      <c r="K154" s="143" t="s">
        <v>485</v>
      </c>
      <c r="L154" s="143" t="s">
        <v>457</v>
      </c>
      <c r="M154" s="143" t="s">
        <v>486</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9">SUM(E156:M156)</f>
        <v>612497.68999999994</v>
      </c>
      <c r="E156" s="145">
        <v>31212.47</v>
      </c>
      <c r="F156" s="135" t="s">
        <v>487</v>
      </c>
      <c r="G156" s="145">
        <v>112480.81</v>
      </c>
      <c r="H156" s="145">
        <v>120010.02</v>
      </c>
      <c r="I156" s="145">
        <v>86337.89</v>
      </c>
      <c r="J156" s="145">
        <v>10513.31</v>
      </c>
      <c r="K156" s="145">
        <v>211882.38</v>
      </c>
      <c r="L156" s="145">
        <v>40060.81</v>
      </c>
      <c r="M156" s="145"/>
    </row>
    <row r="157" spans="1:13" s="136" customFormat="1" ht="12.75">
      <c r="B157" s="132">
        <v>26</v>
      </c>
      <c r="C157" s="133" t="s">
        <v>702</v>
      </c>
      <c r="D157" s="134">
        <f t="shared" si="19"/>
        <v>0</v>
      </c>
      <c r="E157" s="145"/>
      <c r="F157" s="135" t="s">
        <v>487</v>
      </c>
      <c r="G157" s="145"/>
      <c r="H157" s="145"/>
      <c r="I157" s="145"/>
      <c r="J157" s="145"/>
      <c r="K157" s="145"/>
      <c r="L157" s="145"/>
      <c r="M157" s="145"/>
    </row>
    <row r="158" spans="1:13" s="136" customFormat="1" ht="12.75">
      <c r="B158" s="132">
        <v>27</v>
      </c>
      <c r="C158" s="133" t="s">
        <v>182</v>
      </c>
      <c r="D158" s="134">
        <f t="shared" si="19"/>
        <v>2327455.3200000003</v>
      </c>
      <c r="E158" s="145">
        <v>11264.89</v>
      </c>
      <c r="F158" s="135" t="s">
        <v>487</v>
      </c>
      <c r="G158" s="145">
        <f>4714.32+1375177.58</f>
        <v>1379891.9000000001</v>
      </c>
      <c r="H158" s="145">
        <v>109452.75</v>
      </c>
      <c r="I158" s="145">
        <f>606636.21+1137.64</f>
        <v>607773.85</v>
      </c>
      <c r="J158" s="145">
        <v>11955.04</v>
      </c>
      <c r="K158" s="145">
        <v>52575.54</v>
      </c>
      <c r="L158" s="145">
        <v>154541.35</v>
      </c>
      <c r="M158" s="145"/>
    </row>
    <row r="159" spans="1:13" s="136" customFormat="1" ht="12.75">
      <c r="B159" s="132">
        <v>60</v>
      </c>
      <c r="C159" s="133" t="s">
        <v>190</v>
      </c>
      <c r="D159" s="134">
        <f t="shared" si="19"/>
        <v>0</v>
      </c>
      <c r="E159" s="145"/>
      <c r="F159" s="135" t="s">
        <v>487</v>
      </c>
      <c r="G159" s="145"/>
      <c r="H159" s="145"/>
      <c r="I159" s="145"/>
      <c r="J159" s="145"/>
      <c r="K159" s="145"/>
      <c r="L159" s="145"/>
      <c r="M159" s="145"/>
    </row>
    <row r="160" spans="1:13" s="136" customFormat="1" ht="12.75">
      <c r="B160" s="132">
        <v>83</v>
      </c>
      <c r="C160" s="133" t="s">
        <v>124</v>
      </c>
      <c r="D160" s="134">
        <f t="shared" si="19"/>
        <v>0</v>
      </c>
      <c r="E160" s="145"/>
      <c r="F160" s="135" t="s">
        <v>487</v>
      </c>
      <c r="G160" s="135" t="s">
        <v>487</v>
      </c>
      <c r="H160" s="135" t="s">
        <v>487</v>
      </c>
      <c r="I160" s="135" t="s">
        <v>487</v>
      </c>
      <c r="J160" s="135" t="s">
        <v>487</v>
      </c>
      <c r="K160" s="145"/>
      <c r="L160" s="135" t="s">
        <v>487</v>
      </c>
      <c r="M160" s="135" t="s">
        <v>487</v>
      </c>
    </row>
    <row r="161" spans="1:13" s="136" customFormat="1" ht="12.75">
      <c r="B161" s="132">
        <v>89</v>
      </c>
      <c r="C161" s="133" t="s">
        <v>563</v>
      </c>
      <c r="D161" s="134">
        <f t="shared" si="19"/>
        <v>0</v>
      </c>
      <c r="E161" s="144"/>
      <c r="F161" s="135" t="s">
        <v>487</v>
      </c>
      <c r="G161" s="153" t="s">
        <v>487</v>
      </c>
      <c r="H161" s="156" t="s">
        <v>487</v>
      </c>
      <c r="I161" s="153" t="s">
        <v>487</v>
      </c>
      <c r="J161" s="153" t="s">
        <v>487</v>
      </c>
      <c r="K161" s="153" t="s">
        <v>487</v>
      </c>
      <c r="L161" s="153" t="s">
        <v>487</v>
      </c>
    </row>
    <row r="162" spans="1:13" s="136" customFormat="1" ht="12.75">
      <c r="B162" s="132">
        <v>98</v>
      </c>
      <c r="C162" s="133" t="s">
        <v>127</v>
      </c>
      <c r="D162" s="134">
        <f t="shared" si="19"/>
        <v>757365.28999999992</v>
      </c>
      <c r="E162" s="145">
        <v>118053.51</v>
      </c>
      <c r="F162" s="135" t="s">
        <v>487</v>
      </c>
      <c r="G162" s="145">
        <v>28080.799999999999</v>
      </c>
      <c r="H162" s="145">
        <v>242186.72</v>
      </c>
      <c r="I162" s="145">
        <v>118410.43</v>
      </c>
      <c r="J162" s="145">
        <v>14159.44</v>
      </c>
      <c r="K162" s="145">
        <v>161231.29999999999</v>
      </c>
      <c r="L162" s="145">
        <v>75243.09</v>
      </c>
      <c r="M162" s="145"/>
    </row>
    <row r="163" spans="1:13" s="136" customFormat="1" ht="15">
      <c r="B163" s="132">
        <v>99</v>
      </c>
      <c r="C163" s="133" t="s">
        <v>442</v>
      </c>
      <c r="D163" s="119">
        <f t="shared" si="19"/>
        <v>0</v>
      </c>
      <c r="E163" s="119"/>
      <c r="F163" s="119"/>
      <c r="G163" s="137" t="s">
        <v>487</v>
      </c>
      <c r="H163" s="137" t="s">
        <v>487</v>
      </c>
      <c r="I163" s="137" t="s">
        <v>487</v>
      </c>
      <c r="J163" s="137" t="s">
        <v>487</v>
      </c>
      <c r="K163" s="137" t="s">
        <v>487</v>
      </c>
      <c r="L163" s="137" t="s">
        <v>487</v>
      </c>
      <c r="M163" s="137" t="s">
        <v>487</v>
      </c>
    </row>
    <row r="164" spans="1:13" s="140" customFormat="1" ht="15">
      <c r="A164" s="136"/>
      <c r="B164" s="146"/>
      <c r="C164" s="122" t="s">
        <v>489</v>
      </c>
      <c r="D164" s="139">
        <f>SUM(D156:D163)</f>
        <v>3697318.3000000003</v>
      </c>
      <c r="E164" s="139">
        <f t="shared" ref="E164:M164" si="20">SUM(E156:E163)</f>
        <v>160530.87</v>
      </c>
      <c r="F164" s="139">
        <f t="shared" si="20"/>
        <v>0</v>
      </c>
      <c r="G164" s="139">
        <f t="shared" si="20"/>
        <v>1520453.5100000002</v>
      </c>
      <c r="H164" s="139">
        <f t="shared" si="20"/>
        <v>471649.49</v>
      </c>
      <c r="I164" s="139">
        <f t="shared" si="20"/>
        <v>812522.16999999993</v>
      </c>
      <c r="J164" s="139">
        <f t="shared" si="20"/>
        <v>36627.79</v>
      </c>
      <c r="K164" s="139">
        <f t="shared" si="20"/>
        <v>425689.22</v>
      </c>
      <c r="L164" s="139">
        <f t="shared" si="20"/>
        <v>269845.25</v>
      </c>
      <c r="M164" s="139">
        <f t="shared" si="20"/>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585</v>
      </c>
      <c r="C167" s="133"/>
      <c r="D167" s="133"/>
      <c r="E167" s="133"/>
      <c r="F167" s="133"/>
      <c r="G167" s="133"/>
      <c r="H167" s="133"/>
      <c r="I167" s="143" t="s">
        <v>444</v>
      </c>
      <c r="J167" s="133"/>
      <c r="K167" s="133"/>
      <c r="L167" s="133"/>
      <c r="M167" s="133"/>
    </row>
    <row r="168" spans="1:13" s="136" customFormat="1" ht="12.75">
      <c r="B168" s="141"/>
      <c r="C168" s="133"/>
      <c r="D168" s="133"/>
      <c r="E168" s="143" t="s">
        <v>471</v>
      </c>
      <c r="F168" s="143" t="s">
        <v>472</v>
      </c>
      <c r="G168" s="143" t="s">
        <v>473</v>
      </c>
      <c r="H168" s="143" t="s">
        <v>474</v>
      </c>
      <c r="I168" s="143" t="s">
        <v>475</v>
      </c>
      <c r="J168" s="129" t="s">
        <v>476</v>
      </c>
      <c r="K168" s="143" t="s">
        <v>477</v>
      </c>
      <c r="L168" s="133"/>
      <c r="M168" s="143" t="s">
        <v>478</v>
      </c>
    </row>
    <row r="169" spans="1:13" s="136" customFormat="1" ht="12.75">
      <c r="B169" s="141"/>
      <c r="C169" s="143" t="s">
        <v>479</v>
      </c>
      <c r="D169" s="143" t="s">
        <v>480</v>
      </c>
      <c r="E169" s="143" t="s">
        <v>481</v>
      </c>
      <c r="F169" s="143" t="s">
        <v>481</v>
      </c>
      <c r="G169" s="143" t="s">
        <v>482</v>
      </c>
      <c r="H169" s="143" t="s">
        <v>482</v>
      </c>
      <c r="I169" s="143" t="s">
        <v>483</v>
      </c>
      <c r="J169" s="129" t="s">
        <v>484</v>
      </c>
      <c r="K169" s="143" t="s">
        <v>485</v>
      </c>
      <c r="L169" s="143" t="s">
        <v>457</v>
      </c>
      <c r="M169" s="143" t="s">
        <v>486</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1">SUM(E171:M171)</f>
        <v>0</v>
      </c>
      <c r="E171" s="145"/>
      <c r="F171" s="135" t="s">
        <v>487</v>
      </c>
      <c r="G171" s="145"/>
      <c r="H171" s="145"/>
      <c r="I171" s="145"/>
      <c r="J171" s="145"/>
      <c r="K171" s="145"/>
      <c r="L171" s="145"/>
      <c r="M171" s="145"/>
    </row>
    <row r="172" spans="1:13" s="136" customFormat="1" ht="12.75">
      <c r="B172" s="132">
        <v>27</v>
      </c>
      <c r="C172" s="133" t="s">
        <v>182</v>
      </c>
      <c r="D172" s="134">
        <f t="shared" si="21"/>
        <v>0</v>
      </c>
      <c r="E172" s="145"/>
      <c r="F172" s="135" t="s">
        <v>487</v>
      </c>
      <c r="G172" s="145"/>
      <c r="H172" s="145"/>
      <c r="I172" s="145"/>
      <c r="J172" s="145"/>
      <c r="K172" s="145"/>
      <c r="L172" s="145"/>
      <c r="M172" s="145"/>
    </row>
    <row r="173" spans="1:13" s="136" customFormat="1" ht="12.75">
      <c r="B173" s="132">
        <v>60</v>
      </c>
      <c r="C173" s="133" t="s">
        <v>190</v>
      </c>
      <c r="D173" s="134">
        <f t="shared" si="21"/>
        <v>0</v>
      </c>
      <c r="E173" s="145"/>
      <c r="F173" s="135" t="s">
        <v>487</v>
      </c>
      <c r="G173" s="145"/>
      <c r="H173" s="145"/>
      <c r="I173" s="145"/>
      <c r="J173" s="145"/>
      <c r="K173" s="145"/>
      <c r="L173" s="145"/>
      <c r="M173" s="145"/>
    </row>
    <row r="174" spans="1:13" s="136" customFormat="1" ht="12.75">
      <c r="B174" s="132">
        <v>83</v>
      </c>
      <c r="C174" s="133" t="s">
        <v>124</v>
      </c>
      <c r="D174" s="134">
        <f t="shared" si="21"/>
        <v>0</v>
      </c>
      <c r="E174" s="145"/>
      <c r="F174" s="135" t="s">
        <v>487</v>
      </c>
      <c r="G174" s="135" t="s">
        <v>487</v>
      </c>
      <c r="H174" s="135" t="s">
        <v>487</v>
      </c>
      <c r="I174" s="135" t="s">
        <v>487</v>
      </c>
      <c r="J174" s="135" t="s">
        <v>487</v>
      </c>
      <c r="K174" s="145"/>
      <c r="L174" s="135" t="s">
        <v>487</v>
      </c>
      <c r="M174" s="135" t="s">
        <v>487</v>
      </c>
    </row>
    <row r="175" spans="1:13" s="136" customFormat="1" ht="12.75">
      <c r="B175" s="132">
        <v>89</v>
      </c>
      <c r="C175" s="133" t="s">
        <v>563</v>
      </c>
      <c r="D175" s="134">
        <f t="shared" si="21"/>
        <v>0</v>
      </c>
      <c r="E175" s="144"/>
      <c r="F175" s="135" t="s">
        <v>487</v>
      </c>
      <c r="G175" s="153" t="s">
        <v>487</v>
      </c>
      <c r="H175" s="156" t="s">
        <v>487</v>
      </c>
      <c r="I175" s="153" t="s">
        <v>487</v>
      </c>
      <c r="J175" s="153" t="s">
        <v>487</v>
      </c>
      <c r="K175" s="153" t="s">
        <v>487</v>
      </c>
      <c r="L175" s="153" t="s">
        <v>487</v>
      </c>
    </row>
    <row r="176" spans="1:13" s="136" customFormat="1" ht="12.75">
      <c r="B176" s="132">
        <v>98</v>
      </c>
      <c r="C176" s="133" t="s">
        <v>127</v>
      </c>
      <c r="D176" s="134">
        <f t="shared" si="21"/>
        <v>0</v>
      </c>
      <c r="E176" s="145"/>
      <c r="F176" s="135" t="s">
        <v>487</v>
      </c>
      <c r="G176" s="145"/>
      <c r="H176" s="145"/>
      <c r="I176" s="145"/>
      <c r="J176" s="145"/>
      <c r="K176" s="145"/>
      <c r="L176" s="145"/>
      <c r="M176" s="145"/>
    </row>
    <row r="177" spans="1:13" s="136" customFormat="1" ht="15">
      <c r="B177" s="132">
        <v>99</v>
      </c>
      <c r="C177" s="133" t="s">
        <v>442</v>
      </c>
      <c r="D177" s="119">
        <f t="shared" si="21"/>
        <v>0</v>
      </c>
      <c r="E177" s="119"/>
      <c r="F177" s="119"/>
      <c r="G177" s="137" t="s">
        <v>487</v>
      </c>
      <c r="H177" s="137" t="s">
        <v>487</v>
      </c>
      <c r="I177" s="137" t="s">
        <v>487</v>
      </c>
      <c r="J177" s="137" t="s">
        <v>487</v>
      </c>
      <c r="K177" s="137" t="s">
        <v>487</v>
      </c>
      <c r="L177" s="137" t="s">
        <v>487</v>
      </c>
      <c r="M177" s="137" t="s">
        <v>487</v>
      </c>
    </row>
    <row r="178" spans="1:13" s="136" customFormat="1" ht="15">
      <c r="B178" s="146"/>
      <c r="C178" s="122" t="s">
        <v>489</v>
      </c>
      <c r="D178" s="139">
        <f>SUM(D171:D177)</f>
        <v>0</v>
      </c>
      <c r="E178" s="139">
        <f t="shared" ref="E178:M178" si="22">SUM(E171:E177)</f>
        <v>0</v>
      </c>
      <c r="F178" s="139">
        <f t="shared" si="22"/>
        <v>0</v>
      </c>
      <c r="G178" s="139">
        <f t="shared" si="22"/>
        <v>0</v>
      </c>
      <c r="H178" s="139">
        <f t="shared" si="22"/>
        <v>0</v>
      </c>
      <c r="I178" s="139">
        <f t="shared" si="22"/>
        <v>0</v>
      </c>
      <c r="J178" s="139">
        <f t="shared" si="22"/>
        <v>0</v>
      </c>
      <c r="K178" s="139">
        <f t="shared" si="22"/>
        <v>0</v>
      </c>
      <c r="L178" s="139">
        <f t="shared" si="22"/>
        <v>0</v>
      </c>
      <c r="M178" s="139">
        <f t="shared" si="22"/>
        <v>0</v>
      </c>
    </row>
    <row r="179" spans="1:13" s="136" customFormat="1" ht="12.75">
      <c r="B179" s="148"/>
    </row>
    <row r="180" spans="1:13" s="136" customFormat="1" ht="12.75">
      <c r="B180" s="148"/>
    </row>
    <row r="181" spans="1:13" s="136" customFormat="1" ht="12.75">
      <c r="B181" s="150" t="s">
        <v>494</v>
      </c>
      <c r="I181" s="142" t="s">
        <v>444</v>
      </c>
    </row>
    <row r="182" spans="1:13" s="136" customFormat="1" ht="12.75">
      <c r="B182" s="132"/>
      <c r="C182" s="133"/>
      <c r="D182" s="133"/>
      <c r="E182" s="143" t="s">
        <v>471</v>
      </c>
      <c r="F182" s="143" t="s">
        <v>472</v>
      </c>
      <c r="G182" s="143" t="s">
        <v>473</v>
      </c>
      <c r="H182" s="143" t="s">
        <v>474</v>
      </c>
      <c r="I182" s="143" t="s">
        <v>475</v>
      </c>
      <c r="J182" s="129" t="s">
        <v>476</v>
      </c>
      <c r="K182" s="143" t="s">
        <v>477</v>
      </c>
      <c r="L182" s="133"/>
      <c r="M182" s="143" t="s">
        <v>478</v>
      </c>
    </row>
    <row r="183" spans="1:13" s="136" customFormat="1" ht="12.75">
      <c r="B183" s="132"/>
      <c r="C183" s="143" t="s">
        <v>479</v>
      </c>
      <c r="D183" s="143" t="s">
        <v>480</v>
      </c>
      <c r="E183" s="143" t="s">
        <v>481</v>
      </c>
      <c r="F183" s="143" t="s">
        <v>481</v>
      </c>
      <c r="G183" s="143" t="s">
        <v>482</v>
      </c>
      <c r="H183" s="143" t="s">
        <v>482</v>
      </c>
      <c r="I183" s="143" t="s">
        <v>483</v>
      </c>
      <c r="J183" s="129" t="s">
        <v>484</v>
      </c>
      <c r="K183" s="143" t="s">
        <v>485</v>
      </c>
      <c r="L183" s="143" t="s">
        <v>457</v>
      </c>
      <c r="M183" s="143" t="s">
        <v>486</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3">SUM(E185:M185)</f>
        <v>1077876.68</v>
      </c>
      <c r="E185" s="145">
        <v>91709.6</v>
      </c>
      <c r="F185" s="135" t="s">
        <v>487</v>
      </c>
      <c r="G185" s="145">
        <v>442061.08</v>
      </c>
      <c r="H185" s="145">
        <v>107491.77</v>
      </c>
      <c r="I185" s="145">
        <v>216272.47</v>
      </c>
      <c r="J185" s="145">
        <v>35723.31</v>
      </c>
      <c r="K185" s="145">
        <v>131994.53</v>
      </c>
      <c r="L185" s="145">
        <v>52623.92</v>
      </c>
      <c r="M185" s="145"/>
    </row>
    <row r="186" spans="1:13" s="136" customFormat="1" ht="12.75">
      <c r="B186" s="132">
        <v>27</v>
      </c>
      <c r="C186" s="133" t="s">
        <v>182</v>
      </c>
      <c r="D186" s="134">
        <f t="shared" si="23"/>
        <v>61674.039999999994</v>
      </c>
      <c r="E186" s="145">
        <v>1502.41</v>
      </c>
      <c r="F186" s="135" t="s">
        <v>487</v>
      </c>
      <c r="G186" s="145">
        <v>5137.1499999999996</v>
      </c>
      <c r="H186" s="145">
        <v>29025.759999999998</v>
      </c>
      <c r="I186" s="145">
        <v>6195.45</v>
      </c>
      <c r="J186" s="145">
        <v>21.2</v>
      </c>
      <c r="K186" s="145">
        <v>11850.75</v>
      </c>
      <c r="L186" s="145">
        <v>7941.32</v>
      </c>
      <c r="M186" s="145"/>
    </row>
    <row r="187" spans="1:13" s="136" customFormat="1" ht="12.75">
      <c r="B187" s="132">
        <v>60</v>
      </c>
      <c r="C187" s="133" t="s">
        <v>190</v>
      </c>
      <c r="D187" s="134">
        <f t="shared" si="23"/>
        <v>0</v>
      </c>
      <c r="E187" s="145"/>
      <c r="F187" s="135" t="s">
        <v>487</v>
      </c>
      <c r="G187" s="145"/>
      <c r="H187" s="145"/>
      <c r="I187" s="145"/>
      <c r="J187" s="145"/>
      <c r="K187" s="145"/>
      <c r="L187" s="145"/>
      <c r="M187" s="145"/>
    </row>
    <row r="188" spans="1:13" s="136" customFormat="1" ht="12.75">
      <c r="B188" s="132">
        <v>83</v>
      </c>
      <c r="C188" s="133" t="s">
        <v>124</v>
      </c>
      <c r="D188" s="134">
        <f t="shared" si="23"/>
        <v>0</v>
      </c>
      <c r="E188" s="145"/>
      <c r="F188" s="135" t="s">
        <v>487</v>
      </c>
      <c r="G188" s="135" t="s">
        <v>487</v>
      </c>
      <c r="H188" s="135" t="s">
        <v>487</v>
      </c>
      <c r="I188" s="135" t="s">
        <v>487</v>
      </c>
      <c r="J188" s="135" t="s">
        <v>487</v>
      </c>
      <c r="K188" s="145"/>
      <c r="L188" s="135" t="s">
        <v>487</v>
      </c>
      <c r="M188" s="135" t="s">
        <v>487</v>
      </c>
    </row>
    <row r="189" spans="1:13" s="136" customFormat="1" ht="12.75">
      <c r="B189" s="132">
        <v>89</v>
      </c>
      <c r="C189" s="133" t="s">
        <v>563</v>
      </c>
      <c r="D189" s="134">
        <f t="shared" si="23"/>
        <v>0</v>
      </c>
      <c r="E189" s="144"/>
      <c r="F189" s="135" t="s">
        <v>487</v>
      </c>
      <c r="G189" s="153" t="s">
        <v>487</v>
      </c>
      <c r="H189" s="156" t="s">
        <v>487</v>
      </c>
      <c r="I189" s="153" t="s">
        <v>487</v>
      </c>
      <c r="J189" s="153" t="s">
        <v>487</v>
      </c>
      <c r="K189" s="153" t="s">
        <v>487</v>
      </c>
      <c r="L189" s="153" t="s">
        <v>487</v>
      </c>
    </row>
    <row r="190" spans="1:13" s="136" customFormat="1" ht="12.75">
      <c r="B190" s="132">
        <v>98</v>
      </c>
      <c r="C190" s="133" t="s">
        <v>127</v>
      </c>
      <c r="D190" s="134">
        <f t="shared" si="23"/>
        <v>0</v>
      </c>
      <c r="E190" s="145"/>
      <c r="F190" s="135" t="s">
        <v>487</v>
      </c>
      <c r="G190" s="145"/>
      <c r="H190" s="145"/>
      <c r="I190" s="145"/>
      <c r="J190" s="145"/>
      <c r="K190" s="145"/>
      <c r="L190" s="145"/>
      <c r="M190" s="145"/>
    </row>
    <row r="191" spans="1:13" s="136" customFormat="1" ht="15">
      <c r="B191" s="132">
        <v>99</v>
      </c>
      <c r="C191" s="133" t="s">
        <v>442</v>
      </c>
      <c r="D191" s="119">
        <f>SUM(E191:F191)</f>
        <v>0</v>
      </c>
      <c r="E191" s="119"/>
      <c r="F191" s="119"/>
      <c r="G191" s="137" t="s">
        <v>487</v>
      </c>
      <c r="H191" s="137" t="s">
        <v>487</v>
      </c>
      <c r="I191" s="137" t="s">
        <v>487</v>
      </c>
      <c r="J191" s="137" t="s">
        <v>487</v>
      </c>
      <c r="K191" s="137" t="s">
        <v>487</v>
      </c>
      <c r="L191" s="137" t="s">
        <v>487</v>
      </c>
      <c r="M191" s="137" t="s">
        <v>487</v>
      </c>
    </row>
    <row r="192" spans="1:13" s="140" customFormat="1" ht="15">
      <c r="A192" s="136"/>
      <c r="B192" s="146"/>
      <c r="C192" s="122" t="s">
        <v>489</v>
      </c>
      <c r="D192" s="139">
        <f t="shared" ref="D192:M192" si="24">SUM(D185:D191)</f>
        <v>1139550.72</v>
      </c>
      <c r="E192" s="139">
        <f t="shared" si="24"/>
        <v>93212.010000000009</v>
      </c>
      <c r="F192" s="139">
        <f t="shared" si="24"/>
        <v>0</v>
      </c>
      <c r="G192" s="139">
        <f t="shared" si="24"/>
        <v>447198.23000000004</v>
      </c>
      <c r="H192" s="139">
        <f t="shared" si="24"/>
        <v>136517.53</v>
      </c>
      <c r="I192" s="139">
        <f t="shared" si="24"/>
        <v>222467.92</v>
      </c>
      <c r="J192" s="139">
        <f t="shared" si="24"/>
        <v>35744.509999999995</v>
      </c>
      <c r="K192" s="139">
        <f t="shared" si="24"/>
        <v>143845.28</v>
      </c>
      <c r="L192" s="139">
        <f t="shared" si="24"/>
        <v>60565.24</v>
      </c>
      <c r="M192" s="139">
        <f t="shared" si="24"/>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495</v>
      </c>
      <c r="C195" s="133"/>
      <c r="D195" s="133"/>
      <c r="E195" s="133"/>
      <c r="F195" s="133"/>
      <c r="G195" s="133"/>
      <c r="H195" s="133"/>
      <c r="I195" s="143" t="s">
        <v>444</v>
      </c>
      <c r="J195" s="133"/>
      <c r="K195" s="133"/>
      <c r="L195" s="133"/>
      <c r="M195" s="133"/>
    </row>
    <row r="196" spans="1:13" s="136" customFormat="1" ht="12.75">
      <c r="B196" s="132"/>
      <c r="C196" s="133"/>
      <c r="D196" s="133"/>
      <c r="E196" s="143" t="s">
        <v>471</v>
      </c>
      <c r="F196" s="143" t="s">
        <v>472</v>
      </c>
      <c r="G196" s="143" t="s">
        <v>473</v>
      </c>
      <c r="H196" s="143" t="s">
        <v>474</v>
      </c>
      <c r="I196" s="143" t="s">
        <v>475</v>
      </c>
      <c r="J196" s="129" t="s">
        <v>476</v>
      </c>
      <c r="K196" s="143" t="s">
        <v>477</v>
      </c>
      <c r="L196" s="133"/>
      <c r="M196" s="143" t="s">
        <v>478</v>
      </c>
    </row>
    <row r="197" spans="1:13" s="136" customFormat="1" ht="12.75">
      <c r="B197" s="132"/>
      <c r="C197" s="143" t="s">
        <v>479</v>
      </c>
      <c r="D197" s="143" t="s">
        <v>480</v>
      </c>
      <c r="E197" s="143" t="s">
        <v>481</v>
      </c>
      <c r="F197" s="143" t="s">
        <v>481</v>
      </c>
      <c r="G197" s="143" t="s">
        <v>482</v>
      </c>
      <c r="H197" s="143" t="s">
        <v>482</v>
      </c>
      <c r="I197" s="143" t="s">
        <v>483</v>
      </c>
      <c r="J197" s="129" t="s">
        <v>484</v>
      </c>
      <c r="K197" s="143" t="s">
        <v>485</v>
      </c>
      <c r="L197" s="143" t="s">
        <v>457</v>
      </c>
      <c r="M197" s="143" t="s">
        <v>486</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5">SUM(E199:M199)</f>
        <v>0</v>
      </c>
      <c r="E199" s="145"/>
      <c r="F199" s="135" t="s">
        <v>487</v>
      </c>
      <c r="G199" s="145"/>
      <c r="H199" s="145"/>
      <c r="I199" s="145"/>
      <c r="J199" s="145"/>
      <c r="K199" s="145"/>
      <c r="L199" s="145"/>
      <c r="M199" s="145"/>
    </row>
    <row r="200" spans="1:13" s="136" customFormat="1" ht="12.75">
      <c r="B200" s="132">
        <v>27</v>
      </c>
      <c r="C200" s="133" t="s">
        <v>182</v>
      </c>
      <c r="D200" s="134">
        <f t="shared" si="25"/>
        <v>0</v>
      </c>
      <c r="E200" s="145"/>
      <c r="F200" s="135" t="s">
        <v>487</v>
      </c>
      <c r="G200" s="145"/>
      <c r="H200" s="145"/>
      <c r="I200" s="145"/>
      <c r="J200" s="145"/>
      <c r="K200" s="145"/>
      <c r="L200" s="145"/>
      <c r="M200" s="145"/>
    </row>
    <row r="201" spans="1:13" s="136" customFormat="1" ht="12.75">
      <c r="B201" s="132">
        <v>60</v>
      </c>
      <c r="C201" s="133" t="s">
        <v>190</v>
      </c>
      <c r="D201" s="134">
        <f t="shared" si="25"/>
        <v>0</v>
      </c>
      <c r="E201" s="145"/>
      <c r="F201" s="135" t="s">
        <v>487</v>
      </c>
      <c r="G201" s="145"/>
      <c r="H201" s="145"/>
      <c r="I201" s="145"/>
      <c r="J201" s="145"/>
      <c r="K201" s="145"/>
      <c r="L201" s="145"/>
      <c r="M201" s="145"/>
    </row>
    <row r="202" spans="1:13" s="136" customFormat="1" ht="12.75">
      <c r="A202" s="133"/>
      <c r="B202" s="132">
        <v>72</v>
      </c>
      <c r="C202" s="133" t="s">
        <v>700</v>
      </c>
      <c r="D202" s="134">
        <f t="shared" si="25"/>
        <v>0</v>
      </c>
      <c r="E202" s="145"/>
      <c r="F202" s="135" t="s">
        <v>487</v>
      </c>
      <c r="G202" s="145"/>
      <c r="H202" s="145"/>
      <c r="I202" s="145"/>
      <c r="J202" s="145"/>
      <c r="K202" s="145"/>
      <c r="L202" s="145"/>
      <c r="M202" s="145"/>
    </row>
    <row r="203" spans="1:13" s="136" customFormat="1" ht="12.75">
      <c r="B203" s="132">
        <v>83</v>
      </c>
      <c r="C203" s="133" t="s">
        <v>124</v>
      </c>
      <c r="D203" s="134">
        <f t="shared" si="25"/>
        <v>0</v>
      </c>
      <c r="E203" s="145"/>
      <c r="F203" s="135" t="s">
        <v>487</v>
      </c>
      <c r="G203" s="135" t="s">
        <v>487</v>
      </c>
      <c r="H203" s="135" t="s">
        <v>487</v>
      </c>
      <c r="I203" s="135" t="s">
        <v>487</v>
      </c>
      <c r="J203" s="135" t="s">
        <v>487</v>
      </c>
      <c r="K203" s="145"/>
      <c r="L203" s="135" t="s">
        <v>487</v>
      </c>
      <c r="M203" s="135" t="s">
        <v>487</v>
      </c>
    </row>
    <row r="204" spans="1:13" s="136" customFormat="1" ht="12.75">
      <c r="B204" s="132">
        <v>89</v>
      </c>
      <c r="C204" s="133" t="s">
        <v>563</v>
      </c>
      <c r="D204" s="134">
        <f t="shared" si="25"/>
        <v>0</v>
      </c>
      <c r="E204" s="144"/>
      <c r="F204" s="135" t="s">
        <v>487</v>
      </c>
      <c r="G204" s="153" t="s">
        <v>487</v>
      </c>
      <c r="H204" s="156" t="s">
        <v>487</v>
      </c>
      <c r="I204" s="153" t="s">
        <v>487</v>
      </c>
      <c r="J204" s="153" t="s">
        <v>487</v>
      </c>
      <c r="K204" s="153" t="s">
        <v>487</v>
      </c>
      <c r="L204" s="153" t="s">
        <v>487</v>
      </c>
    </row>
    <row r="205" spans="1:13" s="136" customFormat="1" ht="12.75">
      <c r="B205" s="132">
        <v>98</v>
      </c>
      <c r="C205" s="133" t="s">
        <v>127</v>
      </c>
      <c r="D205" s="134">
        <f t="shared" si="25"/>
        <v>10243.369999999999</v>
      </c>
      <c r="E205" s="145">
        <v>765.16</v>
      </c>
      <c r="F205" s="135" t="s">
        <v>487</v>
      </c>
      <c r="G205" s="145"/>
      <c r="H205" s="145">
        <v>4071.85</v>
      </c>
      <c r="I205" s="145">
        <v>1405.39</v>
      </c>
      <c r="J205" s="145">
        <v>3096.67</v>
      </c>
      <c r="K205" s="145">
        <v>904.3</v>
      </c>
      <c r="L205" s="145"/>
      <c r="M205" s="145"/>
    </row>
    <row r="206" spans="1:13" s="136" customFormat="1" ht="15">
      <c r="B206" s="132">
        <v>99</v>
      </c>
      <c r="C206" s="133" t="s">
        <v>442</v>
      </c>
      <c r="D206" s="119">
        <f>SUM(E206:F206)</f>
        <v>0</v>
      </c>
      <c r="E206" s="119"/>
      <c r="F206" s="119"/>
      <c r="G206" s="137" t="s">
        <v>487</v>
      </c>
      <c r="H206" s="137" t="s">
        <v>487</v>
      </c>
      <c r="I206" s="137" t="s">
        <v>487</v>
      </c>
      <c r="J206" s="137" t="s">
        <v>487</v>
      </c>
      <c r="K206" s="137" t="s">
        <v>487</v>
      </c>
      <c r="L206" s="137" t="s">
        <v>487</v>
      </c>
      <c r="M206" s="137" t="s">
        <v>487</v>
      </c>
    </row>
    <row r="207" spans="1:13" s="140" customFormat="1" ht="15">
      <c r="A207" s="136"/>
      <c r="B207" s="146"/>
      <c r="C207" s="122" t="s">
        <v>489</v>
      </c>
      <c r="D207" s="139">
        <f t="shared" ref="D207:M207" si="26">SUM(D199:D206)</f>
        <v>10243.369999999999</v>
      </c>
      <c r="E207" s="139">
        <f t="shared" si="26"/>
        <v>765.16</v>
      </c>
      <c r="F207" s="139">
        <f t="shared" si="26"/>
        <v>0</v>
      </c>
      <c r="G207" s="139">
        <f t="shared" si="26"/>
        <v>0</v>
      </c>
      <c r="H207" s="139">
        <f t="shared" si="26"/>
        <v>4071.85</v>
      </c>
      <c r="I207" s="139">
        <f t="shared" si="26"/>
        <v>1405.39</v>
      </c>
      <c r="J207" s="139">
        <f t="shared" si="26"/>
        <v>3096.67</v>
      </c>
      <c r="K207" s="139">
        <f t="shared" si="26"/>
        <v>904.3</v>
      </c>
      <c r="L207" s="139">
        <f t="shared" si="26"/>
        <v>0</v>
      </c>
      <c r="M207" s="139">
        <f t="shared" si="26"/>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496</v>
      </c>
      <c r="C210" s="133"/>
      <c r="D210" s="133"/>
      <c r="E210" s="133"/>
      <c r="F210" s="133"/>
      <c r="G210" s="133"/>
      <c r="H210" s="143"/>
      <c r="I210" s="143" t="s">
        <v>444</v>
      </c>
      <c r="J210" s="133"/>
      <c r="K210" s="133"/>
      <c r="L210" s="133"/>
      <c r="M210" s="133"/>
    </row>
    <row r="211" spans="1:13" s="136" customFormat="1" ht="12.75">
      <c r="B211" s="132"/>
      <c r="C211" s="133"/>
      <c r="D211" s="133"/>
      <c r="E211" s="143" t="s">
        <v>471</v>
      </c>
      <c r="F211" s="143" t="s">
        <v>472</v>
      </c>
      <c r="G211" s="143" t="s">
        <v>473</v>
      </c>
      <c r="H211" s="143" t="s">
        <v>474</v>
      </c>
      <c r="I211" s="143" t="s">
        <v>475</v>
      </c>
      <c r="J211" s="129" t="s">
        <v>476</v>
      </c>
      <c r="K211" s="143" t="s">
        <v>477</v>
      </c>
      <c r="L211" s="133"/>
      <c r="M211" s="143" t="s">
        <v>478</v>
      </c>
    </row>
    <row r="212" spans="1:13" s="136" customFormat="1" ht="12.75">
      <c r="B212" s="132"/>
      <c r="C212" s="143" t="s">
        <v>479</v>
      </c>
      <c r="D212" s="143" t="s">
        <v>480</v>
      </c>
      <c r="E212" s="143" t="s">
        <v>481</v>
      </c>
      <c r="F212" s="143" t="s">
        <v>481</v>
      </c>
      <c r="G212" s="143" t="s">
        <v>482</v>
      </c>
      <c r="H212" s="143" t="s">
        <v>482</v>
      </c>
      <c r="I212" s="143" t="s">
        <v>483</v>
      </c>
      <c r="J212" s="129" t="s">
        <v>484</v>
      </c>
      <c r="K212" s="143" t="s">
        <v>485</v>
      </c>
      <c r="L212" s="143" t="s">
        <v>457</v>
      </c>
      <c r="M212" s="143" t="s">
        <v>486</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7">SUM(E214:M214)</f>
        <v>0</v>
      </c>
      <c r="E214" s="145"/>
      <c r="F214" s="135" t="s">
        <v>487</v>
      </c>
      <c r="G214" s="145"/>
      <c r="H214" s="145"/>
      <c r="I214" s="145"/>
      <c r="J214" s="145"/>
      <c r="K214" s="145"/>
      <c r="L214" s="145"/>
      <c r="M214" s="145"/>
    </row>
    <row r="215" spans="1:13" s="136" customFormat="1" ht="12.75">
      <c r="B215" s="132">
        <v>27</v>
      </c>
      <c r="C215" s="133" t="s">
        <v>182</v>
      </c>
      <c r="D215" s="134">
        <f t="shared" si="27"/>
        <v>0</v>
      </c>
      <c r="E215" s="145"/>
      <c r="F215" s="135" t="s">
        <v>487</v>
      </c>
      <c r="G215" s="145"/>
      <c r="H215" s="145"/>
      <c r="I215" s="145"/>
      <c r="J215" s="145"/>
      <c r="K215" s="145"/>
      <c r="L215" s="145"/>
      <c r="M215" s="145"/>
    </row>
    <row r="216" spans="1:13" s="136" customFormat="1" ht="12.75">
      <c r="B216" s="132">
        <v>60</v>
      </c>
      <c r="C216" s="133" t="s">
        <v>190</v>
      </c>
      <c r="D216" s="134">
        <f t="shared" si="27"/>
        <v>0</v>
      </c>
      <c r="E216" s="145"/>
      <c r="F216" s="135" t="s">
        <v>487</v>
      </c>
      <c r="G216" s="145"/>
      <c r="H216" s="145"/>
      <c r="I216" s="145"/>
      <c r="J216" s="145"/>
      <c r="K216" s="145"/>
      <c r="L216" s="145"/>
      <c r="M216" s="145"/>
    </row>
    <row r="217" spans="1:13" s="136" customFormat="1" ht="12.75">
      <c r="A217" s="133"/>
      <c r="B217" s="132">
        <v>72</v>
      </c>
      <c r="C217" s="133" t="s">
        <v>700</v>
      </c>
      <c r="D217" s="134">
        <f t="shared" si="27"/>
        <v>0</v>
      </c>
      <c r="E217" s="145"/>
      <c r="F217" s="135" t="s">
        <v>487</v>
      </c>
      <c r="G217" s="145"/>
      <c r="H217" s="145"/>
      <c r="I217" s="145"/>
      <c r="J217" s="145"/>
      <c r="K217" s="145"/>
      <c r="L217" s="145"/>
      <c r="M217" s="145"/>
    </row>
    <row r="218" spans="1:13" s="136" customFormat="1" ht="12.75">
      <c r="B218" s="132">
        <v>83</v>
      </c>
      <c r="C218" s="133" t="s">
        <v>124</v>
      </c>
      <c r="D218" s="134">
        <f t="shared" si="27"/>
        <v>0</v>
      </c>
      <c r="E218" s="145"/>
      <c r="F218" s="135" t="s">
        <v>487</v>
      </c>
      <c r="G218" s="135" t="s">
        <v>487</v>
      </c>
      <c r="H218" s="135" t="s">
        <v>487</v>
      </c>
      <c r="I218" s="135" t="s">
        <v>487</v>
      </c>
      <c r="J218" s="135" t="s">
        <v>487</v>
      </c>
      <c r="K218" s="145"/>
      <c r="L218" s="135" t="s">
        <v>487</v>
      </c>
      <c r="M218" s="135" t="s">
        <v>487</v>
      </c>
    </row>
    <row r="219" spans="1:13" s="136" customFormat="1" ht="12.75">
      <c r="B219" s="132">
        <v>89</v>
      </c>
      <c r="C219" s="133" t="s">
        <v>563</v>
      </c>
      <c r="D219" s="134">
        <f t="shared" si="27"/>
        <v>0</v>
      </c>
      <c r="E219" s="144"/>
      <c r="F219" s="135" t="s">
        <v>487</v>
      </c>
      <c r="G219" s="153" t="s">
        <v>487</v>
      </c>
      <c r="H219" s="156" t="s">
        <v>487</v>
      </c>
      <c r="I219" s="153" t="s">
        <v>487</v>
      </c>
      <c r="J219" s="153" t="s">
        <v>487</v>
      </c>
      <c r="K219" s="153" t="s">
        <v>487</v>
      </c>
      <c r="L219" s="153" t="s">
        <v>487</v>
      </c>
    </row>
    <row r="220" spans="1:13" s="136" customFormat="1" ht="12.75">
      <c r="B220" s="132">
        <v>98</v>
      </c>
      <c r="C220" s="133" t="s">
        <v>127</v>
      </c>
      <c r="D220" s="134">
        <f t="shared" si="27"/>
        <v>2455612.2799999998</v>
      </c>
      <c r="E220" s="145">
        <v>166925.04</v>
      </c>
      <c r="F220" s="135" t="s">
        <v>487</v>
      </c>
      <c r="G220" s="145"/>
      <c r="H220" s="145">
        <v>1133839.54</v>
      </c>
      <c r="I220" s="145">
        <v>491058.19</v>
      </c>
      <c r="J220" s="145">
        <v>471590.83</v>
      </c>
      <c r="K220" s="145">
        <v>128781.05</v>
      </c>
      <c r="L220" s="145">
        <v>63417.63</v>
      </c>
      <c r="M220" s="145"/>
    </row>
    <row r="221" spans="1:13" s="136" customFormat="1" ht="15">
      <c r="B221" s="132">
        <v>99</v>
      </c>
      <c r="C221" s="133" t="s">
        <v>442</v>
      </c>
      <c r="D221" s="119">
        <f>SUM(E221:F221)</f>
        <v>0</v>
      </c>
      <c r="E221" s="119"/>
      <c r="F221" s="119"/>
      <c r="G221" s="137" t="s">
        <v>487</v>
      </c>
      <c r="H221" s="137" t="s">
        <v>487</v>
      </c>
      <c r="I221" s="137" t="s">
        <v>487</v>
      </c>
      <c r="J221" s="137" t="s">
        <v>487</v>
      </c>
      <c r="K221" s="137" t="s">
        <v>487</v>
      </c>
      <c r="L221" s="137" t="s">
        <v>487</v>
      </c>
      <c r="M221" s="137" t="s">
        <v>487</v>
      </c>
    </row>
    <row r="222" spans="1:13" s="140" customFormat="1" ht="15">
      <c r="A222" s="136"/>
      <c r="B222" s="146"/>
      <c r="C222" s="122" t="s">
        <v>489</v>
      </c>
      <c r="D222" s="139">
        <f t="shared" ref="D222:M222" si="28">SUM(D214:D221)</f>
        <v>2455612.2799999998</v>
      </c>
      <c r="E222" s="139">
        <f t="shared" si="28"/>
        <v>166925.04</v>
      </c>
      <c r="F222" s="139">
        <f t="shared" si="28"/>
        <v>0</v>
      </c>
      <c r="G222" s="139">
        <f t="shared" si="28"/>
        <v>0</v>
      </c>
      <c r="H222" s="139">
        <f t="shared" si="28"/>
        <v>1133839.54</v>
      </c>
      <c r="I222" s="139">
        <f t="shared" si="28"/>
        <v>491058.19</v>
      </c>
      <c r="J222" s="139">
        <f t="shared" si="28"/>
        <v>471590.83</v>
      </c>
      <c r="K222" s="139">
        <f t="shared" si="28"/>
        <v>128781.05</v>
      </c>
      <c r="L222" s="139">
        <f t="shared" si="28"/>
        <v>63417.63</v>
      </c>
      <c r="M222" s="139">
        <f t="shared" si="28"/>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497</v>
      </c>
      <c r="C225" s="133"/>
      <c r="D225" s="133"/>
      <c r="E225" s="133"/>
      <c r="F225" s="133"/>
      <c r="G225" s="133"/>
      <c r="H225" s="133"/>
      <c r="I225" s="143" t="s">
        <v>444</v>
      </c>
      <c r="J225" s="133"/>
      <c r="K225" s="133"/>
      <c r="L225" s="133"/>
      <c r="M225" s="133"/>
    </row>
    <row r="226" spans="1:13" s="136" customFormat="1" ht="12.75">
      <c r="B226" s="132"/>
      <c r="C226" s="133"/>
      <c r="D226" s="133"/>
      <c r="E226" s="143" t="s">
        <v>471</v>
      </c>
      <c r="F226" s="143" t="s">
        <v>472</v>
      </c>
      <c r="G226" s="143" t="s">
        <v>473</v>
      </c>
      <c r="H226" s="143" t="s">
        <v>474</v>
      </c>
      <c r="I226" s="143" t="s">
        <v>475</v>
      </c>
      <c r="J226" s="129" t="s">
        <v>476</v>
      </c>
      <c r="K226" s="143" t="s">
        <v>477</v>
      </c>
      <c r="L226" s="133"/>
      <c r="M226" s="143" t="s">
        <v>478</v>
      </c>
    </row>
    <row r="227" spans="1:13" s="136" customFormat="1" ht="12.75">
      <c r="B227" s="132"/>
      <c r="C227" s="143" t="s">
        <v>479</v>
      </c>
      <c r="D227" s="143" t="s">
        <v>480</v>
      </c>
      <c r="E227" s="143" t="s">
        <v>481</v>
      </c>
      <c r="F227" s="143" t="s">
        <v>481</v>
      </c>
      <c r="G227" s="143" t="s">
        <v>482</v>
      </c>
      <c r="H227" s="143" t="s">
        <v>482</v>
      </c>
      <c r="I227" s="143" t="s">
        <v>483</v>
      </c>
      <c r="J227" s="129" t="s">
        <v>484</v>
      </c>
      <c r="K227" s="143" t="s">
        <v>485</v>
      </c>
      <c r="L227" s="143" t="s">
        <v>457</v>
      </c>
      <c r="M227" s="143" t="s">
        <v>486</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9">SUM(E229:M229)</f>
        <v>348025.26</v>
      </c>
      <c r="E229" s="145">
        <v>6960.64</v>
      </c>
      <c r="F229" s="135" t="s">
        <v>487</v>
      </c>
      <c r="G229" s="145"/>
      <c r="H229" s="145">
        <v>188533.94</v>
      </c>
      <c r="I229" s="145">
        <v>88748.36</v>
      </c>
      <c r="J229" s="145">
        <v>799.77</v>
      </c>
      <c r="K229" s="145">
        <v>54279.38</v>
      </c>
      <c r="L229" s="145">
        <v>8703.17</v>
      </c>
      <c r="M229" s="145"/>
    </row>
    <row r="230" spans="1:13" s="136" customFormat="1" ht="12.75">
      <c r="B230" s="132">
        <v>27</v>
      </c>
      <c r="C230" s="133" t="s">
        <v>182</v>
      </c>
      <c r="D230" s="134">
        <f t="shared" si="29"/>
        <v>0</v>
      </c>
      <c r="E230" s="145"/>
      <c r="F230" s="135" t="s">
        <v>487</v>
      </c>
      <c r="G230" s="145"/>
      <c r="H230" s="145"/>
      <c r="I230" s="145"/>
      <c r="J230" s="145"/>
      <c r="K230" s="145"/>
      <c r="L230" s="145"/>
      <c r="M230" s="145"/>
    </row>
    <row r="231" spans="1:13" s="136" customFormat="1" ht="12.75">
      <c r="B231" s="132">
        <v>60</v>
      </c>
      <c r="C231" s="133" t="s">
        <v>190</v>
      </c>
      <c r="D231" s="134">
        <f t="shared" si="29"/>
        <v>0</v>
      </c>
      <c r="E231" s="145"/>
      <c r="F231" s="135" t="s">
        <v>487</v>
      </c>
      <c r="G231" s="145"/>
      <c r="H231" s="145"/>
      <c r="I231" s="145"/>
      <c r="J231" s="145"/>
      <c r="K231" s="145"/>
      <c r="L231" s="145"/>
      <c r="M231" s="145"/>
    </row>
    <row r="232" spans="1:13" s="136" customFormat="1" ht="12.75">
      <c r="B232" s="132">
        <v>83</v>
      </c>
      <c r="C232" s="133" t="s">
        <v>124</v>
      </c>
      <c r="D232" s="134">
        <f t="shared" si="29"/>
        <v>0</v>
      </c>
      <c r="E232" s="145"/>
      <c r="F232" s="135" t="s">
        <v>487</v>
      </c>
      <c r="G232" s="135" t="s">
        <v>487</v>
      </c>
      <c r="H232" s="135" t="s">
        <v>487</v>
      </c>
      <c r="I232" s="135" t="s">
        <v>487</v>
      </c>
      <c r="J232" s="135" t="s">
        <v>487</v>
      </c>
      <c r="K232" s="145"/>
      <c r="L232" s="135" t="s">
        <v>487</v>
      </c>
      <c r="M232" s="135" t="s">
        <v>487</v>
      </c>
    </row>
    <row r="233" spans="1:13" s="136" customFormat="1" ht="12.75">
      <c r="B233" s="132">
        <v>89</v>
      </c>
      <c r="C233" s="133" t="s">
        <v>563</v>
      </c>
      <c r="D233" s="134">
        <f t="shared" si="29"/>
        <v>0</v>
      </c>
      <c r="E233" s="144"/>
      <c r="F233" s="135" t="s">
        <v>487</v>
      </c>
      <c r="G233" s="153" t="s">
        <v>487</v>
      </c>
      <c r="H233" s="156" t="s">
        <v>487</v>
      </c>
      <c r="I233" s="153" t="s">
        <v>487</v>
      </c>
      <c r="J233" s="153" t="s">
        <v>487</v>
      </c>
      <c r="K233" s="153" t="s">
        <v>487</v>
      </c>
      <c r="L233" s="153" t="s">
        <v>487</v>
      </c>
    </row>
    <row r="234" spans="1:13" s="136" customFormat="1" ht="12.75">
      <c r="B234" s="132">
        <v>98</v>
      </c>
      <c r="C234" s="133" t="s">
        <v>127</v>
      </c>
      <c r="D234" s="134">
        <f t="shared" si="29"/>
        <v>0</v>
      </c>
      <c r="E234" s="145"/>
      <c r="F234" s="135" t="s">
        <v>487</v>
      </c>
      <c r="G234" s="145"/>
      <c r="H234" s="145"/>
      <c r="I234" s="145"/>
      <c r="J234" s="145"/>
      <c r="K234" s="145"/>
      <c r="L234" s="145"/>
      <c r="M234" s="145"/>
    </row>
    <row r="235" spans="1:13" s="136" customFormat="1" ht="15">
      <c r="B235" s="132">
        <v>99</v>
      </c>
      <c r="C235" s="133" t="s">
        <v>442</v>
      </c>
      <c r="D235" s="119">
        <f>SUM(E235:F235)</f>
        <v>0</v>
      </c>
      <c r="E235" s="119"/>
      <c r="F235" s="119"/>
      <c r="G235" s="137" t="s">
        <v>487</v>
      </c>
      <c r="H235" s="137" t="s">
        <v>487</v>
      </c>
      <c r="I235" s="137" t="s">
        <v>487</v>
      </c>
      <c r="J235" s="137" t="s">
        <v>487</v>
      </c>
      <c r="K235" s="137" t="s">
        <v>487</v>
      </c>
      <c r="L235" s="137" t="s">
        <v>487</v>
      </c>
      <c r="M235" s="137" t="s">
        <v>487</v>
      </c>
    </row>
    <row r="236" spans="1:13" s="140" customFormat="1" ht="15">
      <c r="A236" s="136"/>
      <c r="B236" s="146"/>
      <c r="C236" s="122" t="s">
        <v>489</v>
      </c>
      <c r="D236" s="139">
        <f t="shared" ref="D236:M236" si="30">SUM(D229:D235)</f>
        <v>348025.26</v>
      </c>
      <c r="E236" s="139">
        <f t="shared" si="30"/>
        <v>6960.64</v>
      </c>
      <c r="F236" s="139">
        <f t="shared" si="30"/>
        <v>0</v>
      </c>
      <c r="G236" s="139">
        <f t="shared" si="30"/>
        <v>0</v>
      </c>
      <c r="H236" s="139">
        <f t="shared" si="30"/>
        <v>188533.94</v>
      </c>
      <c r="I236" s="139">
        <f t="shared" si="30"/>
        <v>88748.36</v>
      </c>
      <c r="J236" s="139">
        <f t="shared" si="30"/>
        <v>799.77</v>
      </c>
      <c r="K236" s="139">
        <f t="shared" si="30"/>
        <v>54279.38</v>
      </c>
      <c r="L236" s="139">
        <f t="shared" si="30"/>
        <v>8703.17</v>
      </c>
      <c r="M236" s="139">
        <f t="shared" si="30"/>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586</v>
      </c>
      <c r="C239" s="133"/>
      <c r="D239" s="133"/>
      <c r="E239" s="133"/>
      <c r="F239" s="133"/>
      <c r="G239" s="133"/>
      <c r="H239" s="133"/>
      <c r="I239" s="143" t="s">
        <v>444</v>
      </c>
      <c r="J239" s="133"/>
      <c r="K239" s="133"/>
      <c r="L239" s="133"/>
      <c r="M239" s="133"/>
    </row>
    <row r="240" spans="1:13" s="136" customFormat="1" ht="12.75">
      <c r="B240" s="132"/>
      <c r="C240" s="133"/>
      <c r="D240" s="133"/>
      <c r="E240" s="143" t="s">
        <v>471</v>
      </c>
      <c r="F240" s="143" t="s">
        <v>472</v>
      </c>
      <c r="G240" s="143" t="s">
        <v>473</v>
      </c>
      <c r="H240" s="143" t="s">
        <v>474</v>
      </c>
      <c r="I240" s="143" t="s">
        <v>475</v>
      </c>
      <c r="J240" s="129" t="s">
        <v>476</v>
      </c>
      <c r="K240" s="143" t="s">
        <v>477</v>
      </c>
      <c r="L240" s="133"/>
      <c r="M240" s="143" t="s">
        <v>478</v>
      </c>
    </row>
    <row r="241" spans="1:13" s="136" customFormat="1" ht="12.75">
      <c r="B241" s="132"/>
      <c r="C241" s="143" t="s">
        <v>479</v>
      </c>
      <c r="D241" s="143" t="s">
        <v>480</v>
      </c>
      <c r="E241" s="143" t="s">
        <v>481</v>
      </c>
      <c r="F241" s="143" t="s">
        <v>481</v>
      </c>
      <c r="G241" s="143" t="s">
        <v>482</v>
      </c>
      <c r="H241" s="143" t="s">
        <v>482</v>
      </c>
      <c r="I241" s="143" t="s">
        <v>483</v>
      </c>
      <c r="J241" s="129" t="s">
        <v>484</v>
      </c>
      <c r="K241" s="143" t="s">
        <v>485</v>
      </c>
      <c r="L241" s="143" t="s">
        <v>457</v>
      </c>
      <c r="M241" s="143" t="s">
        <v>486</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1">SUM(E243:M243)</f>
        <v>0</v>
      </c>
      <c r="E243" s="145"/>
      <c r="F243" s="135" t="s">
        <v>487</v>
      </c>
      <c r="G243" s="145"/>
      <c r="H243" s="145"/>
      <c r="I243" s="145"/>
      <c r="J243" s="145"/>
      <c r="K243" s="145"/>
      <c r="L243" s="145"/>
      <c r="M243" s="145"/>
    </row>
    <row r="244" spans="1:13" s="136" customFormat="1" ht="12.75">
      <c r="B244" s="132">
        <v>27</v>
      </c>
      <c r="C244" s="133" t="s">
        <v>182</v>
      </c>
      <c r="D244" s="134">
        <f t="shared" si="31"/>
        <v>0</v>
      </c>
      <c r="E244" s="145"/>
      <c r="F244" s="135" t="s">
        <v>487</v>
      </c>
      <c r="G244" s="145"/>
      <c r="H244" s="145"/>
      <c r="I244" s="145"/>
      <c r="J244" s="145"/>
      <c r="K244" s="145"/>
      <c r="L244" s="145"/>
      <c r="M244" s="145"/>
    </row>
    <row r="245" spans="1:13" s="136" customFormat="1" ht="12.75">
      <c r="B245" s="132">
        <v>60</v>
      </c>
      <c r="C245" s="133" t="s">
        <v>190</v>
      </c>
      <c r="D245" s="134">
        <f t="shared" si="31"/>
        <v>0</v>
      </c>
      <c r="E245" s="145"/>
      <c r="F245" s="135" t="s">
        <v>487</v>
      </c>
      <c r="G245" s="145"/>
      <c r="H245" s="145"/>
      <c r="I245" s="145"/>
      <c r="J245" s="145"/>
      <c r="K245" s="145"/>
      <c r="L245" s="145"/>
      <c r="M245" s="145"/>
    </row>
    <row r="246" spans="1:13" s="136" customFormat="1" ht="12.75">
      <c r="B246" s="132">
        <v>83</v>
      </c>
      <c r="C246" s="133" t="s">
        <v>124</v>
      </c>
      <c r="D246" s="134">
        <f t="shared" si="31"/>
        <v>0</v>
      </c>
      <c r="E246" s="145"/>
      <c r="F246" s="135" t="s">
        <v>487</v>
      </c>
      <c r="G246" s="135" t="s">
        <v>487</v>
      </c>
      <c r="H246" s="135" t="s">
        <v>487</v>
      </c>
      <c r="I246" s="135" t="s">
        <v>487</v>
      </c>
      <c r="J246" s="135" t="s">
        <v>487</v>
      </c>
      <c r="K246" s="145"/>
      <c r="L246" s="135" t="s">
        <v>487</v>
      </c>
      <c r="M246" s="135" t="s">
        <v>487</v>
      </c>
    </row>
    <row r="247" spans="1:13" s="136" customFormat="1" ht="12.75">
      <c r="B247" s="132">
        <v>89</v>
      </c>
      <c r="C247" s="133" t="s">
        <v>563</v>
      </c>
      <c r="D247" s="134">
        <f t="shared" si="31"/>
        <v>0</v>
      </c>
      <c r="E247" s="144"/>
      <c r="F247" s="135" t="s">
        <v>487</v>
      </c>
      <c r="G247" s="153" t="s">
        <v>487</v>
      </c>
      <c r="H247" s="156" t="s">
        <v>487</v>
      </c>
      <c r="I247" s="153" t="s">
        <v>487</v>
      </c>
      <c r="J247" s="153" t="s">
        <v>487</v>
      </c>
      <c r="K247" s="153" t="s">
        <v>487</v>
      </c>
      <c r="L247" s="153" t="s">
        <v>487</v>
      </c>
    </row>
    <row r="248" spans="1:13" s="136" customFormat="1" ht="12.75">
      <c r="B248" s="132">
        <v>98</v>
      </c>
      <c r="C248" s="133" t="s">
        <v>127</v>
      </c>
      <c r="D248" s="134">
        <f t="shared" si="31"/>
        <v>0</v>
      </c>
      <c r="E248" s="145"/>
      <c r="F248" s="135" t="s">
        <v>487</v>
      </c>
      <c r="G248" s="145"/>
      <c r="H248" s="145"/>
      <c r="I248" s="145"/>
      <c r="J248" s="145"/>
      <c r="K248" s="145"/>
      <c r="L248" s="145"/>
      <c r="M248" s="145"/>
    </row>
    <row r="249" spans="1:13" s="136" customFormat="1" ht="15">
      <c r="B249" s="132">
        <v>99</v>
      </c>
      <c r="C249" s="133" t="s">
        <v>442</v>
      </c>
      <c r="D249" s="119">
        <f>SUM(E249:F249)</f>
        <v>0</v>
      </c>
      <c r="E249" s="119"/>
      <c r="F249" s="119"/>
      <c r="G249" s="137" t="s">
        <v>487</v>
      </c>
      <c r="H249" s="137" t="s">
        <v>487</v>
      </c>
      <c r="I249" s="137" t="s">
        <v>487</v>
      </c>
      <c r="J249" s="137" t="s">
        <v>487</v>
      </c>
      <c r="K249" s="137" t="s">
        <v>487</v>
      </c>
      <c r="L249" s="137" t="s">
        <v>487</v>
      </c>
      <c r="M249" s="137" t="s">
        <v>487</v>
      </c>
    </row>
    <row r="250" spans="1:13" s="140" customFormat="1" ht="15">
      <c r="A250" s="136"/>
      <c r="B250" s="146"/>
      <c r="C250" s="122" t="s">
        <v>489</v>
      </c>
      <c r="D250" s="139">
        <f t="shared" ref="D250:M250" si="32">SUM(D243:D249)</f>
        <v>0</v>
      </c>
      <c r="E250" s="139">
        <f t="shared" si="32"/>
        <v>0</v>
      </c>
      <c r="F250" s="139">
        <f t="shared" si="32"/>
        <v>0</v>
      </c>
      <c r="G250" s="139">
        <f t="shared" si="32"/>
        <v>0</v>
      </c>
      <c r="H250" s="139">
        <f t="shared" si="32"/>
        <v>0</v>
      </c>
      <c r="I250" s="139">
        <f t="shared" si="32"/>
        <v>0</v>
      </c>
      <c r="J250" s="139">
        <f t="shared" si="32"/>
        <v>0</v>
      </c>
      <c r="K250" s="139">
        <f t="shared" si="32"/>
        <v>0</v>
      </c>
      <c r="L250" s="139">
        <f t="shared" si="32"/>
        <v>0</v>
      </c>
      <c r="M250" s="139">
        <f t="shared" si="32"/>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498</v>
      </c>
      <c r="C253" s="133"/>
      <c r="D253" s="133"/>
      <c r="E253" s="133"/>
      <c r="F253" s="133"/>
      <c r="G253" s="133"/>
      <c r="H253" s="133"/>
      <c r="I253" s="143" t="s">
        <v>444</v>
      </c>
      <c r="J253" s="133"/>
      <c r="K253" s="133"/>
      <c r="L253" s="133"/>
      <c r="M253" s="133"/>
    </row>
    <row r="254" spans="1:13" s="136" customFormat="1" ht="12.75">
      <c r="B254" s="132"/>
      <c r="C254" s="133"/>
      <c r="D254" s="133"/>
      <c r="E254" s="143" t="s">
        <v>471</v>
      </c>
      <c r="F254" s="143" t="s">
        <v>472</v>
      </c>
      <c r="G254" s="143" t="s">
        <v>473</v>
      </c>
      <c r="H254" s="143" t="s">
        <v>474</v>
      </c>
      <c r="I254" s="143" t="s">
        <v>475</v>
      </c>
      <c r="J254" s="129" t="s">
        <v>476</v>
      </c>
      <c r="K254" s="143" t="s">
        <v>477</v>
      </c>
      <c r="L254" s="133"/>
      <c r="M254" s="143" t="s">
        <v>478</v>
      </c>
    </row>
    <row r="255" spans="1:13" s="136" customFormat="1" ht="12.75">
      <c r="B255" s="132"/>
      <c r="C255" s="143" t="s">
        <v>479</v>
      </c>
      <c r="D255" s="143" t="s">
        <v>480</v>
      </c>
      <c r="E255" s="143" t="s">
        <v>481</v>
      </c>
      <c r="F255" s="143" t="s">
        <v>481</v>
      </c>
      <c r="G255" s="143" t="s">
        <v>482</v>
      </c>
      <c r="H255" s="143" t="s">
        <v>482</v>
      </c>
      <c r="I255" s="143" t="s">
        <v>483</v>
      </c>
      <c r="J255" s="129" t="s">
        <v>484</v>
      </c>
      <c r="K255" s="143" t="s">
        <v>485</v>
      </c>
      <c r="L255" s="143" t="s">
        <v>457</v>
      </c>
      <c r="M255" s="143" t="s">
        <v>486</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3">SUM(E257:M257)</f>
        <v>0</v>
      </c>
      <c r="E257" s="145"/>
      <c r="F257" s="135" t="s">
        <v>487</v>
      </c>
      <c r="G257" s="145"/>
      <c r="H257" s="145"/>
      <c r="I257" s="145"/>
      <c r="J257" s="145"/>
      <c r="K257" s="145"/>
      <c r="L257" s="145"/>
      <c r="M257" s="145"/>
    </row>
    <row r="258" spans="1:13" s="136" customFormat="1" ht="12.75">
      <c r="B258" s="132">
        <v>27</v>
      </c>
      <c r="C258" s="133" t="s">
        <v>182</v>
      </c>
      <c r="D258" s="134">
        <f t="shared" si="33"/>
        <v>0</v>
      </c>
      <c r="E258" s="145"/>
      <c r="F258" s="135" t="s">
        <v>487</v>
      </c>
      <c r="G258" s="145"/>
      <c r="H258" s="145"/>
      <c r="I258" s="145"/>
      <c r="J258" s="145"/>
      <c r="K258" s="145"/>
      <c r="L258" s="145"/>
      <c r="M258" s="145"/>
    </row>
    <row r="259" spans="1:13" s="136" customFormat="1" ht="12.75">
      <c r="B259" s="132">
        <v>60</v>
      </c>
      <c r="C259" s="133" t="s">
        <v>190</v>
      </c>
      <c r="D259" s="134">
        <f t="shared" si="33"/>
        <v>0</v>
      </c>
      <c r="E259" s="145"/>
      <c r="F259" s="135" t="s">
        <v>487</v>
      </c>
      <c r="G259" s="145"/>
      <c r="H259" s="145"/>
      <c r="I259" s="145"/>
      <c r="J259" s="145"/>
      <c r="K259" s="145"/>
      <c r="L259" s="145"/>
      <c r="M259" s="145"/>
    </row>
    <row r="260" spans="1:13" s="136" customFormat="1" ht="12.75">
      <c r="B260" s="132">
        <v>83</v>
      </c>
      <c r="C260" s="133" t="s">
        <v>124</v>
      </c>
      <c r="D260" s="134">
        <f t="shared" si="33"/>
        <v>0</v>
      </c>
      <c r="E260" s="145"/>
      <c r="F260" s="135" t="s">
        <v>487</v>
      </c>
      <c r="G260" s="135" t="s">
        <v>487</v>
      </c>
      <c r="H260" s="135" t="s">
        <v>487</v>
      </c>
      <c r="I260" s="135" t="s">
        <v>487</v>
      </c>
      <c r="J260" s="135" t="s">
        <v>487</v>
      </c>
      <c r="K260" s="145"/>
      <c r="L260" s="135" t="s">
        <v>487</v>
      </c>
      <c r="M260" s="135" t="s">
        <v>487</v>
      </c>
    </row>
    <row r="261" spans="1:13" s="136" customFormat="1" ht="12.75">
      <c r="B261" s="132">
        <v>89</v>
      </c>
      <c r="C261" s="133" t="s">
        <v>563</v>
      </c>
      <c r="D261" s="134">
        <f t="shared" si="33"/>
        <v>0</v>
      </c>
      <c r="E261" s="144"/>
      <c r="F261" s="135" t="s">
        <v>487</v>
      </c>
      <c r="G261" s="153" t="s">
        <v>487</v>
      </c>
      <c r="H261" s="156" t="s">
        <v>487</v>
      </c>
      <c r="I261" s="153" t="s">
        <v>487</v>
      </c>
      <c r="J261" s="153" t="s">
        <v>487</v>
      </c>
      <c r="K261" s="153" t="s">
        <v>487</v>
      </c>
      <c r="L261" s="153" t="s">
        <v>487</v>
      </c>
    </row>
    <row r="262" spans="1:13" s="136" customFormat="1" ht="12.75">
      <c r="B262" s="132">
        <v>98</v>
      </c>
      <c r="C262" s="133" t="s">
        <v>127</v>
      </c>
      <c r="D262" s="134">
        <f t="shared" si="33"/>
        <v>0</v>
      </c>
      <c r="E262" s="145"/>
      <c r="F262" s="135" t="s">
        <v>487</v>
      </c>
      <c r="G262" s="145"/>
      <c r="H262" s="145"/>
      <c r="I262" s="145"/>
      <c r="J262" s="145"/>
      <c r="K262" s="145"/>
      <c r="L262" s="145"/>
      <c r="M262" s="145"/>
    </row>
    <row r="263" spans="1:13" s="136" customFormat="1" ht="15">
      <c r="B263" s="132">
        <v>99</v>
      </c>
      <c r="C263" s="133" t="s">
        <v>442</v>
      </c>
      <c r="D263" s="119">
        <f>SUM(E263:F263)</f>
        <v>0</v>
      </c>
      <c r="E263" s="119"/>
      <c r="F263" s="119"/>
      <c r="G263" s="137" t="s">
        <v>487</v>
      </c>
      <c r="H263" s="137" t="s">
        <v>487</v>
      </c>
      <c r="I263" s="137" t="s">
        <v>487</v>
      </c>
      <c r="J263" s="137" t="s">
        <v>487</v>
      </c>
      <c r="K263" s="137" t="s">
        <v>487</v>
      </c>
      <c r="L263" s="137" t="s">
        <v>487</v>
      </c>
      <c r="M263" s="137" t="s">
        <v>487</v>
      </c>
    </row>
    <row r="264" spans="1:13" s="140" customFormat="1" ht="15">
      <c r="A264" s="136"/>
      <c r="B264" s="146"/>
      <c r="C264" s="122" t="s">
        <v>489</v>
      </c>
      <c r="D264" s="139">
        <f>SUM(D257:D263)</f>
        <v>0</v>
      </c>
      <c r="E264" s="139">
        <f>SUM(E257:E263)</f>
        <v>0</v>
      </c>
      <c r="F264" s="139">
        <f>SUM(F263)</f>
        <v>0</v>
      </c>
      <c r="G264" s="139">
        <f t="shared" ref="G264:M264" si="34">SUM(G257:G263)</f>
        <v>0</v>
      </c>
      <c r="H264" s="139">
        <f t="shared" si="34"/>
        <v>0</v>
      </c>
      <c r="I264" s="139">
        <f t="shared" si="34"/>
        <v>0</v>
      </c>
      <c r="J264" s="139">
        <f t="shared" si="34"/>
        <v>0</v>
      </c>
      <c r="K264" s="139">
        <f t="shared" si="34"/>
        <v>0</v>
      </c>
      <c r="L264" s="139">
        <f t="shared" si="34"/>
        <v>0</v>
      </c>
      <c r="M264" s="139">
        <f t="shared" si="34"/>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587</v>
      </c>
      <c r="C267" s="133"/>
      <c r="D267" s="133"/>
      <c r="E267" s="133"/>
      <c r="F267" s="133"/>
      <c r="G267" s="133"/>
      <c r="H267" s="133"/>
      <c r="I267" s="143" t="s">
        <v>444</v>
      </c>
      <c r="J267" s="133"/>
      <c r="K267" s="133"/>
      <c r="L267" s="133"/>
      <c r="M267" s="133"/>
    </row>
    <row r="268" spans="1:13" s="136" customFormat="1" ht="12.75">
      <c r="B268" s="132"/>
      <c r="C268" s="133"/>
      <c r="D268" s="133"/>
      <c r="E268" s="143" t="s">
        <v>471</v>
      </c>
      <c r="F268" s="143" t="s">
        <v>472</v>
      </c>
      <c r="G268" s="143" t="s">
        <v>473</v>
      </c>
      <c r="H268" s="143" t="s">
        <v>474</v>
      </c>
      <c r="I268" s="143" t="s">
        <v>475</v>
      </c>
      <c r="J268" s="129" t="s">
        <v>476</v>
      </c>
      <c r="K268" s="143" t="s">
        <v>477</v>
      </c>
      <c r="L268" s="133"/>
      <c r="M268" s="143" t="s">
        <v>478</v>
      </c>
    </row>
    <row r="269" spans="1:13" s="136" customFormat="1" ht="12.75">
      <c r="B269" s="132"/>
      <c r="C269" s="143" t="s">
        <v>479</v>
      </c>
      <c r="D269" s="143" t="s">
        <v>480</v>
      </c>
      <c r="E269" s="143" t="s">
        <v>481</v>
      </c>
      <c r="F269" s="143" t="s">
        <v>481</v>
      </c>
      <c r="G269" s="143" t="s">
        <v>482</v>
      </c>
      <c r="H269" s="143" t="s">
        <v>482</v>
      </c>
      <c r="I269" s="143" t="s">
        <v>483</v>
      </c>
      <c r="J269" s="129" t="s">
        <v>484</v>
      </c>
      <c r="K269" s="143" t="s">
        <v>485</v>
      </c>
      <c r="L269" s="143" t="s">
        <v>457</v>
      </c>
      <c r="M269" s="143" t="s">
        <v>486</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5">SUM(E271:M271)</f>
        <v>1190636.46</v>
      </c>
      <c r="E271" s="145">
        <v>22543.14</v>
      </c>
      <c r="F271" s="135" t="s">
        <v>487</v>
      </c>
      <c r="G271" s="145">
        <v>51584.24</v>
      </c>
      <c r="H271" s="145">
        <v>112293.6</v>
      </c>
      <c r="I271" s="145">
        <v>66829.240000000005</v>
      </c>
      <c r="J271" s="145">
        <v>531.39</v>
      </c>
      <c r="K271" s="145">
        <v>899151.47</v>
      </c>
      <c r="L271" s="145">
        <v>37703.379999999997</v>
      </c>
      <c r="M271" s="145"/>
    </row>
    <row r="272" spans="1:13" s="136" customFormat="1" ht="12.75">
      <c r="B272" s="132">
        <v>27</v>
      </c>
      <c r="C272" s="133" t="s">
        <v>182</v>
      </c>
      <c r="D272" s="134">
        <f t="shared" si="35"/>
        <v>27548.77</v>
      </c>
      <c r="E272" s="145"/>
      <c r="F272" s="135" t="s">
        <v>487</v>
      </c>
      <c r="G272" s="145">
        <v>20229.71</v>
      </c>
      <c r="H272" s="145"/>
      <c r="I272" s="145">
        <v>7319.06</v>
      </c>
      <c r="J272" s="145"/>
      <c r="K272" s="145"/>
      <c r="L272" s="145"/>
      <c r="M272" s="145"/>
    </row>
    <row r="273" spans="1:13" s="136" customFormat="1" ht="12.75">
      <c r="B273" s="132">
        <v>60</v>
      </c>
      <c r="C273" s="133" t="s">
        <v>190</v>
      </c>
      <c r="D273" s="134">
        <f t="shared" si="35"/>
        <v>0</v>
      </c>
      <c r="E273" s="145"/>
      <c r="F273" s="135" t="s">
        <v>487</v>
      </c>
      <c r="G273" s="145"/>
      <c r="H273" s="145"/>
      <c r="I273" s="145"/>
      <c r="J273" s="145"/>
      <c r="K273" s="145"/>
      <c r="L273" s="145"/>
      <c r="M273" s="145"/>
    </row>
    <row r="274" spans="1:13" s="136" customFormat="1" ht="12.75">
      <c r="B274" s="132">
        <v>83</v>
      </c>
      <c r="C274" s="133" t="s">
        <v>124</v>
      </c>
      <c r="D274" s="134">
        <f t="shared" si="35"/>
        <v>0</v>
      </c>
      <c r="E274" s="145"/>
      <c r="F274" s="135" t="s">
        <v>487</v>
      </c>
      <c r="G274" s="135" t="s">
        <v>487</v>
      </c>
      <c r="H274" s="135" t="s">
        <v>487</v>
      </c>
      <c r="I274" s="135" t="s">
        <v>487</v>
      </c>
      <c r="J274" s="135" t="s">
        <v>487</v>
      </c>
      <c r="K274" s="145"/>
      <c r="L274" s="135" t="s">
        <v>487</v>
      </c>
      <c r="M274" s="135" t="s">
        <v>487</v>
      </c>
    </row>
    <row r="275" spans="1:13" s="136" customFormat="1" ht="12.75">
      <c r="B275" s="132">
        <v>89</v>
      </c>
      <c r="C275" s="133" t="s">
        <v>563</v>
      </c>
      <c r="D275" s="134">
        <f t="shared" si="35"/>
        <v>0</v>
      </c>
      <c r="E275" s="144"/>
      <c r="F275" s="135" t="s">
        <v>487</v>
      </c>
      <c r="G275" s="153" t="s">
        <v>487</v>
      </c>
      <c r="H275" s="156" t="s">
        <v>487</v>
      </c>
      <c r="I275" s="153" t="s">
        <v>487</v>
      </c>
      <c r="J275" s="153" t="s">
        <v>487</v>
      </c>
      <c r="K275" s="153" t="s">
        <v>487</v>
      </c>
      <c r="L275" s="153" t="s">
        <v>487</v>
      </c>
    </row>
    <row r="276" spans="1:13" s="136" customFormat="1" ht="12.75">
      <c r="B276" s="132">
        <v>98</v>
      </c>
      <c r="C276" s="133" t="s">
        <v>127</v>
      </c>
      <c r="D276" s="134">
        <f t="shared" si="35"/>
        <v>0</v>
      </c>
      <c r="E276" s="145"/>
      <c r="F276" s="135" t="s">
        <v>487</v>
      </c>
      <c r="G276" s="145"/>
      <c r="H276" s="145"/>
      <c r="I276" s="145"/>
      <c r="J276" s="145"/>
      <c r="K276" s="145"/>
      <c r="L276" s="145"/>
      <c r="M276" s="145"/>
    </row>
    <row r="277" spans="1:13" s="136" customFormat="1" ht="15">
      <c r="B277" s="132">
        <v>99</v>
      </c>
      <c r="C277" s="133" t="s">
        <v>442</v>
      </c>
      <c r="D277" s="119">
        <f>SUM(E277:F277)</f>
        <v>0</v>
      </c>
      <c r="E277" s="119"/>
      <c r="F277" s="119"/>
      <c r="G277" s="137" t="s">
        <v>487</v>
      </c>
      <c r="H277" s="137" t="s">
        <v>487</v>
      </c>
      <c r="I277" s="137" t="s">
        <v>487</v>
      </c>
      <c r="J277" s="137" t="s">
        <v>487</v>
      </c>
      <c r="K277" s="137" t="s">
        <v>487</v>
      </c>
      <c r="L277" s="137" t="s">
        <v>487</v>
      </c>
      <c r="M277" s="137" t="s">
        <v>487</v>
      </c>
    </row>
    <row r="278" spans="1:13" s="140" customFormat="1" ht="15">
      <c r="A278" s="136"/>
      <c r="B278" s="146"/>
      <c r="C278" s="122" t="s">
        <v>489</v>
      </c>
      <c r="D278" s="139">
        <f>SUM(D271:D277)</f>
        <v>1218185.23</v>
      </c>
      <c r="E278" s="139">
        <f>SUM(E271:E277)</f>
        <v>22543.14</v>
      </c>
      <c r="F278" s="139">
        <f>SUM(F277)</f>
        <v>0</v>
      </c>
      <c r="G278" s="139">
        <f t="shared" ref="G278:M278" si="36">SUM(G271:G277)</f>
        <v>71813.95</v>
      </c>
      <c r="H278" s="139">
        <f t="shared" si="36"/>
        <v>112293.6</v>
      </c>
      <c r="I278" s="139">
        <f t="shared" si="36"/>
        <v>74148.3</v>
      </c>
      <c r="J278" s="139">
        <f t="shared" si="36"/>
        <v>531.39</v>
      </c>
      <c r="K278" s="139">
        <f t="shared" si="36"/>
        <v>899151.47</v>
      </c>
      <c r="L278" s="139">
        <f t="shared" si="36"/>
        <v>37703.379999999997</v>
      </c>
      <c r="M278" s="139">
        <f t="shared" si="36"/>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499</v>
      </c>
      <c r="C281" s="133"/>
      <c r="D281" s="133"/>
      <c r="E281" s="133"/>
      <c r="F281" s="133"/>
      <c r="G281" s="133"/>
      <c r="H281" s="133"/>
      <c r="I281" s="143" t="s">
        <v>444</v>
      </c>
      <c r="J281" s="133"/>
      <c r="K281" s="133"/>
      <c r="L281" s="133"/>
      <c r="M281" s="133"/>
    </row>
    <row r="282" spans="1:13" s="136" customFormat="1" ht="12.75">
      <c r="B282" s="132"/>
      <c r="C282" s="133"/>
      <c r="D282" s="133"/>
      <c r="E282" s="143" t="s">
        <v>471</v>
      </c>
      <c r="F282" s="143" t="s">
        <v>472</v>
      </c>
      <c r="G282" s="143" t="s">
        <v>473</v>
      </c>
      <c r="H282" s="143" t="s">
        <v>474</v>
      </c>
      <c r="I282" s="143" t="s">
        <v>475</v>
      </c>
      <c r="J282" s="129" t="s">
        <v>476</v>
      </c>
      <c r="K282" s="143" t="s">
        <v>477</v>
      </c>
      <c r="L282" s="133"/>
      <c r="M282" s="143" t="s">
        <v>478</v>
      </c>
    </row>
    <row r="283" spans="1:13" s="136" customFormat="1" ht="12.75">
      <c r="B283" s="132"/>
      <c r="C283" s="143" t="s">
        <v>479</v>
      </c>
      <c r="D283" s="143" t="s">
        <v>480</v>
      </c>
      <c r="E283" s="143" t="s">
        <v>481</v>
      </c>
      <c r="F283" s="143" t="s">
        <v>481</v>
      </c>
      <c r="G283" s="143" t="s">
        <v>482</v>
      </c>
      <c r="H283" s="143" t="s">
        <v>482</v>
      </c>
      <c r="I283" s="143" t="s">
        <v>483</v>
      </c>
      <c r="J283" s="129" t="s">
        <v>484</v>
      </c>
      <c r="K283" s="143" t="s">
        <v>485</v>
      </c>
      <c r="L283" s="143" t="s">
        <v>457</v>
      </c>
      <c r="M283" s="143" t="s">
        <v>486</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7">SUM(E285:M285)</f>
        <v>1859763.06</v>
      </c>
      <c r="E285" s="145">
        <v>107012.96</v>
      </c>
      <c r="F285" s="135" t="s">
        <v>487</v>
      </c>
      <c r="G285" s="145">
        <v>242683.51999999999</v>
      </c>
      <c r="H285" s="145">
        <v>306125.42</v>
      </c>
      <c r="I285" s="145">
        <v>203571.54</v>
      </c>
      <c r="J285" s="145">
        <v>608211.12</v>
      </c>
      <c r="K285" s="145">
        <v>349503.2</v>
      </c>
      <c r="L285" s="145">
        <v>42655.3</v>
      </c>
      <c r="M285" s="145"/>
    </row>
    <row r="286" spans="1:13" s="136" customFormat="1" ht="12.75">
      <c r="B286" s="132">
        <v>27</v>
      </c>
      <c r="C286" s="133" t="s">
        <v>182</v>
      </c>
      <c r="D286" s="134">
        <f t="shared" si="37"/>
        <v>0</v>
      </c>
      <c r="E286" s="145"/>
      <c r="F286" s="135" t="s">
        <v>487</v>
      </c>
      <c r="G286" s="145"/>
      <c r="H286" s="145"/>
      <c r="I286" s="145"/>
      <c r="J286" s="145"/>
      <c r="K286" s="145"/>
      <c r="L286" s="145"/>
      <c r="M286" s="145"/>
    </row>
    <row r="287" spans="1:13" s="136" customFormat="1" ht="12.75">
      <c r="B287" s="132">
        <v>60</v>
      </c>
      <c r="C287" s="133" t="s">
        <v>190</v>
      </c>
      <c r="D287" s="134">
        <f t="shared" si="37"/>
        <v>0</v>
      </c>
      <c r="E287" s="145"/>
      <c r="F287" s="135" t="s">
        <v>487</v>
      </c>
      <c r="G287" s="145"/>
      <c r="H287" s="145"/>
      <c r="I287" s="145"/>
      <c r="J287" s="145"/>
      <c r="K287" s="145"/>
      <c r="L287" s="145"/>
      <c r="M287" s="145"/>
    </row>
    <row r="288" spans="1:13" s="136" customFormat="1" ht="12.75">
      <c r="B288" s="132">
        <v>83</v>
      </c>
      <c r="C288" s="133" t="s">
        <v>124</v>
      </c>
      <c r="D288" s="134">
        <f t="shared" si="37"/>
        <v>0</v>
      </c>
      <c r="E288" s="145"/>
      <c r="F288" s="135" t="s">
        <v>487</v>
      </c>
      <c r="G288" s="135" t="s">
        <v>487</v>
      </c>
      <c r="H288" s="135" t="s">
        <v>487</v>
      </c>
      <c r="I288" s="135" t="s">
        <v>487</v>
      </c>
      <c r="J288" s="135" t="s">
        <v>487</v>
      </c>
      <c r="K288" s="145"/>
      <c r="L288" s="135" t="s">
        <v>487</v>
      </c>
      <c r="M288" s="135" t="s">
        <v>487</v>
      </c>
    </row>
    <row r="289" spans="1:13" s="136" customFormat="1" ht="12.75">
      <c r="B289" s="132">
        <v>89</v>
      </c>
      <c r="C289" s="133" t="s">
        <v>563</v>
      </c>
      <c r="D289" s="134">
        <f t="shared" si="37"/>
        <v>0</v>
      </c>
      <c r="E289" s="144"/>
      <c r="F289" s="135" t="s">
        <v>487</v>
      </c>
      <c r="G289" s="153" t="s">
        <v>487</v>
      </c>
      <c r="H289" s="156" t="s">
        <v>487</v>
      </c>
      <c r="I289" s="153" t="s">
        <v>487</v>
      </c>
      <c r="J289" s="153" t="s">
        <v>487</v>
      </c>
      <c r="K289" s="153" t="s">
        <v>487</v>
      </c>
      <c r="L289" s="153" t="s">
        <v>487</v>
      </c>
    </row>
    <row r="290" spans="1:13" s="136" customFormat="1" ht="12.75">
      <c r="B290" s="132">
        <v>98</v>
      </c>
      <c r="C290" s="133" t="s">
        <v>127</v>
      </c>
      <c r="D290" s="134">
        <f t="shared" si="37"/>
        <v>94866.48</v>
      </c>
      <c r="E290" s="145">
        <v>1828.21</v>
      </c>
      <c r="F290" s="135" t="s">
        <v>487</v>
      </c>
      <c r="G290" s="145"/>
      <c r="H290" s="145">
        <v>8229.43</v>
      </c>
      <c r="I290" s="145">
        <v>2861.43</v>
      </c>
      <c r="J290" s="145">
        <v>876.27</v>
      </c>
      <c r="K290" s="145">
        <v>76172.679999999993</v>
      </c>
      <c r="L290" s="145">
        <v>4898.46</v>
      </c>
      <c r="M290" s="145"/>
    </row>
    <row r="291" spans="1:13" s="136" customFormat="1" ht="15">
      <c r="B291" s="132">
        <v>99</v>
      </c>
      <c r="C291" s="133" t="s">
        <v>442</v>
      </c>
      <c r="D291" s="119">
        <f>SUM(E291:F291)</f>
        <v>0</v>
      </c>
      <c r="E291" s="119"/>
      <c r="F291" s="119"/>
      <c r="G291" s="137" t="s">
        <v>487</v>
      </c>
      <c r="H291" s="137" t="s">
        <v>487</v>
      </c>
      <c r="I291" s="137" t="s">
        <v>487</v>
      </c>
      <c r="J291" s="137" t="s">
        <v>487</v>
      </c>
      <c r="K291" s="137" t="s">
        <v>487</v>
      </c>
      <c r="L291" s="137" t="s">
        <v>487</v>
      </c>
      <c r="M291" s="137" t="s">
        <v>487</v>
      </c>
    </row>
    <row r="292" spans="1:13" s="140" customFormat="1" ht="15">
      <c r="A292" s="136"/>
      <c r="B292" s="146"/>
      <c r="C292" s="122" t="s">
        <v>489</v>
      </c>
      <c r="D292" s="139">
        <f t="shared" ref="D292:M292" si="38">SUM(D285:D291)</f>
        <v>1954629.54</v>
      </c>
      <c r="E292" s="139">
        <f t="shared" si="38"/>
        <v>108841.17000000001</v>
      </c>
      <c r="F292" s="139">
        <f t="shared" si="38"/>
        <v>0</v>
      </c>
      <c r="G292" s="139">
        <f t="shared" si="38"/>
        <v>242683.51999999999</v>
      </c>
      <c r="H292" s="139">
        <f t="shared" si="38"/>
        <v>314354.84999999998</v>
      </c>
      <c r="I292" s="139">
        <f t="shared" si="38"/>
        <v>206432.97</v>
      </c>
      <c r="J292" s="139">
        <f t="shared" si="38"/>
        <v>609087.39</v>
      </c>
      <c r="K292" s="139">
        <f t="shared" si="38"/>
        <v>425675.88</v>
      </c>
      <c r="L292" s="139">
        <f t="shared" si="38"/>
        <v>47553.760000000002</v>
      </c>
      <c r="M292" s="139">
        <f t="shared" si="38"/>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500</v>
      </c>
      <c r="C295" s="133"/>
      <c r="D295" s="133"/>
      <c r="E295" s="133"/>
      <c r="F295" s="133"/>
      <c r="G295" s="133"/>
      <c r="H295" s="143"/>
      <c r="I295" s="143" t="s">
        <v>444</v>
      </c>
      <c r="J295" s="133"/>
      <c r="K295" s="133"/>
      <c r="L295" s="133"/>
      <c r="M295" s="133"/>
    </row>
    <row r="296" spans="1:13" s="136" customFormat="1" ht="12.75">
      <c r="B296" s="132"/>
      <c r="C296" s="133"/>
      <c r="D296" s="133"/>
      <c r="E296" s="143" t="s">
        <v>471</v>
      </c>
      <c r="F296" s="143" t="s">
        <v>472</v>
      </c>
      <c r="G296" s="143" t="s">
        <v>473</v>
      </c>
      <c r="H296" s="143" t="s">
        <v>474</v>
      </c>
      <c r="I296" s="143" t="s">
        <v>475</v>
      </c>
      <c r="J296" s="129" t="s">
        <v>476</v>
      </c>
      <c r="K296" s="143" t="s">
        <v>477</v>
      </c>
      <c r="L296" s="133"/>
      <c r="M296" s="143" t="s">
        <v>478</v>
      </c>
    </row>
    <row r="297" spans="1:13" s="136" customFormat="1" ht="12.75">
      <c r="B297" s="132"/>
      <c r="C297" s="143" t="s">
        <v>479</v>
      </c>
      <c r="D297" s="143" t="s">
        <v>480</v>
      </c>
      <c r="E297" s="143" t="s">
        <v>481</v>
      </c>
      <c r="F297" s="143" t="s">
        <v>481</v>
      </c>
      <c r="G297" s="143" t="s">
        <v>482</v>
      </c>
      <c r="H297" s="143" t="s">
        <v>482</v>
      </c>
      <c r="I297" s="143" t="s">
        <v>483</v>
      </c>
      <c r="J297" s="129" t="s">
        <v>484</v>
      </c>
      <c r="K297" s="143" t="s">
        <v>485</v>
      </c>
      <c r="L297" s="143" t="s">
        <v>457</v>
      </c>
      <c r="M297" s="143" t="s">
        <v>486</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9">SUM(E299:M299)</f>
        <v>0</v>
      </c>
      <c r="E299" s="145"/>
      <c r="F299" s="135" t="s">
        <v>487</v>
      </c>
      <c r="G299" s="145"/>
      <c r="H299" s="145"/>
      <c r="I299" s="145"/>
      <c r="J299" s="145"/>
      <c r="K299" s="145"/>
      <c r="L299" s="145"/>
      <c r="M299" s="145"/>
    </row>
    <row r="300" spans="1:13" s="136" customFormat="1" ht="12.75">
      <c r="B300" s="132">
        <v>27</v>
      </c>
      <c r="C300" s="133" t="s">
        <v>182</v>
      </c>
      <c r="D300" s="134">
        <f t="shared" si="39"/>
        <v>0</v>
      </c>
      <c r="E300" s="145"/>
      <c r="F300" s="135" t="s">
        <v>487</v>
      </c>
      <c r="G300" s="145"/>
      <c r="H300" s="145"/>
      <c r="I300" s="145"/>
      <c r="J300" s="145"/>
      <c r="K300" s="145"/>
      <c r="L300" s="145"/>
      <c r="M300" s="145"/>
    </row>
    <row r="301" spans="1:13" s="136" customFormat="1" ht="12.75">
      <c r="B301" s="132">
        <v>60</v>
      </c>
      <c r="C301" s="133" t="s">
        <v>190</v>
      </c>
      <c r="D301" s="134">
        <f t="shared" si="39"/>
        <v>0</v>
      </c>
      <c r="E301" s="145"/>
      <c r="F301" s="135" t="s">
        <v>487</v>
      </c>
      <c r="G301" s="145"/>
      <c r="H301" s="145"/>
      <c r="I301" s="145"/>
      <c r="J301" s="145"/>
      <c r="K301" s="145"/>
      <c r="L301" s="145"/>
      <c r="M301" s="145"/>
    </row>
    <row r="302" spans="1:13" s="136" customFormat="1" ht="12.75">
      <c r="B302" s="132">
        <v>83</v>
      </c>
      <c r="C302" s="133" t="s">
        <v>124</v>
      </c>
      <c r="D302" s="134">
        <f t="shared" si="39"/>
        <v>0</v>
      </c>
      <c r="E302" s="145"/>
      <c r="F302" s="135" t="s">
        <v>487</v>
      </c>
      <c r="G302" s="135" t="s">
        <v>487</v>
      </c>
      <c r="H302" s="135" t="s">
        <v>487</v>
      </c>
      <c r="I302" s="135" t="s">
        <v>487</v>
      </c>
      <c r="J302" s="135" t="s">
        <v>487</v>
      </c>
      <c r="K302" s="145"/>
      <c r="L302" s="135" t="s">
        <v>487</v>
      </c>
      <c r="M302" s="135" t="s">
        <v>487</v>
      </c>
    </row>
    <row r="303" spans="1:13" s="136" customFormat="1" ht="12.75">
      <c r="B303" s="132">
        <v>89</v>
      </c>
      <c r="C303" s="133" t="s">
        <v>563</v>
      </c>
      <c r="D303" s="134">
        <f t="shared" si="39"/>
        <v>0</v>
      </c>
      <c r="E303" s="144"/>
      <c r="F303" s="135" t="s">
        <v>487</v>
      </c>
      <c r="G303" s="153" t="s">
        <v>487</v>
      </c>
      <c r="H303" s="156" t="s">
        <v>487</v>
      </c>
      <c r="I303" s="153" t="s">
        <v>487</v>
      </c>
      <c r="J303" s="153" t="s">
        <v>487</v>
      </c>
      <c r="K303" s="153" t="s">
        <v>487</v>
      </c>
      <c r="L303" s="153" t="s">
        <v>487</v>
      </c>
    </row>
    <row r="304" spans="1:13" s="136" customFormat="1" ht="12.75">
      <c r="B304" s="132">
        <v>98</v>
      </c>
      <c r="C304" s="133" t="s">
        <v>127</v>
      </c>
      <c r="D304" s="134">
        <f t="shared" si="39"/>
        <v>0</v>
      </c>
      <c r="E304" s="145"/>
      <c r="F304" s="135" t="s">
        <v>487</v>
      </c>
      <c r="G304" s="145"/>
      <c r="H304" s="145"/>
      <c r="I304" s="145"/>
      <c r="J304" s="145"/>
      <c r="K304" s="145"/>
      <c r="L304" s="145"/>
      <c r="M304" s="145"/>
    </row>
    <row r="305" spans="1:13" s="136" customFormat="1" ht="15">
      <c r="B305" s="132">
        <v>99</v>
      </c>
      <c r="C305" s="133" t="s">
        <v>442</v>
      </c>
      <c r="D305" s="119">
        <f>SUM(E305:F305)</f>
        <v>0</v>
      </c>
      <c r="E305" s="119"/>
      <c r="F305" s="119"/>
      <c r="G305" s="137" t="s">
        <v>487</v>
      </c>
      <c r="H305" s="137" t="s">
        <v>487</v>
      </c>
      <c r="I305" s="137" t="s">
        <v>487</v>
      </c>
      <c r="J305" s="137" t="s">
        <v>487</v>
      </c>
      <c r="K305" s="137" t="s">
        <v>487</v>
      </c>
      <c r="L305" s="137" t="s">
        <v>487</v>
      </c>
      <c r="M305" s="137" t="s">
        <v>487</v>
      </c>
    </row>
    <row r="306" spans="1:13" s="140" customFormat="1" ht="15">
      <c r="A306" s="136"/>
      <c r="B306" s="146"/>
      <c r="C306" s="122" t="s">
        <v>489</v>
      </c>
      <c r="D306" s="139">
        <f t="shared" ref="D306:M306" si="40">SUM(D299:D305)</f>
        <v>0</v>
      </c>
      <c r="E306" s="139">
        <f t="shared" si="40"/>
        <v>0</v>
      </c>
      <c r="F306" s="139">
        <f t="shared" si="40"/>
        <v>0</v>
      </c>
      <c r="G306" s="139">
        <f t="shared" si="40"/>
        <v>0</v>
      </c>
      <c r="H306" s="139">
        <f t="shared" si="40"/>
        <v>0</v>
      </c>
      <c r="I306" s="139">
        <f t="shared" si="40"/>
        <v>0</v>
      </c>
      <c r="J306" s="139">
        <f t="shared" si="40"/>
        <v>0</v>
      </c>
      <c r="K306" s="139">
        <f t="shared" si="40"/>
        <v>0</v>
      </c>
      <c r="L306" s="139">
        <f t="shared" si="40"/>
        <v>0</v>
      </c>
      <c r="M306" s="139">
        <f t="shared" si="40"/>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501</v>
      </c>
      <c r="C309" s="133"/>
      <c r="D309" s="133"/>
      <c r="E309" s="133"/>
      <c r="F309" s="133"/>
      <c r="G309" s="133"/>
      <c r="H309" s="133"/>
      <c r="I309" s="143" t="s">
        <v>444</v>
      </c>
      <c r="J309" s="133"/>
      <c r="K309" s="133"/>
      <c r="L309" s="133"/>
      <c r="M309" s="133"/>
    </row>
    <row r="310" spans="1:13" s="136" customFormat="1" ht="12.75">
      <c r="B310" s="132"/>
      <c r="C310" s="133"/>
      <c r="D310" s="133"/>
      <c r="E310" s="143" t="s">
        <v>471</v>
      </c>
      <c r="F310" s="143" t="s">
        <v>472</v>
      </c>
      <c r="G310" s="143" t="s">
        <v>473</v>
      </c>
      <c r="H310" s="143" t="s">
        <v>474</v>
      </c>
      <c r="I310" s="143" t="s">
        <v>475</v>
      </c>
      <c r="J310" s="129" t="s">
        <v>476</v>
      </c>
      <c r="K310" s="143" t="s">
        <v>477</v>
      </c>
      <c r="L310" s="133"/>
      <c r="M310" s="143" t="s">
        <v>478</v>
      </c>
    </row>
    <row r="311" spans="1:13" s="136" customFormat="1" ht="12.75">
      <c r="B311" s="132"/>
      <c r="C311" s="143" t="s">
        <v>479</v>
      </c>
      <c r="D311" s="143" t="s">
        <v>480</v>
      </c>
      <c r="E311" s="143" t="s">
        <v>481</v>
      </c>
      <c r="F311" s="143" t="s">
        <v>481</v>
      </c>
      <c r="G311" s="143" t="s">
        <v>482</v>
      </c>
      <c r="H311" s="143" t="s">
        <v>482</v>
      </c>
      <c r="I311" s="143" t="s">
        <v>483</v>
      </c>
      <c r="J311" s="129" t="s">
        <v>484</v>
      </c>
      <c r="K311" s="143" t="s">
        <v>485</v>
      </c>
      <c r="L311" s="143" t="s">
        <v>457</v>
      </c>
      <c r="M311" s="143" t="s">
        <v>486</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1">SUM(E313:M313)</f>
        <v>0</v>
      </c>
      <c r="E313" s="145"/>
      <c r="F313" s="135" t="s">
        <v>487</v>
      </c>
      <c r="G313" s="145"/>
      <c r="H313" s="145"/>
      <c r="I313" s="145"/>
      <c r="J313" s="145"/>
      <c r="K313" s="145"/>
      <c r="L313" s="145"/>
      <c r="M313" s="145"/>
    </row>
    <row r="314" spans="1:13" s="136" customFormat="1" ht="12.75">
      <c r="B314" s="132">
        <v>27</v>
      </c>
      <c r="C314" s="133" t="s">
        <v>182</v>
      </c>
      <c r="D314" s="134">
        <f t="shared" si="41"/>
        <v>0</v>
      </c>
      <c r="E314" s="145"/>
      <c r="F314" s="135" t="s">
        <v>487</v>
      </c>
      <c r="G314" s="145"/>
      <c r="H314" s="145"/>
      <c r="I314" s="145"/>
      <c r="J314" s="145"/>
      <c r="K314" s="145"/>
      <c r="L314" s="145"/>
      <c r="M314" s="145"/>
    </row>
    <row r="315" spans="1:13" s="136" customFormat="1" ht="12.75">
      <c r="B315" s="132">
        <v>60</v>
      </c>
      <c r="C315" s="133" t="s">
        <v>190</v>
      </c>
      <c r="D315" s="134">
        <f t="shared" si="41"/>
        <v>0</v>
      </c>
      <c r="E315" s="145"/>
      <c r="F315" s="135" t="s">
        <v>487</v>
      </c>
      <c r="G315" s="145"/>
      <c r="H315" s="145"/>
      <c r="I315" s="145"/>
      <c r="J315" s="145"/>
      <c r="K315" s="145"/>
      <c r="L315" s="145"/>
      <c r="M315" s="145"/>
    </row>
    <row r="316" spans="1:13" s="136" customFormat="1" ht="12.75">
      <c r="B316" s="132">
        <v>83</v>
      </c>
      <c r="C316" s="133" t="s">
        <v>124</v>
      </c>
      <c r="D316" s="134">
        <f t="shared" si="41"/>
        <v>0</v>
      </c>
      <c r="E316" s="145"/>
      <c r="F316" s="135" t="s">
        <v>487</v>
      </c>
      <c r="G316" s="135" t="s">
        <v>487</v>
      </c>
      <c r="H316" s="135" t="s">
        <v>487</v>
      </c>
      <c r="I316" s="135" t="s">
        <v>487</v>
      </c>
      <c r="J316" s="135" t="s">
        <v>487</v>
      </c>
      <c r="K316" s="145"/>
      <c r="L316" s="135" t="s">
        <v>487</v>
      </c>
      <c r="M316" s="135" t="s">
        <v>487</v>
      </c>
    </row>
    <row r="317" spans="1:13" s="136" customFormat="1" ht="12.75">
      <c r="B317" s="132">
        <v>89</v>
      </c>
      <c r="C317" s="133" t="s">
        <v>563</v>
      </c>
      <c r="D317" s="134">
        <f t="shared" si="41"/>
        <v>0</v>
      </c>
      <c r="E317" s="144"/>
      <c r="F317" s="135" t="s">
        <v>487</v>
      </c>
      <c r="G317" s="153" t="s">
        <v>487</v>
      </c>
      <c r="H317" s="156" t="s">
        <v>487</v>
      </c>
      <c r="I317" s="153" t="s">
        <v>487</v>
      </c>
      <c r="J317" s="153" t="s">
        <v>487</v>
      </c>
      <c r="K317" s="153" t="s">
        <v>487</v>
      </c>
      <c r="L317" s="153" t="s">
        <v>487</v>
      </c>
    </row>
    <row r="318" spans="1:13" s="136" customFormat="1" ht="12.75">
      <c r="B318" s="132">
        <v>98</v>
      </c>
      <c r="C318" s="133" t="s">
        <v>127</v>
      </c>
      <c r="D318" s="134">
        <f t="shared" si="41"/>
        <v>0</v>
      </c>
      <c r="E318" s="145"/>
      <c r="F318" s="135" t="s">
        <v>487</v>
      </c>
      <c r="G318" s="145"/>
      <c r="H318" s="145"/>
      <c r="I318" s="145"/>
      <c r="J318" s="145"/>
      <c r="K318" s="145"/>
      <c r="L318" s="145"/>
      <c r="M318" s="145"/>
    </row>
    <row r="319" spans="1:13" s="136" customFormat="1" ht="15">
      <c r="B319" s="132">
        <v>99</v>
      </c>
      <c r="C319" s="133" t="s">
        <v>442</v>
      </c>
      <c r="D319" s="119">
        <f>SUM(E319:F319)</f>
        <v>0</v>
      </c>
      <c r="E319" s="119"/>
      <c r="F319" s="119"/>
      <c r="G319" s="137" t="s">
        <v>487</v>
      </c>
      <c r="H319" s="137" t="s">
        <v>487</v>
      </c>
      <c r="I319" s="137" t="s">
        <v>487</v>
      </c>
      <c r="J319" s="137" t="s">
        <v>487</v>
      </c>
      <c r="K319" s="137" t="s">
        <v>487</v>
      </c>
      <c r="L319" s="137" t="s">
        <v>487</v>
      </c>
      <c r="M319" s="137" t="s">
        <v>487</v>
      </c>
    </row>
    <row r="320" spans="1:13" s="140" customFormat="1" ht="15">
      <c r="A320" s="136"/>
      <c r="B320" s="146"/>
      <c r="C320" s="122" t="s">
        <v>489</v>
      </c>
      <c r="D320" s="139">
        <f t="shared" ref="D320:M320" si="42">SUM(D313:D319)</f>
        <v>0</v>
      </c>
      <c r="E320" s="139">
        <f t="shared" si="42"/>
        <v>0</v>
      </c>
      <c r="F320" s="139">
        <f t="shared" si="42"/>
        <v>0</v>
      </c>
      <c r="G320" s="139">
        <f t="shared" si="42"/>
        <v>0</v>
      </c>
      <c r="H320" s="139">
        <f t="shared" si="42"/>
        <v>0</v>
      </c>
      <c r="I320" s="139">
        <f t="shared" si="42"/>
        <v>0</v>
      </c>
      <c r="J320" s="139">
        <f t="shared" si="42"/>
        <v>0</v>
      </c>
      <c r="K320" s="139">
        <f t="shared" si="42"/>
        <v>0</v>
      </c>
      <c r="L320" s="139">
        <f t="shared" si="42"/>
        <v>0</v>
      </c>
      <c r="M320" s="139">
        <f t="shared" si="42"/>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502</v>
      </c>
      <c r="C323" s="133"/>
      <c r="D323" s="133"/>
      <c r="E323" s="133"/>
      <c r="F323" s="133"/>
      <c r="G323" s="133"/>
      <c r="H323" s="133"/>
      <c r="I323" s="143" t="s">
        <v>444</v>
      </c>
      <c r="J323" s="133"/>
      <c r="K323" s="133"/>
      <c r="L323" s="133"/>
      <c r="M323" s="133"/>
    </row>
    <row r="324" spans="1:13" s="136" customFormat="1" ht="12.75">
      <c r="B324" s="132"/>
      <c r="C324" s="133"/>
      <c r="D324" s="133"/>
      <c r="E324" s="143" t="s">
        <v>471</v>
      </c>
      <c r="F324" s="143" t="s">
        <v>472</v>
      </c>
      <c r="G324" s="143" t="s">
        <v>473</v>
      </c>
      <c r="H324" s="143" t="s">
        <v>474</v>
      </c>
      <c r="I324" s="143" t="s">
        <v>475</v>
      </c>
      <c r="J324" s="129" t="s">
        <v>476</v>
      </c>
      <c r="K324" s="143" t="s">
        <v>477</v>
      </c>
      <c r="L324" s="133"/>
      <c r="M324" s="143" t="s">
        <v>478</v>
      </c>
    </row>
    <row r="325" spans="1:13" s="136" customFormat="1" ht="12.75">
      <c r="B325" s="132"/>
      <c r="C325" s="143" t="s">
        <v>479</v>
      </c>
      <c r="D325" s="143" t="s">
        <v>480</v>
      </c>
      <c r="E325" s="143" t="s">
        <v>481</v>
      </c>
      <c r="F325" s="143" t="s">
        <v>481</v>
      </c>
      <c r="G325" s="143" t="s">
        <v>482</v>
      </c>
      <c r="H325" s="143" t="s">
        <v>482</v>
      </c>
      <c r="I325" s="143" t="s">
        <v>483</v>
      </c>
      <c r="J325" s="129" t="s">
        <v>484</v>
      </c>
      <c r="K325" s="143" t="s">
        <v>485</v>
      </c>
      <c r="L325" s="143" t="s">
        <v>457</v>
      </c>
      <c r="M325" s="143" t="s">
        <v>486</v>
      </c>
    </row>
    <row r="326" spans="1:13" s="136" customFormat="1" ht="12.75">
      <c r="B326" s="132"/>
      <c r="C326" s="133"/>
      <c r="D326" s="133"/>
      <c r="E326" s="143" t="s">
        <v>503</v>
      </c>
      <c r="F326" s="143" t="s">
        <v>504</v>
      </c>
      <c r="G326" s="143" t="s">
        <v>505</v>
      </c>
      <c r="H326" s="143" t="s">
        <v>506</v>
      </c>
      <c r="I326" s="143" t="s">
        <v>507</v>
      </c>
      <c r="J326" s="143" t="s">
        <v>508</v>
      </c>
      <c r="K326" s="143" t="s">
        <v>454</v>
      </c>
      <c r="L326" s="143" t="s">
        <v>456</v>
      </c>
      <c r="M326" s="143" t="s">
        <v>458</v>
      </c>
    </row>
    <row r="327" spans="1:13" s="136" customFormat="1" ht="12.75">
      <c r="B327" s="132">
        <v>21</v>
      </c>
      <c r="C327" s="133" t="s">
        <v>175</v>
      </c>
      <c r="D327" s="134">
        <f t="shared" ref="D327:D332" si="43">SUM(E327:M327)</f>
        <v>0</v>
      </c>
      <c r="E327" s="145"/>
      <c r="F327" s="135" t="s">
        <v>487</v>
      </c>
      <c r="G327" s="145"/>
      <c r="H327" s="145"/>
      <c r="I327" s="145"/>
      <c r="J327" s="145"/>
      <c r="K327" s="145"/>
      <c r="L327" s="145"/>
      <c r="M327" s="145"/>
    </row>
    <row r="328" spans="1:13" s="136" customFormat="1" ht="12.75">
      <c r="B328" s="132">
        <v>27</v>
      </c>
      <c r="C328" s="133" t="s">
        <v>182</v>
      </c>
      <c r="D328" s="134">
        <f t="shared" si="43"/>
        <v>0</v>
      </c>
      <c r="E328" s="145"/>
      <c r="F328" s="135" t="s">
        <v>487</v>
      </c>
      <c r="G328" s="145"/>
      <c r="H328" s="145"/>
      <c r="I328" s="145"/>
      <c r="J328" s="145"/>
      <c r="K328" s="145"/>
      <c r="L328" s="145"/>
      <c r="M328" s="145"/>
    </row>
    <row r="329" spans="1:13" s="136" customFormat="1" ht="12.75">
      <c r="B329" s="132">
        <v>60</v>
      </c>
      <c r="C329" s="133" t="s">
        <v>190</v>
      </c>
      <c r="D329" s="134">
        <f t="shared" si="43"/>
        <v>0</v>
      </c>
      <c r="E329" s="145"/>
      <c r="F329" s="135" t="s">
        <v>487</v>
      </c>
      <c r="G329" s="145"/>
      <c r="H329" s="145"/>
      <c r="I329" s="145"/>
      <c r="J329" s="145"/>
      <c r="K329" s="145"/>
      <c r="L329" s="145"/>
      <c r="M329" s="145"/>
    </row>
    <row r="330" spans="1:13" s="136" customFormat="1" ht="12.75">
      <c r="B330" s="132">
        <v>83</v>
      </c>
      <c r="C330" s="133" t="s">
        <v>124</v>
      </c>
      <c r="D330" s="134">
        <f t="shared" si="43"/>
        <v>0</v>
      </c>
      <c r="E330" s="145"/>
      <c r="F330" s="135" t="s">
        <v>487</v>
      </c>
      <c r="G330" s="135" t="s">
        <v>487</v>
      </c>
      <c r="H330" s="135" t="s">
        <v>487</v>
      </c>
      <c r="I330" s="135" t="s">
        <v>487</v>
      </c>
      <c r="J330" s="135" t="s">
        <v>487</v>
      </c>
      <c r="K330" s="145"/>
      <c r="L330" s="135" t="s">
        <v>487</v>
      </c>
      <c r="M330" s="135" t="s">
        <v>487</v>
      </c>
    </row>
    <row r="331" spans="1:13" s="136" customFormat="1" ht="12.75">
      <c r="B331" s="132">
        <v>89</v>
      </c>
      <c r="C331" s="133" t="s">
        <v>563</v>
      </c>
      <c r="D331" s="134">
        <f t="shared" si="43"/>
        <v>0</v>
      </c>
      <c r="E331" s="144"/>
      <c r="F331" s="135" t="s">
        <v>487</v>
      </c>
      <c r="G331" s="153" t="s">
        <v>487</v>
      </c>
      <c r="H331" s="156" t="s">
        <v>487</v>
      </c>
      <c r="I331" s="153" t="s">
        <v>487</v>
      </c>
      <c r="J331" s="153" t="s">
        <v>487</v>
      </c>
      <c r="K331" s="153" t="s">
        <v>487</v>
      </c>
      <c r="L331" s="153" t="s">
        <v>487</v>
      </c>
    </row>
    <row r="332" spans="1:13" s="136" customFormat="1" ht="12.75">
      <c r="B332" s="132">
        <v>98</v>
      </c>
      <c r="C332" s="133" t="s">
        <v>127</v>
      </c>
      <c r="D332" s="134">
        <f t="shared" si="43"/>
        <v>0</v>
      </c>
      <c r="E332" s="145"/>
      <c r="F332" s="135" t="s">
        <v>487</v>
      </c>
      <c r="G332" s="145"/>
      <c r="H332" s="145"/>
      <c r="I332" s="145"/>
      <c r="J332" s="145"/>
      <c r="K332" s="145"/>
      <c r="L332" s="145"/>
      <c r="M332" s="145"/>
    </row>
    <row r="333" spans="1:13" s="136" customFormat="1" ht="15">
      <c r="B333" s="132">
        <v>99</v>
      </c>
      <c r="C333" s="133" t="s">
        <v>442</v>
      </c>
      <c r="D333" s="119">
        <f>SUM(E333:F333)</f>
        <v>0</v>
      </c>
      <c r="E333" s="119"/>
      <c r="F333" s="119"/>
      <c r="G333" s="137" t="s">
        <v>487</v>
      </c>
      <c r="H333" s="137" t="s">
        <v>487</v>
      </c>
      <c r="I333" s="137" t="s">
        <v>487</v>
      </c>
      <c r="J333" s="137" t="s">
        <v>487</v>
      </c>
      <c r="K333" s="137" t="s">
        <v>487</v>
      </c>
      <c r="L333" s="137" t="s">
        <v>487</v>
      </c>
      <c r="M333" s="137" t="s">
        <v>487</v>
      </c>
    </row>
    <row r="334" spans="1:13" s="140" customFormat="1" ht="15">
      <c r="A334" s="136"/>
      <c r="B334" s="146"/>
      <c r="C334" s="122" t="s">
        <v>489</v>
      </c>
      <c r="D334" s="139">
        <f t="shared" ref="D334:M334" si="44">SUM(D327:D333)</f>
        <v>0</v>
      </c>
      <c r="E334" s="139">
        <f t="shared" si="44"/>
        <v>0</v>
      </c>
      <c r="F334" s="139">
        <f t="shared" si="44"/>
        <v>0</v>
      </c>
      <c r="G334" s="139">
        <f t="shared" si="44"/>
        <v>0</v>
      </c>
      <c r="H334" s="139">
        <f t="shared" si="44"/>
        <v>0</v>
      </c>
      <c r="I334" s="139">
        <f t="shared" si="44"/>
        <v>0</v>
      </c>
      <c r="J334" s="139">
        <f t="shared" si="44"/>
        <v>0</v>
      </c>
      <c r="K334" s="139">
        <f t="shared" si="44"/>
        <v>0</v>
      </c>
      <c r="L334" s="139">
        <f t="shared" si="44"/>
        <v>0</v>
      </c>
      <c r="M334" s="139">
        <f t="shared" si="44"/>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509</v>
      </c>
      <c r="C337" s="133"/>
      <c r="D337" s="133"/>
      <c r="E337" s="133"/>
      <c r="F337" s="133"/>
      <c r="G337" s="133"/>
      <c r="H337" s="133"/>
      <c r="I337" s="143" t="s">
        <v>444</v>
      </c>
      <c r="J337" s="133"/>
      <c r="K337" s="133"/>
      <c r="L337" s="133"/>
      <c r="M337" s="133"/>
    </row>
    <row r="338" spans="1:13" s="136" customFormat="1" ht="12.75">
      <c r="B338" s="132"/>
      <c r="C338" s="133"/>
      <c r="D338" s="133"/>
      <c r="E338" s="143" t="s">
        <v>471</v>
      </c>
      <c r="F338" s="143" t="s">
        <v>472</v>
      </c>
      <c r="G338" s="143" t="s">
        <v>473</v>
      </c>
      <c r="H338" s="143" t="s">
        <v>474</v>
      </c>
      <c r="I338" s="143" t="s">
        <v>475</v>
      </c>
      <c r="J338" s="129" t="s">
        <v>476</v>
      </c>
      <c r="K338" s="143" t="s">
        <v>477</v>
      </c>
      <c r="L338" s="133"/>
      <c r="M338" s="143" t="s">
        <v>478</v>
      </c>
    </row>
    <row r="339" spans="1:13" s="136" customFormat="1" ht="12.75">
      <c r="B339" s="132"/>
      <c r="C339" s="143" t="s">
        <v>479</v>
      </c>
      <c r="D339" s="143" t="s">
        <v>480</v>
      </c>
      <c r="E339" s="143" t="s">
        <v>481</v>
      </c>
      <c r="F339" s="143" t="s">
        <v>481</v>
      </c>
      <c r="G339" s="143" t="s">
        <v>482</v>
      </c>
      <c r="H339" s="143" t="s">
        <v>482</v>
      </c>
      <c r="I339" s="143" t="s">
        <v>483</v>
      </c>
      <c r="J339" s="129" t="s">
        <v>484</v>
      </c>
      <c r="K339" s="143" t="s">
        <v>485</v>
      </c>
      <c r="L339" s="143" t="s">
        <v>457</v>
      </c>
      <c r="M339" s="143" t="s">
        <v>486</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5">SUM(E341:M341)</f>
        <v>0</v>
      </c>
      <c r="E341" s="145"/>
      <c r="F341" s="135" t="s">
        <v>487</v>
      </c>
      <c r="G341" s="145"/>
      <c r="H341" s="145"/>
      <c r="I341" s="145"/>
      <c r="J341" s="145"/>
      <c r="K341" s="145"/>
      <c r="L341" s="145"/>
      <c r="M341" s="145"/>
    </row>
    <row r="342" spans="1:13" s="136" customFormat="1" ht="12.75">
      <c r="B342" s="132">
        <v>27</v>
      </c>
      <c r="C342" s="133" t="s">
        <v>182</v>
      </c>
      <c r="D342" s="134">
        <f t="shared" si="45"/>
        <v>0</v>
      </c>
      <c r="E342" s="145"/>
      <c r="F342" s="135" t="s">
        <v>487</v>
      </c>
      <c r="G342" s="145"/>
      <c r="H342" s="145"/>
      <c r="I342" s="145"/>
      <c r="J342" s="145"/>
      <c r="K342" s="145"/>
      <c r="L342" s="145"/>
      <c r="M342" s="145"/>
    </row>
    <row r="343" spans="1:13" s="136" customFormat="1" ht="12.75">
      <c r="B343" s="132">
        <v>60</v>
      </c>
      <c r="C343" s="133" t="s">
        <v>190</v>
      </c>
      <c r="D343" s="134">
        <f t="shared" si="45"/>
        <v>0</v>
      </c>
      <c r="E343" s="145"/>
      <c r="F343" s="135" t="s">
        <v>487</v>
      </c>
      <c r="G343" s="145"/>
      <c r="H343" s="145"/>
      <c r="I343" s="145"/>
      <c r="J343" s="145"/>
      <c r="K343" s="145"/>
      <c r="L343" s="145"/>
      <c r="M343" s="145"/>
    </row>
    <row r="344" spans="1:13" s="136" customFormat="1" ht="12.75">
      <c r="B344" s="132">
        <v>83</v>
      </c>
      <c r="C344" s="133" t="s">
        <v>124</v>
      </c>
      <c r="D344" s="134">
        <f t="shared" si="45"/>
        <v>0</v>
      </c>
      <c r="E344" s="145"/>
      <c r="F344" s="135" t="s">
        <v>487</v>
      </c>
      <c r="G344" s="135" t="s">
        <v>487</v>
      </c>
      <c r="H344" s="135" t="s">
        <v>487</v>
      </c>
      <c r="I344" s="135" t="s">
        <v>487</v>
      </c>
      <c r="J344" s="135" t="s">
        <v>487</v>
      </c>
      <c r="K344" s="145"/>
      <c r="L344" s="135" t="s">
        <v>487</v>
      </c>
      <c r="M344" s="135" t="s">
        <v>487</v>
      </c>
    </row>
    <row r="345" spans="1:13" s="136" customFormat="1" ht="12.75">
      <c r="B345" s="132">
        <v>89</v>
      </c>
      <c r="C345" s="133" t="s">
        <v>563</v>
      </c>
      <c r="D345" s="134">
        <f t="shared" si="45"/>
        <v>0</v>
      </c>
      <c r="E345" s="144"/>
      <c r="F345" s="135" t="s">
        <v>487</v>
      </c>
      <c r="G345" s="153" t="s">
        <v>487</v>
      </c>
      <c r="H345" s="156" t="s">
        <v>487</v>
      </c>
      <c r="I345" s="153" t="s">
        <v>487</v>
      </c>
      <c r="J345" s="153" t="s">
        <v>487</v>
      </c>
      <c r="K345" s="153" t="s">
        <v>487</v>
      </c>
      <c r="L345" s="153" t="s">
        <v>487</v>
      </c>
    </row>
    <row r="346" spans="1:13" s="136" customFormat="1" ht="12.75">
      <c r="B346" s="132">
        <v>98</v>
      </c>
      <c r="C346" s="133" t="s">
        <v>127</v>
      </c>
      <c r="D346" s="134">
        <f t="shared" si="45"/>
        <v>0</v>
      </c>
      <c r="E346" s="145"/>
      <c r="F346" s="135" t="s">
        <v>487</v>
      </c>
      <c r="G346" s="145"/>
      <c r="H346" s="145"/>
      <c r="I346" s="145"/>
      <c r="J346" s="145"/>
      <c r="K346" s="145"/>
      <c r="L346" s="145"/>
      <c r="M346" s="145"/>
    </row>
    <row r="347" spans="1:13" s="136" customFormat="1" ht="15">
      <c r="B347" s="132">
        <v>99</v>
      </c>
      <c r="C347" s="133" t="s">
        <v>442</v>
      </c>
      <c r="D347" s="119">
        <f>SUM(E347:F347)</f>
        <v>0</v>
      </c>
      <c r="E347" s="119"/>
      <c r="F347" s="119"/>
      <c r="G347" s="137" t="s">
        <v>487</v>
      </c>
      <c r="H347" s="137" t="s">
        <v>487</v>
      </c>
      <c r="I347" s="137" t="s">
        <v>487</v>
      </c>
      <c r="J347" s="137" t="s">
        <v>487</v>
      </c>
      <c r="K347" s="137" t="s">
        <v>487</v>
      </c>
      <c r="L347" s="137" t="s">
        <v>487</v>
      </c>
      <c r="M347" s="137" t="s">
        <v>487</v>
      </c>
    </row>
    <row r="348" spans="1:13" s="140" customFormat="1" ht="15">
      <c r="A348" s="136"/>
      <c r="B348" s="146"/>
      <c r="C348" s="122" t="s">
        <v>489</v>
      </c>
      <c r="D348" s="139">
        <f t="shared" ref="D348:M348" si="46">SUM(D341:D347)</f>
        <v>0</v>
      </c>
      <c r="E348" s="139">
        <f t="shared" si="46"/>
        <v>0</v>
      </c>
      <c r="F348" s="139">
        <f t="shared" si="46"/>
        <v>0</v>
      </c>
      <c r="G348" s="139">
        <f t="shared" si="46"/>
        <v>0</v>
      </c>
      <c r="H348" s="139">
        <f t="shared" si="46"/>
        <v>0</v>
      </c>
      <c r="I348" s="139">
        <f t="shared" si="46"/>
        <v>0</v>
      </c>
      <c r="J348" s="139">
        <f t="shared" si="46"/>
        <v>0</v>
      </c>
      <c r="K348" s="139">
        <f t="shared" si="46"/>
        <v>0</v>
      </c>
      <c r="L348" s="139">
        <f t="shared" si="46"/>
        <v>0</v>
      </c>
      <c r="M348" s="139">
        <f t="shared" si="46"/>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510</v>
      </c>
      <c r="C351" s="133"/>
      <c r="D351" s="133"/>
      <c r="E351" s="133"/>
      <c r="F351" s="133"/>
      <c r="G351" s="133"/>
      <c r="H351" s="133"/>
      <c r="I351" s="143" t="s">
        <v>444</v>
      </c>
      <c r="J351" s="133"/>
      <c r="K351" s="133"/>
      <c r="L351" s="133"/>
      <c r="M351" s="133"/>
    </row>
    <row r="352" spans="1:13" s="136" customFormat="1" ht="12.75">
      <c r="B352" s="132"/>
      <c r="C352" s="133"/>
      <c r="D352" s="133"/>
      <c r="E352" s="143" t="s">
        <v>471</v>
      </c>
      <c r="F352" s="143" t="s">
        <v>472</v>
      </c>
      <c r="G352" s="143" t="s">
        <v>473</v>
      </c>
      <c r="H352" s="143" t="s">
        <v>474</v>
      </c>
      <c r="I352" s="143" t="s">
        <v>475</v>
      </c>
      <c r="J352" s="129" t="s">
        <v>476</v>
      </c>
      <c r="K352" s="143" t="s">
        <v>477</v>
      </c>
      <c r="L352" s="133"/>
      <c r="M352" s="143" t="s">
        <v>478</v>
      </c>
    </row>
    <row r="353" spans="1:13" s="136" customFormat="1" ht="12.75">
      <c r="B353" s="132"/>
      <c r="C353" s="143" t="s">
        <v>479</v>
      </c>
      <c r="D353" s="143" t="s">
        <v>480</v>
      </c>
      <c r="E353" s="143" t="s">
        <v>481</v>
      </c>
      <c r="F353" s="143" t="s">
        <v>481</v>
      </c>
      <c r="G353" s="143" t="s">
        <v>482</v>
      </c>
      <c r="H353" s="143" t="s">
        <v>482</v>
      </c>
      <c r="I353" s="143" t="s">
        <v>483</v>
      </c>
      <c r="J353" s="129" t="s">
        <v>484</v>
      </c>
      <c r="K353" s="143" t="s">
        <v>485</v>
      </c>
      <c r="L353" s="143" t="s">
        <v>457</v>
      </c>
      <c r="M353" s="143" t="s">
        <v>486</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7">SUM(E355:M355)</f>
        <v>9860.4499999999989</v>
      </c>
      <c r="E355" s="145">
        <v>6882.06</v>
      </c>
      <c r="F355" s="135" t="s">
        <v>487</v>
      </c>
      <c r="G355" s="145"/>
      <c r="H355" s="145">
        <v>786.36</v>
      </c>
      <c r="I355" s="145">
        <v>2164.15</v>
      </c>
      <c r="J355" s="145">
        <v>8.49</v>
      </c>
      <c r="K355" s="145">
        <v>19.39</v>
      </c>
      <c r="L355" s="145"/>
      <c r="M355" s="145"/>
    </row>
    <row r="356" spans="1:13" s="136" customFormat="1" ht="12.75">
      <c r="B356" s="132">
        <v>27</v>
      </c>
      <c r="C356" s="133" t="s">
        <v>182</v>
      </c>
      <c r="D356" s="134">
        <f t="shared" si="47"/>
        <v>0</v>
      </c>
      <c r="E356" s="145"/>
      <c r="F356" s="135" t="s">
        <v>487</v>
      </c>
      <c r="G356" s="145"/>
      <c r="H356" s="145"/>
      <c r="I356" s="145"/>
      <c r="J356" s="145"/>
      <c r="K356" s="145"/>
      <c r="L356" s="145"/>
      <c r="M356" s="145"/>
    </row>
    <row r="357" spans="1:13" s="136" customFormat="1" ht="12.75">
      <c r="B357" s="132">
        <v>60</v>
      </c>
      <c r="C357" s="133" t="s">
        <v>190</v>
      </c>
      <c r="D357" s="134">
        <f t="shared" si="47"/>
        <v>0</v>
      </c>
      <c r="E357" s="145"/>
      <c r="F357" s="135" t="s">
        <v>487</v>
      </c>
      <c r="G357" s="145"/>
      <c r="H357" s="145"/>
      <c r="I357" s="145"/>
      <c r="J357" s="145"/>
      <c r="K357" s="145"/>
      <c r="L357" s="145"/>
      <c r="M357" s="145"/>
    </row>
    <row r="358" spans="1:13" s="136" customFormat="1" ht="12.75">
      <c r="B358" s="132">
        <v>83</v>
      </c>
      <c r="C358" s="133" t="s">
        <v>124</v>
      </c>
      <c r="D358" s="134">
        <f t="shared" si="47"/>
        <v>0</v>
      </c>
      <c r="E358" s="145"/>
      <c r="F358" s="135" t="s">
        <v>487</v>
      </c>
      <c r="G358" s="135" t="s">
        <v>487</v>
      </c>
      <c r="H358" s="135" t="s">
        <v>487</v>
      </c>
      <c r="I358" s="135" t="s">
        <v>487</v>
      </c>
      <c r="J358" s="135" t="s">
        <v>487</v>
      </c>
      <c r="K358" s="145"/>
      <c r="L358" s="135" t="s">
        <v>487</v>
      </c>
      <c r="M358" s="135" t="s">
        <v>487</v>
      </c>
    </row>
    <row r="359" spans="1:13" s="136" customFormat="1" ht="12.75">
      <c r="B359" s="132">
        <v>89</v>
      </c>
      <c r="C359" s="133" t="s">
        <v>563</v>
      </c>
      <c r="D359" s="134">
        <f t="shared" si="47"/>
        <v>0</v>
      </c>
      <c r="E359" s="144"/>
      <c r="F359" s="135" t="s">
        <v>487</v>
      </c>
      <c r="G359" s="153" t="s">
        <v>487</v>
      </c>
      <c r="H359" s="156" t="s">
        <v>487</v>
      </c>
      <c r="I359" s="153" t="s">
        <v>487</v>
      </c>
      <c r="J359" s="153" t="s">
        <v>487</v>
      </c>
      <c r="K359" s="153" t="s">
        <v>487</v>
      </c>
      <c r="L359" s="153" t="s">
        <v>487</v>
      </c>
    </row>
    <row r="360" spans="1:13" s="136" customFormat="1" ht="12.75">
      <c r="B360" s="132">
        <v>98</v>
      </c>
      <c r="C360" s="133" t="s">
        <v>127</v>
      </c>
      <c r="D360" s="134">
        <f t="shared" si="47"/>
        <v>0</v>
      </c>
      <c r="E360" s="145"/>
      <c r="F360" s="135" t="s">
        <v>487</v>
      </c>
      <c r="G360" s="145"/>
      <c r="H360" s="145"/>
      <c r="I360" s="145"/>
      <c r="J360" s="145"/>
      <c r="K360" s="145"/>
      <c r="L360" s="145"/>
      <c r="M360" s="145"/>
    </row>
    <row r="361" spans="1:13" s="136" customFormat="1" ht="15">
      <c r="B361" s="132">
        <v>99</v>
      </c>
      <c r="C361" s="133" t="s">
        <v>442</v>
      </c>
      <c r="D361" s="119">
        <f>SUM(E361:F361)</f>
        <v>0</v>
      </c>
      <c r="E361" s="119"/>
      <c r="F361" s="119"/>
      <c r="G361" s="137" t="s">
        <v>487</v>
      </c>
      <c r="H361" s="137" t="s">
        <v>487</v>
      </c>
      <c r="I361" s="137" t="s">
        <v>487</v>
      </c>
      <c r="J361" s="137" t="s">
        <v>487</v>
      </c>
      <c r="K361" s="137" t="s">
        <v>487</v>
      </c>
      <c r="L361" s="137" t="s">
        <v>487</v>
      </c>
      <c r="M361" s="137" t="s">
        <v>487</v>
      </c>
    </row>
    <row r="362" spans="1:13" s="140" customFormat="1" ht="15">
      <c r="A362" s="136"/>
      <c r="B362" s="146"/>
      <c r="C362" s="122" t="s">
        <v>489</v>
      </c>
      <c r="D362" s="139">
        <f t="shared" ref="D362:M362" si="48">SUM(D355:D361)</f>
        <v>9860.4499999999989</v>
      </c>
      <c r="E362" s="139">
        <f t="shared" si="48"/>
        <v>6882.06</v>
      </c>
      <c r="F362" s="139">
        <f t="shared" si="48"/>
        <v>0</v>
      </c>
      <c r="G362" s="139">
        <f t="shared" si="48"/>
        <v>0</v>
      </c>
      <c r="H362" s="139">
        <f t="shared" si="48"/>
        <v>786.36</v>
      </c>
      <c r="I362" s="139">
        <f t="shared" si="48"/>
        <v>2164.15</v>
      </c>
      <c r="J362" s="139">
        <f t="shared" si="48"/>
        <v>8.49</v>
      </c>
      <c r="K362" s="139">
        <f t="shared" si="48"/>
        <v>19.39</v>
      </c>
      <c r="L362" s="139">
        <f t="shared" si="48"/>
        <v>0</v>
      </c>
      <c r="M362" s="139">
        <f t="shared" si="48"/>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511</v>
      </c>
      <c r="C365" s="133"/>
      <c r="D365" s="133"/>
      <c r="E365" s="133"/>
      <c r="F365" s="133"/>
      <c r="G365" s="133"/>
      <c r="H365" s="133"/>
      <c r="I365" s="143" t="s">
        <v>444</v>
      </c>
      <c r="J365" s="133"/>
      <c r="K365" s="133"/>
      <c r="L365" s="133"/>
      <c r="M365" s="133"/>
    </row>
    <row r="366" spans="1:13" s="136" customFormat="1" ht="12.75">
      <c r="B366" s="132"/>
      <c r="C366" s="133"/>
      <c r="D366" s="133"/>
      <c r="E366" s="143" t="s">
        <v>471</v>
      </c>
      <c r="F366" s="143" t="s">
        <v>472</v>
      </c>
      <c r="G366" s="143" t="s">
        <v>473</v>
      </c>
      <c r="H366" s="143" t="s">
        <v>474</v>
      </c>
      <c r="I366" s="143" t="s">
        <v>475</v>
      </c>
      <c r="J366" s="129" t="s">
        <v>476</v>
      </c>
      <c r="K366" s="143" t="s">
        <v>477</v>
      </c>
      <c r="L366" s="133"/>
      <c r="M366" s="143" t="s">
        <v>478</v>
      </c>
    </row>
    <row r="367" spans="1:13" s="136" customFormat="1" ht="12.75">
      <c r="B367" s="132"/>
      <c r="C367" s="143" t="s">
        <v>479</v>
      </c>
      <c r="D367" s="143" t="s">
        <v>480</v>
      </c>
      <c r="E367" s="143" t="s">
        <v>481</v>
      </c>
      <c r="F367" s="143" t="s">
        <v>481</v>
      </c>
      <c r="G367" s="143" t="s">
        <v>482</v>
      </c>
      <c r="H367" s="143" t="s">
        <v>482</v>
      </c>
      <c r="I367" s="143" t="s">
        <v>483</v>
      </c>
      <c r="J367" s="129" t="s">
        <v>484</v>
      </c>
      <c r="K367" s="143" t="s">
        <v>485</v>
      </c>
      <c r="L367" s="143" t="s">
        <v>457</v>
      </c>
      <c r="M367" s="143" t="s">
        <v>486</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9">SUM(E369:M369)</f>
        <v>0</v>
      </c>
      <c r="E369" s="145"/>
      <c r="F369" s="135" t="s">
        <v>487</v>
      </c>
      <c r="G369" s="145"/>
      <c r="H369" s="145"/>
      <c r="I369" s="145"/>
      <c r="J369" s="145"/>
      <c r="K369" s="145"/>
      <c r="L369" s="145"/>
      <c r="M369" s="145"/>
    </row>
    <row r="370" spans="1:13" s="136" customFormat="1" ht="12.75">
      <c r="B370" s="132">
        <v>27</v>
      </c>
      <c r="C370" s="133" t="s">
        <v>182</v>
      </c>
      <c r="D370" s="134">
        <f t="shared" si="49"/>
        <v>0</v>
      </c>
      <c r="E370" s="145"/>
      <c r="F370" s="135" t="s">
        <v>487</v>
      </c>
      <c r="G370" s="145"/>
      <c r="H370" s="145"/>
      <c r="I370" s="145"/>
      <c r="J370" s="145"/>
      <c r="K370" s="145"/>
      <c r="L370" s="145"/>
      <c r="M370" s="145"/>
    </row>
    <row r="371" spans="1:13" s="136" customFormat="1" ht="12.75">
      <c r="B371" s="132">
        <v>60</v>
      </c>
      <c r="C371" s="133" t="s">
        <v>190</v>
      </c>
      <c r="D371" s="134">
        <f t="shared" si="49"/>
        <v>0</v>
      </c>
      <c r="E371" s="145"/>
      <c r="F371" s="135" t="s">
        <v>487</v>
      </c>
      <c r="G371" s="145"/>
      <c r="H371" s="145"/>
      <c r="I371" s="145"/>
      <c r="J371" s="145"/>
      <c r="K371" s="145"/>
      <c r="L371" s="145"/>
      <c r="M371" s="145"/>
    </row>
    <row r="372" spans="1:13" s="136" customFormat="1" ht="12.75">
      <c r="B372" s="132">
        <v>83</v>
      </c>
      <c r="C372" s="133" t="s">
        <v>124</v>
      </c>
      <c r="D372" s="134">
        <f t="shared" si="49"/>
        <v>0</v>
      </c>
      <c r="E372" s="145"/>
      <c r="F372" s="135" t="s">
        <v>487</v>
      </c>
      <c r="G372" s="135" t="s">
        <v>487</v>
      </c>
      <c r="H372" s="135" t="s">
        <v>487</v>
      </c>
      <c r="I372" s="135" t="s">
        <v>487</v>
      </c>
      <c r="J372" s="135" t="s">
        <v>487</v>
      </c>
      <c r="K372" s="145"/>
      <c r="L372" s="135" t="s">
        <v>487</v>
      </c>
      <c r="M372" s="135" t="s">
        <v>487</v>
      </c>
    </row>
    <row r="373" spans="1:13" s="136" customFormat="1" ht="12.75">
      <c r="B373" s="132">
        <v>89</v>
      </c>
      <c r="C373" s="133" t="s">
        <v>563</v>
      </c>
      <c r="D373" s="134">
        <f t="shared" si="49"/>
        <v>0</v>
      </c>
      <c r="E373" s="144"/>
      <c r="F373" s="135" t="s">
        <v>487</v>
      </c>
      <c r="G373" s="153" t="s">
        <v>487</v>
      </c>
      <c r="H373" s="156" t="s">
        <v>487</v>
      </c>
      <c r="I373" s="153" t="s">
        <v>487</v>
      </c>
      <c r="J373" s="153" t="s">
        <v>487</v>
      </c>
      <c r="K373" s="153" t="s">
        <v>487</v>
      </c>
      <c r="L373" s="153" t="s">
        <v>487</v>
      </c>
    </row>
    <row r="374" spans="1:13" s="136" customFormat="1" ht="12.75">
      <c r="B374" s="132">
        <v>98</v>
      </c>
      <c r="C374" s="133" t="s">
        <v>127</v>
      </c>
      <c r="D374" s="134">
        <f t="shared" si="49"/>
        <v>0</v>
      </c>
      <c r="E374" s="145"/>
      <c r="F374" s="135" t="s">
        <v>487</v>
      </c>
      <c r="G374" s="145"/>
      <c r="H374" s="145"/>
      <c r="I374" s="145"/>
      <c r="J374" s="145"/>
      <c r="K374" s="145"/>
      <c r="L374" s="145"/>
      <c r="M374" s="145"/>
    </row>
    <row r="375" spans="1:13" s="136" customFormat="1" ht="15">
      <c r="B375" s="132">
        <v>99</v>
      </c>
      <c r="C375" s="133" t="s">
        <v>442</v>
      </c>
      <c r="D375" s="119">
        <f>SUM(E375:F375)</f>
        <v>0</v>
      </c>
      <c r="E375" s="119"/>
      <c r="F375" s="119"/>
      <c r="G375" s="137" t="s">
        <v>487</v>
      </c>
      <c r="H375" s="137" t="s">
        <v>487</v>
      </c>
      <c r="I375" s="137" t="s">
        <v>487</v>
      </c>
      <c r="J375" s="137" t="s">
        <v>487</v>
      </c>
      <c r="K375" s="137" t="s">
        <v>487</v>
      </c>
      <c r="L375" s="137" t="s">
        <v>487</v>
      </c>
      <c r="M375" s="137" t="s">
        <v>487</v>
      </c>
    </row>
    <row r="376" spans="1:13" s="140" customFormat="1" ht="15">
      <c r="A376" s="136"/>
      <c r="B376" s="146"/>
      <c r="C376" s="122" t="s">
        <v>489</v>
      </c>
      <c r="D376" s="139">
        <f t="shared" ref="D376:M376" si="50">SUM(D369:D375)</f>
        <v>0</v>
      </c>
      <c r="E376" s="139">
        <f t="shared" si="50"/>
        <v>0</v>
      </c>
      <c r="F376" s="139">
        <f t="shared" si="50"/>
        <v>0</v>
      </c>
      <c r="G376" s="139">
        <f t="shared" si="50"/>
        <v>0</v>
      </c>
      <c r="H376" s="139">
        <f t="shared" si="50"/>
        <v>0</v>
      </c>
      <c r="I376" s="139">
        <f t="shared" si="50"/>
        <v>0</v>
      </c>
      <c r="J376" s="139">
        <f t="shared" si="50"/>
        <v>0</v>
      </c>
      <c r="K376" s="139">
        <f t="shared" si="50"/>
        <v>0</v>
      </c>
      <c r="L376" s="139">
        <f t="shared" si="50"/>
        <v>0</v>
      </c>
      <c r="M376" s="139">
        <f t="shared" si="50"/>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512</v>
      </c>
      <c r="C379" s="133"/>
      <c r="D379" s="133"/>
      <c r="E379" s="133"/>
      <c r="F379" s="133"/>
      <c r="G379" s="133"/>
      <c r="H379" s="133"/>
      <c r="I379" s="143" t="s">
        <v>444</v>
      </c>
      <c r="J379" s="133"/>
      <c r="K379" s="133"/>
      <c r="L379" s="133"/>
      <c r="M379" s="133"/>
    </row>
    <row r="380" spans="1:13" s="136" customFormat="1" ht="12.75">
      <c r="B380" s="132"/>
      <c r="C380" s="133"/>
      <c r="D380" s="133"/>
      <c r="E380" s="143" t="s">
        <v>471</v>
      </c>
      <c r="F380" s="143" t="s">
        <v>472</v>
      </c>
      <c r="G380" s="143" t="s">
        <v>473</v>
      </c>
      <c r="H380" s="143" t="s">
        <v>474</v>
      </c>
      <c r="I380" s="143" t="s">
        <v>475</v>
      </c>
      <c r="J380" s="129" t="s">
        <v>476</v>
      </c>
      <c r="K380" s="143" t="s">
        <v>477</v>
      </c>
      <c r="L380" s="133"/>
      <c r="M380" s="143" t="s">
        <v>478</v>
      </c>
    </row>
    <row r="381" spans="1:13" s="136" customFormat="1" ht="12.75">
      <c r="B381" s="132"/>
      <c r="C381" s="143" t="s">
        <v>479</v>
      </c>
      <c r="D381" s="143" t="s">
        <v>480</v>
      </c>
      <c r="E381" s="143" t="s">
        <v>481</v>
      </c>
      <c r="F381" s="143" t="s">
        <v>481</v>
      </c>
      <c r="G381" s="143" t="s">
        <v>482</v>
      </c>
      <c r="H381" s="143" t="s">
        <v>482</v>
      </c>
      <c r="I381" s="143" t="s">
        <v>483</v>
      </c>
      <c r="J381" s="129" t="s">
        <v>484</v>
      </c>
      <c r="K381" s="143" t="s">
        <v>485</v>
      </c>
      <c r="L381" s="143" t="s">
        <v>457</v>
      </c>
      <c r="M381" s="143" t="s">
        <v>486</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701</v>
      </c>
      <c r="D383" s="134">
        <f t="shared" ref="D383:D394" si="51">SUM(E383:M383)</f>
        <v>0</v>
      </c>
      <c r="E383" s="145"/>
      <c r="F383" s="135" t="s">
        <v>487</v>
      </c>
      <c r="G383" s="145"/>
      <c r="H383" s="145"/>
      <c r="I383" s="145"/>
      <c r="J383" s="145"/>
      <c r="K383" s="145"/>
      <c r="L383" s="145"/>
      <c r="M383" s="145"/>
    </row>
    <row r="384" spans="1:13" s="136" customFormat="1" ht="12.75">
      <c r="B384" s="132">
        <v>21</v>
      </c>
      <c r="C384" s="133" t="s">
        <v>175</v>
      </c>
      <c r="D384" s="134">
        <f t="shared" ref="D384:D391" si="52">SUM(E384:M384)</f>
        <v>25511.29</v>
      </c>
      <c r="E384" s="145">
        <v>724.81</v>
      </c>
      <c r="F384" s="135" t="s">
        <v>487</v>
      </c>
      <c r="G384" s="145">
        <v>3054</v>
      </c>
      <c r="H384" s="145"/>
      <c r="I384" s="145">
        <v>1048</v>
      </c>
      <c r="J384" s="145">
        <v>129.84</v>
      </c>
      <c r="K384" s="145">
        <v>20093.28</v>
      </c>
      <c r="L384" s="145">
        <v>461.36</v>
      </c>
      <c r="M384" s="145"/>
    </row>
    <row r="385" spans="1:13" s="136" customFormat="1" ht="12.75">
      <c r="B385" s="132">
        <v>26</v>
      </c>
      <c r="C385" s="133" t="s">
        <v>702</v>
      </c>
      <c r="D385" s="134">
        <f t="shared" si="52"/>
        <v>0</v>
      </c>
      <c r="E385" s="145"/>
      <c r="F385" s="135" t="s">
        <v>487</v>
      </c>
      <c r="G385" s="145"/>
      <c r="H385" s="145"/>
      <c r="I385" s="145"/>
      <c r="J385" s="145"/>
      <c r="K385" s="145"/>
      <c r="L385" s="145"/>
      <c r="M385" s="145"/>
    </row>
    <row r="386" spans="1:13" s="136" customFormat="1" ht="12.75">
      <c r="B386" s="132">
        <v>27</v>
      </c>
      <c r="C386" s="133" t="s">
        <v>182</v>
      </c>
      <c r="D386" s="134">
        <f t="shared" si="52"/>
        <v>0</v>
      </c>
      <c r="E386" s="145"/>
      <c r="F386" s="135" t="s">
        <v>487</v>
      </c>
      <c r="G386" s="145"/>
      <c r="H386" s="145"/>
      <c r="I386" s="145"/>
      <c r="J386" s="145"/>
      <c r="K386" s="145"/>
      <c r="L386" s="145"/>
      <c r="M386" s="145"/>
    </row>
    <row r="387" spans="1:13" s="136" customFormat="1" ht="12.75">
      <c r="B387" s="132">
        <v>41</v>
      </c>
      <c r="C387" s="133" t="s">
        <v>703</v>
      </c>
      <c r="D387" s="134">
        <f t="shared" si="52"/>
        <v>0</v>
      </c>
      <c r="E387" s="145"/>
      <c r="F387" s="135" t="s">
        <v>487</v>
      </c>
      <c r="G387" s="145"/>
      <c r="H387" s="145"/>
      <c r="I387" s="145"/>
      <c r="J387" s="145"/>
      <c r="K387" s="145"/>
      <c r="L387" s="145"/>
      <c r="M387" s="145"/>
    </row>
    <row r="388" spans="1:13" s="136" customFormat="1" ht="12.75">
      <c r="B388" s="132">
        <v>42</v>
      </c>
      <c r="C388" s="133" t="s">
        <v>704</v>
      </c>
      <c r="D388" s="134">
        <f t="shared" si="52"/>
        <v>0</v>
      </c>
      <c r="E388" s="145"/>
      <c r="F388" s="135" t="s">
        <v>487</v>
      </c>
      <c r="G388" s="135" t="s">
        <v>487</v>
      </c>
      <c r="H388" s="135" t="s">
        <v>487</v>
      </c>
      <c r="I388" s="135" t="s">
        <v>487</v>
      </c>
      <c r="J388" s="145"/>
      <c r="K388" s="145"/>
      <c r="L388" s="135" t="s">
        <v>487</v>
      </c>
      <c r="M388" s="135" t="s">
        <v>487</v>
      </c>
    </row>
    <row r="389" spans="1:13" s="136" customFormat="1" ht="12.75">
      <c r="B389" s="132">
        <v>44</v>
      </c>
      <c r="C389" s="133" t="s">
        <v>705</v>
      </c>
      <c r="D389" s="134">
        <f t="shared" si="52"/>
        <v>0</v>
      </c>
      <c r="E389" s="145"/>
      <c r="F389" s="135" t="s">
        <v>487</v>
      </c>
      <c r="G389" s="135" t="s">
        <v>487</v>
      </c>
      <c r="H389" s="145"/>
      <c r="I389" s="145"/>
      <c r="J389" s="145"/>
      <c r="K389" s="145"/>
      <c r="L389" s="145"/>
      <c r="M389" s="145"/>
    </row>
    <row r="390" spans="1:13" s="136" customFormat="1" ht="12.75">
      <c r="B390" s="132">
        <v>60</v>
      </c>
      <c r="C390" s="133" t="s">
        <v>190</v>
      </c>
      <c r="D390" s="134">
        <f t="shared" si="52"/>
        <v>0</v>
      </c>
      <c r="E390" s="145"/>
      <c r="F390" s="135" t="s">
        <v>487</v>
      </c>
      <c r="G390" s="145"/>
      <c r="H390" s="145"/>
      <c r="I390" s="145"/>
      <c r="J390" s="145"/>
      <c r="K390" s="145"/>
      <c r="L390" s="145"/>
      <c r="M390" s="145"/>
    </row>
    <row r="391" spans="1:13" s="136" customFormat="1" ht="12.75">
      <c r="A391" s="133"/>
      <c r="B391" s="132">
        <v>72</v>
      </c>
      <c r="C391" s="133" t="s">
        <v>700</v>
      </c>
      <c r="D391" s="134">
        <f t="shared" si="52"/>
        <v>0</v>
      </c>
      <c r="E391" s="145"/>
      <c r="F391" s="135" t="s">
        <v>487</v>
      </c>
      <c r="G391" s="145"/>
      <c r="H391" s="145"/>
      <c r="I391" s="145"/>
      <c r="J391" s="145"/>
      <c r="K391" s="145"/>
      <c r="L391" s="145"/>
      <c r="M391" s="145"/>
    </row>
    <row r="392" spans="1:13" s="136" customFormat="1" ht="12.75">
      <c r="B392" s="132">
        <v>83</v>
      </c>
      <c r="C392" s="133" t="s">
        <v>124</v>
      </c>
      <c r="D392" s="134">
        <f t="shared" si="51"/>
        <v>0</v>
      </c>
      <c r="E392" s="145"/>
      <c r="F392" s="135" t="s">
        <v>487</v>
      </c>
      <c r="G392" s="135" t="s">
        <v>487</v>
      </c>
      <c r="H392" s="135" t="s">
        <v>487</v>
      </c>
      <c r="I392" s="135" t="s">
        <v>487</v>
      </c>
      <c r="J392" s="135" t="s">
        <v>487</v>
      </c>
      <c r="K392" s="145"/>
      <c r="L392" s="135" t="s">
        <v>487</v>
      </c>
      <c r="M392" s="135" t="s">
        <v>487</v>
      </c>
    </row>
    <row r="393" spans="1:13" s="136" customFormat="1" ht="12.75">
      <c r="B393" s="132">
        <v>89</v>
      </c>
      <c r="C393" s="133" t="s">
        <v>563</v>
      </c>
      <c r="D393" s="134">
        <f t="shared" si="51"/>
        <v>0</v>
      </c>
      <c r="E393" s="144"/>
      <c r="F393" s="135" t="s">
        <v>487</v>
      </c>
      <c r="G393" s="153" t="s">
        <v>487</v>
      </c>
      <c r="H393" s="156" t="s">
        <v>487</v>
      </c>
      <c r="I393" s="153" t="s">
        <v>487</v>
      </c>
      <c r="J393" s="153" t="s">
        <v>487</v>
      </c>
      <c r="K393" s="153" t="s">
        <v>487</v>
      </c>
      <c r="L393" s="153" t="s">
        <v>487</v>
      </c>
    </row>
    <row r="394" spans="1:13" s="136" customFormat="1" ht="12.75">
      <c r="B394" s="132">
        <v>98</v>
      </c>
      <c r="C394" s="133" t="s">
        <v>127</v>
      </c>
      <c r="D394" s="134">
        <f t="shared" si="51"/>
        <v>0</v>
      </c>
      <c r="E394" s="145"/>
      <c r="F394" s="135" t="s">
        <v>487</v>
      </c>
      <c r="G394" s="145"/>
      <c r="H394" s="145"/>
      <c r="I394" s="145"/>
      <c r="J394" s="145"/>
      <c r="K394" s="145"/>
      <c r="L394" s="145"/>
      <c r="M394" s="145"/>
    </row>
    <row r="395" spans="1:13" s="136" customFormat="1" ht="15">
      <c r="B395" s="132">
        <v>99</v>
      </c>
      <c r="C395" s="133" t="s">
        <v>442</v>
      </c>
      <c r="D395" s="119">
        <f>SUM(E395:F395)</f>
        <v>0</v>
      </c>
      <c r="E395" s="119"/>
      <c r="F395" s="119"/>
      <c r="G395" s="137" t="s">
        <v>487</v>
      </c>
      <c r="H395" s="137" t="s">
        <v>487</v>
      </c>
      <c r="I395" s="137" t="s">
        <v>487</v>
      </c>
      <c r="J395" s="137" t="s">
        <v>487</v>
      </c>
      <c r="K395" s="137" t="s">
        <v>487</v>
      </c>
      <c r="L395" s="137" t="s">
        <v>487</v>
      </c>
      <c r="M395" s="137" t="s">
        <v>487</v>
      </c>
    </row>
    <row r="396" spans="1:13" s="140" customFormat="1" ht="15">
      <c r="A396" s="136"/>
      <c r="B396" s="146"/>
      <c r="C396" s="122" t="s">
        <v>489</v>
      </c>
      <c r="D396" s="139">
        <f t="shared" ref="D396:M396" si="53">SUM(D383:D395)</f>
        <v>25511.29</v>
      </c>
      <c r="E396" s="139">
        <f t="shared" si="53"/>
        <v>724.81</v>
      </c>
      <c r="F396" s="139">
        <f t="shared" si="53"/>
        <v>0</v>
      </c>
      <c r="G396" s="139">
        <f t="shared" si="53"/>
        <v>3054</v>
      </c>
      <c r="H396" s="139">
        <f t="shared" si="53"/>
        <v>0</v>
      </c>
      <c r="I396" s="139">
        <f t="shared" si="53"/>
        <v>1048</v>
      </c>
      <c r="J396" s="139">
        <f t="shared" si="53"/>
        <v>129.84</v>
      </c>
      <c r="K396" s="139">
        <f t="shared" si="53"/>
        <v>20093.28</v>
      </c>
      <c r="L396" s="139">
        <f t="shared" si="53"/>
        <v>461.36</v>
      </c>
      <c r="M396" s="139">
        <f t="shared" si="53"/>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513</v>
      </c>
      <c r="C399" s="133"/>
      <c r="D399" s="133"/>
      <c r="E399" s="133"/>
      <c r="F399" s="133"/>
      <c r="G399" s="133"/>
      <c r="H399" s="133"/>
      <c r="I399" s="143" t="s">
        <v>444</v>
      </c>
      <c r="J399" s="133"/>
      <c r="K399" s="133"/>
      <c r="L399" s="133"/>
      <c r="M399" s="133"/>
    </row>
    <row r="400" spans="1:13" s="136" customFormat="1" ht="12.75">
      <c r="B400" s="132"/>
      <c r="C400" s="133"/>
      <c r="D400" s="133"/>
      <c r="E400" s="143" t="s">
        <v>471</v>
      </c>
      <c r="F400" s="143" t="s">
        <v>472</v>
      </c>
      <c r="G400" s="143" t="s">
        <v>473</v>
      </c>
      <c r="H400" s="143" t="s">
        <v>474</v>
      </c>
      <c r="I400" s="143" t="s">
        <v>475</v>
      </c>
      <c r="J400" s="129" t="s">
        <v>476</v>
      </c>
      <c r="K400" s="143" t="s">
        <v>477</v>
      </c>
      <c r="L400" s="133"/>
      <c r="M400" s="143" t="s">
        <v>478</v>
      </c>
    </row>
    <row r="401" spans="1:13" s="136" customFormat="1" ht="12.75">
      <c r="B401" s="132"/>
      <c r="C401" s="143" t="s">
        <v>479</v>
      </c>
      <c r="D401" s="143" t="s">
        <v>480</v>
      </c>
      <c r="E401" s="143" t="s">
        <v>481</v>
      </c>
      <c r="F401" s="143" t="s">
        <v>481</v>
      </c>
      <c r="G401" s="143" t="s">
        <v>482</v>
      </c>
      <c r="H401" s="143" t="s">
        <v>482</v>
      </c>
      <c r="I401" s="143" t="s">
        <v>483</v>
      </c>
      <c r="J401" s="129" t="s">
        <v>484</v>
      </c>
      <c r="K401" s="143" t="s">
        <v>485</v>
      </c>
      <c r="L401" s="143" t="s">
        <v>457</v>
      </c>
      <c r="M401" s="143" t="s">
        <v>486</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4">SUM(E403:M403)</f>
        <v>0</v>
      </c>
      <c r="E403" s="145"/>
      <c r="F403" s="135" t="s">
        <v>487</v>
      </c>
      <c r="G403" s="145"/>
      <c r="H403" s="145"/>
      <c r="I403" s="145"/>
      <c r="J403" s="145"/>
      <c r="K403" s="145"/>
      <c r="L403" s="145"/>
      <c r="M403" s="145"/>
    </row>
    <row r="404" spans="1:13" s="136" customFormat="1" ht="12.75">
      <c r="B404" s="132">
        <v>27</v>
      </c>
      <c r="C404" s="133" t="s">
        <v>182</v>
      </c>
      <c r="D404" s="134">
        <f t="shared" si="54"/>
        <v>6730.3099999999995</v>
      </c>
      <c r="E404" s="145"/>
      <c r="F404" s="135" t="s">
        <v>487</v>
      </c>
      <c r="G404" s="145">
        <v>6210</v>
      </c>
      <c r="H404" s="145"/>
      <c r="I404" s="145">
        <v>520.30999999999995</v>
      </c>
      <c r="J404" s="145"/>
      <c r="K404" s="145"/>
      <c r="L404" s="145"/>
      <c r="M404" s="145"/>
    </row>
    <row r="405" spans="1:13" s="136" customFormat="1" ht="12.75">
      <c r="B405" s="132">
        <v>60</v>
      </c>
      <c r="C405" s="133" t="s">
        <v>190</v>
      </c>
      <c r="D405" s="134">
        <f t="shared" si="54"/>
        <v>0</v>
      </c>
      <c r="E405" s="145"/>
      <c r="F405" s="135" t="s">
        <v>487</v>
      </c>
      <c r="G405" s="145"/>
      <c r="H405" s="145"/>
      <c r="I405" s="145"/>
      <c r="J405" s="145"/>
      <c r="K405" s="145"/>
      <c r="L405" s="145"/>
      <c r="M405" s="145"/>
    </row>
    <row r="406" spans="1:13" s="136" customFormat="1" ht="12.75">
      <c r="B406" s="132">
        <v>83</v>
      </c>
      <c r="C406" s="133" t="s">
        <v>124</v>
      </c>
      <c r="D406" s="134">
        <f t="shared" si="54"/>
        <v>0</v>
      </c>
      <c r="E406" s="145"/>
      <c r="F406" s="135" t="s">
        <v>487</v>
      </c>
      <c r="G406" s="135" t="s">
        <v>487</v>
      </c>
      <c r="H406" s="135" t="s">
        <v>487</v>
      </c>
      <c r="I406" s="135" t="s">
        <v>487</v>
      </c>
      <c r="J406" s="135" t="s">
        <v>487</v>
      </c>
      <c r="K406" s="145"/>
      <c r="L406" s="135" t="s">
        <v>487</v>
      </c>
      <c r="M406" s="135" t="s">
        <v>487</v>
      </c>
    </row>
    <row r="407" spans="1:13" s="136" customFormat="1" ht="12.75">
      <c r="B407" s="132">
        <v>89</v>
      </c>
      <c r="C407" s="133" t="s">
        <v>563</v>
      </c>
      <c r="D407" s="134">
        <f t="shared" si="54"/>
        <v>0</v>
      </c>
      <c r="E407" s="144"/>
      <c r="F407" s="135" t="s">
        <v>487</v>
      </c>
      <c r="G407" s="153" t="s">
        <v>487</v>
      </c>
      <c r="H407" s="156" t="s">
        <v>487</v>
      </c>
      <c r="I407" s="153" t="s">
        <v>487</v>
      </c>
      <c r="J407" s="153" t="s">
        <v>487</v>
      </c>
      <c r="K407" s="153" t="s">
        <v>487</v>
      </c>
      <c r="L407" s="153" t="s">
        <v>487</v>
      </c>
    </row>
    <row r="408" spans="1:13" s="136" customFormat="1" ht="12.75">
      <c r="B408" s="132">
        <v>98</v>
      </c>
      <c r="C408" s="133" t="s">
        <v>127</v>
      </c>
      <c r="D408" s="134">
        <f t="shared" si="54"/>
        <v>513022.83999999997</v>
      </c>
      <c r="E408" s="145">
        <v>45555.62</v>
      </c>
      <c r="F408" s="135" t="s">
        <v>487</v>
      </c>
      <c r="G408" s="145">
        <v>32113.29</v>
      </c>
      <c r="H408" s="145">
        <v>199626.53</v>
      </c>
      <c r="I408" s="145">
        <v>82084.08</v>
      </c>
      <c r="J408" s="145">
        <v>6098.97</v>
      </c>
      <c r="K408" s="145">
        <v>125703.43</v>
      </c>
      <c r="L408" s="145">
        <v>21840.92</v>
      </c>
      <c r="M408" s="145"/>
    </row>
    <row r="409" spans="1:13" s="136" customFormat="1" ht="15">
      <c r="B409" s="132">
        <v>99</v>
      </c>
      <c r="C409" s="133" t="s">
        <v>442</v>
      </c>
      <c r="D409" s="119">
        <f>SUM(E409:F409)</f>
        <v>0</v>
      </c>
      <c r="E409" s="119"/>
      <c r="F409" s="119"/>
      <c r="G409" s="137" t="s">
        <v>487</v>
      </c>
      <c r="H409" s="137" t="s">
        <v>487</v>
      </c>
      <c r="I409" s="137" t="s">
        <v>487</v>
      </c>
      <c r="J409" s="137" t="s">
        <v>487</v>
      </c>
      <c r="K409" s="137" t="s">
        <v>487</v>
      </c>
      <c r="L409" s="137" t="s">
        <v>487</v>
      </c>
      <c r="M409" s="137" t="s">
        <v>487</v>
      </c>
    </row>
    <row r="410" spans="1:13" s="140" customFormat="1" ht="15">
      <c r="A410" s="136"/>
      <c r="B410" s="146"/>
      <c r="C410" s="122" t="s">
        <v>489</v>
      </c>
      <c r="D410" s="139">
        <f t="shared" ref="D410:M410" si="55">SUM(D403:D409)</f>
        <v>519753.14999999997</v>
      </c>
      <c r="E410" s="139">
        <f t="shared" si="55"/>
        <v>45555.62</v>
      </c>
      <c r="F410" s="139">
        <f t="shared" si="55"/>
        <v>0</v>
      </c>
      <c r="G410" s="139">
        <f t="shared" si="55"/>
        <v>38323.29</v>
      </c>
      <c r="H410" s="139">
        <f t="shared" si="55"/>
        <v>199626.53</v>
      </c>
      <c r="I410" s="139">
        <f t="shared" si="55"/>
        <v>82604.39</v>
      </c>
      <c r="J410" s="139">
        <f t="shared" si="55"/>
        <v>6098.97</v>
      </c>
      <c r="K410" s="139">
        <f t="shared" si="55"/>
        <v>125703.43</v>
      </c>
      <c r="L410" s="139">
        <f t="shared" si="55"/>
        <v>21840.92</v>
      </c>
      <c r="M410" s="139">
        <f t="shared" si="55"/>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514</v>
      </c>
      <c r="C413" s="133"/>
      <c r="D413" s="133"/>
      <c r="E413" s="133"/>
      <c r="F413" s="133"/>
      <c r="G413" s="133"/>
      <c r="H413" s="133"/>
      <c r="I413" s="143" t="s">
        <v>444</v>
      </c>
      <c r="J413" s="133"/>
      <c r="K413" s="133"/>
      <c r="L413" s="133"/>
      <c r="M413" s="133"/>
    </row>
    <row r="414" spans="1:13" s="136" customFormat="1" ht="12.75">
      <c r="B414" s="132"/>
      <c r="C414" s="133"/>
      <c r="D414" s="133"/>
      <c r="E414" s="143" t="s">
        <v>471</v>
      </c>
      <c r="F414" s="143" t="s">
        <v>472</v>
      </c>
      <c r="G414" s="143" t="s">
        <v>473</v>
      </c>
      <c r="H414" s="143" t="s">
        <v>474</v>
      </c>
      <c r="I414" s="143" t="s">
        <v>475</v>
      </c>
      <c r="J414" s="129" t="s">
        <v>476</v>
      </c>
      <c r="K414" s="143" t="s">
        <v>477</v>
      </c>
      <c r="L414" s="133"/>
      <c r="M414" s="143" t="s">
        <v>478</v>
      </c>
    </row>
    <row r="415" spans="1:13" s="136" customFormat="1" ht="12.75">
      <c r="B415" s="132"/>
      <c r="C415" s="143" t="s">
        <v>479</v>
      </c>
      <c r="D415" s="143" t="s">
        <v>480</v>
      </c>
      <c r="E415" s="143" t="s">
        <v>481</v>
      </c>
      <c r="F415" s="143" t="s">
        <v>481</v>
      </c>
      <c r="G415" s="143" t="s">
        <v>482</v>
      </c>
      <c r="H415" s="143" t="s">
        <v>482</v>
      </c>
      <c r="I415" s="143" t="s">
        <v>483</v>
      </c>
      <c r="J415" s="129" t="s">
        <v>484</v>
      </c>
      <c r="K415" s="143" t="s">
        <v>485</v>
      </c>
      <c r="L415" s="143" t="s">
        <v>457</v>
      </c>
      <c r="M415" s="143" t="s">
        <v>486</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6">SUM(E417:M417)</f>
        <v>0</v>
      </c>
      <c r="E417" s="145"/>
      <c r="F417" s="135" t="s">
        <v>487</v>
      </c>
      <c r="G417" s="145"/>
      <c r="H417" s="145"/>
      <c r="I417" s="145"/>
      <c r="J417" s="145"/>
      <c r="K417" s="145"/>
      <c r="L417" s="145"/>
      <c r="M417" s="145"/>
    </row>
    <row r="418" spans="1:13" s="136" customFormat="1" ht="12.75">
      <c r="B418" s="132">
        <v>27</v>
      </c>
      <c r="C418" s="133" t="s">
        <v>182</v>
      </c>
      <c r="D418" s="134">
        <f t="shared" si="56"/>
        <v>0</v>
      </c>
      <c r="E418" s="145"/>
      <c r="F418" s="135" t="s">
        <v>487</v>
      </c>
      <c r="G418" s="145"/>
      <c r="H418" s="145"/>
      <c r="I418" s="145"/>
      <c r="J418" s="145"/>
      <c r="K418" s="145"/>
      <c r="L418" s="145"/>
      <c r="M418" s="145"/>
    </row>
    <row r="419" spans="1:13" s="136" customFormat="1" ht="12.75">
      <c r="B419" s="132">
        <v>60</v>
      </c>
      <c r="C419" s="133" t="s">
        <v>190</v>
      </c>
      <c r="D419" s="134">
        <f t="shared" si="56"/>
        <v>0</v>
      </c>
      <c r="E419" s="145"/>
      <c r="F419" s="135" t="s">
        <v>487</v>
      </c>
      <c r="G419" s="145"/>
      <c r="H419" s="145"/>
      <c r="I419" s="145"/>
      <c r="J419" s="145"/>
      <c r="K419" s="145"/>
      <c r="L419" s="145"/>
      <c r="M419" s="145"/>
    </row>
    <row r="420" spans="1:13" s="136" customFormat="1" ht="12.75">
      <c r="B420" s="132">
        <v>83</v>
      </c>
      <c r="C420" s="133" t="s">
        <v>124</v>
      </c>
      <c r="D420" s="134">
        <f t="shared" si="56"/>
        <v>0</v>
      </c>
      <c r="E420" s="145"/>
      <c r="F420" s="135" t="s">
        <v>487</v>
      </c>
      <c r="G420" s="135" t="s">
        <v>487</v>
      </c>
      <c r="H420" s="135" t="s">
        <v>487</v>
      </c>
      <c r="I420" s="135" t="s">
        <v>487</v>
      </c>
      <c r="J420" s="135" t="s">
        <v>487</v>
      </c>
      <c r="K420" s="145"/>
      <c r="L420" s="135" t="s">
        <v>487</v>
      </c>
      <c r="M420" s="135" t="s">
        <v>487</v>
      </c>
    </row>
    <row r="421" spans="1:13" s="136" customFormat="1" ht="12.75">
      <c r="B421" s="132">
        <v>89</v>
      </c>
      <c r="C421" s="133" t="s">
        <v>563</v>
      </c>
      <c r="D421" s="134">
        <f t="shared" si="56"/>
        <v>0</v>
      </c>
      <c r="E421" s="144"/>
      <c r="F421" s="135" t="s">
        <v>487</v>
      </c>
      <c r="G421" s="153" t="s">
        <v>487</v>
      </c>
      <c r="H421" s="156" t="s">
        <v>487</v>
      </c>
      <c r="I421" s="153" t="s">
        <v>487</v>
      </c>
      <c r="J421" s="153" t="s">
        <v>487</v>
      </c>
      <c r="K421" s="153" t="s">
        <v>487</v>
      </c>
      <c r="L421" s="153" t="s">
        <v>487</v>
      </c>
    </row>
    <row r="422" spans="1:13" s="136" customFormat="1" ht="12.75">
      <c r="B422" s="132">
        <v>98</v>
      </c>
      <c r="C422" s="133" t="s">
        <v>127</v>
      </c>
      <c r="D422" s="134">
        <f t="shared" si="56"/>
        <v>0</v>
      </c>
      <c r="E422" s="145"/>
      <c r="F422" s="135" t="s">
        <v>487</v>
      </c>
      <c r="G422" s="145"/>
      <c r="H422" s="145"/>
      <c r="I422" s="145"/>
      <c r="J422" s="145"/>
      <c r="K422" s="145"/>
      <c r="L422" s="145"/>
      <c r="M422" s="145"/>
    </row>
    <row r="423" spans="1:13" s="136" customFormat="1" ht="15">
      <c r="B423" s="132">
        <v>99</v>
      </c>
      <c r="C423" s="133" t="s">
        <v>442</v>
      </c>
      <c r="D423" s="119">
        <f>SUM(E423:F423)</f>
        <v>0</v>
      </c>
      <c r="E423" s="119"/>
      <c r="F423" s="119"/>
      <c r="G423" s="137" t="s">
        <v>487</v>
      </c>
      <c r="H423" s="137" t="s">
        <v>487</v>
      </c>
      <c r="I423" s="137" t="s">
        <v>487</v>
      </c>
      <c r="J423" s="137" t="s">
        <v>487</v>
      </c>
      <c r="K423" s="137" t="s">
        <v>487</v>
      </c>
      <c r="L423" s="137" t="s">
        <v>487</v>
      </c>
      <c r="M423" s="137" t="s">
        <v>487</v>
      </c>
    </row>
    <row r="424" spans="1:13" s="140" customFormat="1" ht="15">
      <c r="A424" s="136"/>
      <c r="B424" s="146"/>
      <c r="C424" s="122" t="s">
        <v>489</v>
      </c>
      <c r="D424" s="139">
        <f t="shared" ref="D424:M424" si="57">SUM(D417:D423)</f>
        <v>0</v>
      </c>
      <c r="E424" s="139">
        <f t="shared" si="57"/>
        <v>0</v>
      </c>
      <c r="F424" s="139">
        <f t="shared" si="57"/>
        <v>0</v>
      </c>
      <c r="G424" s="139">
        <f t="shared" si="57"/>
        <v>0</v>
      </c>
      <c r="H424" s="139">
        <f t="shared" si="57"/>
        <v>0</v>
      </c>
      <c r="I424" s="139">
        <f t="shared" si="57"/>
        <v>0</v>
      </c>
      <c r="J424" s="139">
        <f t="shared" si="57"/>
        <v>0</v>
      </c>
      <c r="K424" s="139">
        <f t="shared" si="57"/>
        <v>0</v>
      </c>
      <c r="L424" s="139">
        <f t="shared" si="57"/>
        <v>0</v>
      </c>
      <c r="M424" s="139">
        <f t="shared" si="57"/>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515</v>
      </c>
      <c r="C427" s="133"/>
      <c r="D427" s="133"/>
      <c r="E427" s="133"/>
      <c r="F427" s="133"/>
      <c r="G427" s="133"/>
      <c r="H427" s="133"/>
      <c r="I427" s="143" t="s">
        <v>444</v>
      </c>
      <c r="J427" s="133"/>
      <c r="K427" s="133"/>
      <c r="L427" s="133"/>
      <c r="M427" s="133"/>
    </row>
    <row r="428" spans="1:13" s="136" customFormat="1" ht="12.75">
      <c r="B428" s="132"/>
      <c r="C428" s="133"/>
      <c r="D428" s="133"/>
      <c r="E428" s="143" t="s">
        <v>471</v>
      </c>
      <c r="F428" s="143" t="s">
        <v>472</v>
      </c>
      <c r="G428" s="143" t="s">
        <v>473</v>
      </c>
      <c r="H428" s="143" t="s">
        <v>474</v>
      </c>
      <c r="I428" s="143" t="s">
        <v>475</v>
      </c>
      <c r="J428" s="129" t="s">
        <v>476</v>
      </c>
      <c r="K428" s="143" t="s">
        <v>477</v>
      </c>
      <c r="L428" s="133"/>
      <c r="M428" s="143" t="s">
        <v>478</v>
      </c>
    </row>
    <row r="429" spans="1:13" s="136" customFormat="1" ht="12.75">
      <c r="B429" s="132"/>
      <c r="C429" s="143" t="s">
        <v>479</v>
      </c>
      <c r="D429" s="143" t="s">
        <v>480</v>
      </c>
      <c r="E429" s="143" t="s">
        <v>481</v>
      </c>
      <c r="F429" s="143" t="s">
        <v>481</v>
      </c>
      <c r="G429" s="143" t="s">
        <v>482</v>
      </c>
      <c r="H429" s="143" t="s">
        <v>482</v>
      </c>
      <c r="I429" s="143" t="s">
        <v>483</v>
      </c>
      <c r="J429" s="129" t="s">
        <v>484</v>
      </c>
      <c r="K429" s="143" t="s">
        <v>485</v>
      </c>
      <c r="L429" s="143" t="s">
        <v>457</v>
      </c>
      <c r="M429" s="143" t="s">
        <v>486</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8">SUM(E431:M431)</f>
        <v>0</v>
      </c>
      <c r="E431" s="145"/>
      <c r="F431" s="135" t="s">
        <v>487</v>
      </c>
      <c r="G431" s="145"/>
      <c r="H431" s="145"/>
      <c r="I431" s="145"/>
      <c r="J431" s="145"/>
      <c r="K431" s="145"/>
      <c r="L431" s="145"/>
      <c r="M431" s="145"/>
    </row>
    <row r="432" spans="1:13" s="136" customFormat="1" ht="12.75">
      <c r="B432" s="132">
        <v>27</v>
      </c>
      <c r="C432" s="133" t="s">
        <v>182</v>
      </c>
      <c r="D432" s="134">
        <f t="shared" si="58"/>
        <v>0</v>
      </c>
      <c r="E432" s="145"/>
      <c r="F432" s="135" t="s">
        <v>487</v>
      </c>
      <c r="G432" s="145"/>
      <c r="H432" s="145"/>
      <c r="I432" s="145"/>
      <c r="J432" s="145"/>
      <c r="K432" s="145"/>
      <c r="L432" s="145"/>
      <c r="M432" s="145"/>
    </row>
    <row r="433" spans="1:13" s="136" customFormat="1" ht="12.75">
      <c r="B433" s="132">
        <v>60</v>
      </c>
      <c r="C433" s="133" t="s">
        <v>190</v>
      </c>
      <c r="D433" s="134">
        <f t="shared" si="58"/>
        <v>0</v>
      </c>
      <c r="E433" s="145"/>
      <c r="F433" s="135" t="s">
        <v>487</v>
      </c>
      <c r="G433" s="145"/>
      <c r="H433" s="145"/>
      <c r="I433" s="145"/>
      <c r="J433" s="145"/>
      <c r="K433" s="145"/>
      <c r="L433" s="145"/>
      <c r="M433" s="145"/>
    </row>
    <row r="434" spans="1:13" s="136" customFormat="1" ht="12.75">
      <c r="B434" s="132">
        <v>83</v>
      </c>
      <c r="C434" s="133" t="s">
        <v>124</v>
      </c>
      <c r="D434" s="134">
        <f t="shared" si="58"/>
        <v>0</v>
      </c>
      <c r="E434" s="145"/>
      <c r="F434" s="135" t="s">
        <v>487</v>
      </c>
      <c r="G434" s="135" t="s">
        <v>487</v>
      </c>
      <c r="H434" s="135" t="s">
        <v>487</v>
      </c>
      <c r="I434" s="135" t="s">
        <v>487</v>
      </c>
      <c r="J434" s="135" t="s">
        <v>487</v>
      </c>
      <c r="K434" s="145"/>
      <c r="L434" s="135" t="s">
        <v>487</v>
      </c>
      <c r="M434" s="135" t="s">
        <v>487</v>
      </c>
    </row>
    <row r="435" spans="1:13" s="136" customFormat="1" ht="12.75">
      <c r="B435" s="132">
        <v>89</v>
      </c>
      <c r="C435" s="133" t="s">
        <v>563</v>
      </c>
      <c r="D435" s="134">
        <f t="shared" si="58"/>
        <v>0</v>
      </c>
      <c r="E435" s="144"/>
      <c r="F435" s="135" t="s">
        <v>487</v>
      </c>
      <c r="G435" s="153" t="s">
        <v>487</v>
      </c>
      <c r="H435" s="156" t="s">
        <v>487</v>
      </c>
      <c r="I435" s="153" t="s">
        <v>487</v>
      </c>
      <c r="J435" s="153" t="s">
        <v>487</v>
      </c>
      <c r="K435" s="153" t="s">
        <v>487</v>
      </c>
      <c r="L435" s="153" t="s">
        <v>487</v>
      </c>
    </row>
    <row r="436" spans="1:13" s="136" customFormat="1" ht="12.75">
      <c r="B436" s="132">
        <v>98</v>
      </c>
      <c r="C436" s="133" t="s">
        <v>127</v>
      </c>
      <c r="D436" s="134">
        <f t="shared" si="58"/>
        <v>0</v>
      </c>
      <c r="E436" s="145"/>
      <c r="F436" s="135" t="s">
        <v>487</v>
      </c>
      <c r="G436" s="145"/>
      <c r="H436" s="145"/>
      <c r="I436" s="145"/>
      <c r="J436" s="145"/>
      <c r="K436" s="145"/>
      <c r="L436" s="145"/>
      <c r="M436" s="145"/>
    </row>
    <row r="437" spans="1:13" s="136" customFormat="1" ht="15">
      <c r="B437" s="132">
        <v>99</v>
      </c>
      <c r="C437" s="133" t="s">
        <v>442</v>
      </c>
      <c r="D437" s="119">
        <f>SUM(E437:F437)</f>
        <v>0</v>
      </c>
      <c r="E437" s="119"/>
      <c r="F437" s="119"/>
      <c r="G437" s="137" t="s">
        <v>487</v>
      </c>
      <c r="H437" s="137" t="s">
        <v>487</v>
      </c>
      <c r="I437" s="137" t="s">
        <v>487</v>
      </c>
      <c r="J437" s="137" t="s">
        <v>487</v>
      </c>
      <c r="K437" s="137" t="s">
        <v>487</v>
      </c>
      <c r="L437" s="137" t="s">
        <v>487</v>
      </c>
      <c r="M437" s="137" t="s">
        <v>487</v>
      </c>
    </row>
    <row r="438" spans="1:13" s="140" customFormat="1" ht="15">
      <c r="A438" s="136"/>
      <c r="B438" s="146"/>
      <c r="C438" s="122" t="s">
        <v>489</v>
      </c>
      <c r="D438" s="139">
        <f t="shared" ref="D438:M438" si="59">SUM(D431:D437)</f>
        <v>0</v>
      </c>
      <c r="E438" s="139">
        <f t="shared" si="59"/>
        <v>0</v>
      </c>
      <c r="F438" s="139">
        <f t="shared" si="59"/>
        <v>0</v>
      </c>
      <c r="G438" s="139">
        <f t="shared" si="59"/>
        <v>0</v>
      </c>
      <c r="H438" s="139">
        <f t="shared" si="59"/>
        <v>0</v>
      </c>
      <c r="I438" s="139">
        <f t="shared" si="59"/>
        <v>0</v>
      </c>
      <c r="J438" s="139">
        <f t="shared" si="59"/>
        <v>0</v>
      </c>
      <c r="K438" s="139">
        <f t="shared" si="59"/>
        <v>0</v>
      </c>
      <c r="L438" s="139">
        <f t="shared" si="59"/>
        <v>0</v>
      </c>
      <c r="M438" s="139">
        <f t="shared" si="59"/>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516</v>
      </c>
      <c r="C441" s="133"/>
      <c r="D441" s="133"/>
      <c r="E441" s="133"/>
      <c r="F441" s="133"/>
      <c r="G441" s="133"/>
      <c r="H441" s="133"/>
      <c r="I441" s="143" t="s">
        <v>444</v>
      </c>
      <c r="J441" s="133"/>
      <c r="K441" s="133"/>
      <c r="L441" s="133"/>
      <c r="M441" s="133"/>
    </row>
    <row r="442" spans="1:13" s="136" customFormat="1" ht="12.75">
      <c r="B442" s="132"/>
      <c r="C442" s="133"/>
      <c r="D442" s="133"/>
      <c r="E442" s="143" t="s">
        <v>471</v>
      </c>
      <c r="F442" s="143" t="s">
        <v>472</v>
      </c>
      <c r="G442" s="143" t="s">
        <v>473</v>
      </c>
      <c r="H442" s="143" t="s">
        <v>474</v>
      </c>
      <c r="I442" s="143" t="s">
        <v>475</v>
      </c>
      <c r="J442" s="129" t="s">
        <v>476</v>
      </c>
      <c r="K442" s="143" t="s">
        <v>477</v>
      </c>
      <c r="L442" s="133"/>
      <c r="M442" s="143" t="s">
        <v>478</v>
      </c>
    </row>
    <row r="443" spans="1:13" s="136" customFormat="1" ht="12.75">
      <c r="B443" s="132"/>
      <c r="C443" s="143" t="s">
        <v>479</v>
      </c>
      <c r="D443" s="143" t="s">
        <v>480</v>
      </c>
      <c r="E443" s="143" t="s">
        <v>481</v>
      </c>
      <c r="F443" s="143" t="s">
        <v>481</v>
      </c>
      <c r="G443" s="143" t="s">
        <v>482</v>
      </c>
      <c r="H443" s="143" t="s">
        <v>482</v>
      </c>
      <c r="I443" s="143" t="s">
        <v>483</v>
      </c>
      <c r="J443" s="129" t="s">
        <v>484</v>
      </c>
      <c r="K443" s="143" t="s">
        <v>485</v>
      </c>
      <c r="L443" s="143" t="s">
        <v>457</v>
      </c>
      <c r="M443" s="143" t="s">
        <v>486</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60">SUM(E445:M445)</f>
        <v>0</v>
      </c>
      <c r="E445" s="145"/>
      <c r="F445" s="135" t="s">
        <v>487</v>
      </c>
      <c r="G445" s="145"/>
      <c r="H445" s="145"/>
      <c r="I445" s="145"/>
      <c r="J445" s="145"/>
      <c r="K445" s="145"/>
      <c r="L445" s="145"/>
      <c r="M445" s="145"/>
    </row>
    <row r="446" spans="1:13" s="136" customFormat="1" ht="12.75">
      <c r="B446" s="132">
        <v>27</v>
      </c>
      <c r="C446" s="133" t="s">
        <v>182</v>
      </c>
      <c r="D446" s="134">
        <f t="shared" si="60"/>
        <v>0</v>
      </c>
      <c r="E446" s="145"/>
      <c r="F446" s="135" t="s">
        <v>487</v>
      </c>
      <c r="G446" s="145"/>
      <c r="H446" s="145"/>
      <c r="I446" s="145"/>
      <c r="J446" s="145"/>
      <c r="K446" s="145"/>
      <c r="L446" s="145"/>
      <c r="M446" s="145"/>
    </row>
    <row r="447" spans="1:13" s="136" customFormat="1" ht="12.75">
      <c r="B447" s="132">
        <v>60</v>
      </c>
      <c r="C447" s="133" t="s">
        <v>190</v>
      </c>
      <c r="D447" s="134">
        <f t="shared" si="60"/>
        <v>0</v>
      </c>
      <c r="E447" s="145"/>
      <c r="F447" s="135" t="s">
        <v>487</v>
      </c>
      <c r="G447" s="145"/>
      <c r="H447" s="145"/>
      <c r="I447" s="145"/>
      <c r="J447" s="145"/>
      <c r="K447" s="145"/>
      <c r="L447" s="145"/>
      <c r="M447" s="145"/>
    </row>
    <row r="448" spans="1:13" s="136" customFormat="1" ht="12.75">
      <c r="B448" s="132">
        <v>83</v>
      </c>
      <c r="C448" s="133" t="s">
        <v>124</v>
      </c>
      <c r="D448" s="134">
        <f t="shared" si="60"/>
        <v>0</v>
      </c>
      <c r="E448" s="145"/>
      <c r="F448" s="135" t="s">
        <v>487</v>
      </c>
      <c r="G448" s="135" t="s">
        <v>487</v>
      </c>
      <c r="H448" s="135" t="s">
        <v>487</v>
      </c>
      <c r="I448" s="135" t="s">
        <v>487</v>
      </c>
      <c r="J448" s="135" t="s">
        <v>487</v>
      </c>
      <c r="K448" s="145"/>
      <c r="L448" s="135" t="s">
        <v>487</v>
      </c>
      <c r="M448" s="135" t="s">
        <v>487</v>
      </c>
    </row>
    <row r="449" spans="1:13" s="136" customFormat="1" ht="12.75">
      <c r="B449" s="132">
        <v>89</v>
      </c>
      <c r="C449" s="133" t="s">
        <v>563</v>
      </c>
      <c r="D449" s="134">
        <f t="shared" si="60"/>
        <v>0</v>
      </c>
      <c r="E449" s="144"/>
      <c r="F449" s="135" t="s">
        <v>487</v>
      </c>
      <c r="G449" s="153" t="s">
        <v>487</v>
      </c>
      <c r="H449" s="156" t="s">
        <v>487</v>
      </c>
      <c r="I449" s="153" t="s">
        <v>487</v>
      </c>
      <c r="J449" s="153" t="s">
        <v>487</v>
      </c>
      <c r="K449" s="153" t="s">
        <v>487</v>
      </c>
      <c r="L449" s="153" t="s">
        <v>487</v>
      </c>
    </row>
    <row r="450" spans="1:13" s="136" customFormat="1" ht="12.75">
      <c r="B450" s="132">
        <v>98</v>
      </c>
      <c r="C450" s="133" t="s">
        <v>127</v>
      </c>
      <c r="D450" s="134">
        <f t="shared" si="60"/>
        <v>0</v>
      </c>
      <c r="E450" s="145"/>
      <c r="F450" s="135" t="s">
        <v>487</v>
      </c>
      <c r="G450" s="145"/>
      <c r="H450" s="145"/>
      <c r="I450" s="145"/>
      <c r="J450" s="145"/>
      <c r="K450" s="145"/>
      <c r="L450" s="145"/>
      <c r="M450" s="145"/>
    </row>
    <row r="451" spans="1:13" s="136" customFormat="1" ht="15">
      <c r="B451" s="132">
        <v>99</v>
      </c>
      <c r="C451" s="133" t="s">
        <v>442</v>
      </c>
      <c r="D451" s="119">
        <f>SUM(E451:F451)</f>
        <v>0</v>
      </c>
      <c r="E451" s="119"/>
      <c r="F451" s="119"/>
      <c r="G451" s="137" t="s">
        <v>487</v>
      </c>
      <c r="H451" s="137" t="s">
        <v>487</v>
      </c>
      <c r="I451" s="137" t="s">
        <v>487</v>
      </c>
      <c r="J451" s="137" t="s">
        <v>487</v>
      </c>
      <c r="K451" s="137" t="s">
        <v>487</v>
      </c>
      <c r="L451" s="137" t="s">
        <v>487</v>
      </c>
      <c r="M451" s="137" t="s">
        <v>487</v>
      </c>
    </row>
    <row r="452" spans="1:13" s="140" customFormat="1" ht="15">
      <c r="A452" s="136"/>
      <c r="B452" s="146"/>
      <c r="C452" s="122" t="s">
        <v>489</v>
      </c>
      <c r="D452" s="139">
        <f t="shared" ref="D452:M452" si="61">SUM(D445:D451)</f>
        <v>0</v>
      </c>
      <c r="E452" s="139">
        <f t="shared" si="61"/>
        <v>0</v>
      </c>
      <c r="F452" s="139">
        <f t="shared" si="61"/>
        <v>0</v>
      </c>
      <c r="G452" s="139">
        <f t="shared" si="61"/>
        <v>0</v>
      </c>
      <c r="H452" s="139">
        <f t="shared" si="61"/>
        <v>0</v>
      </c>
      <c r="I452" s="139">
        <f t="shared" si="61"/>
        <v>0</v>
      </c>
      <c r="J452" s="139">
        <f t="shared" si="61"/>
        <v>0</v>
      </c>
      <c r="K452" s="139">
        <f t="shared" si="61"/>
        <v>0</v>
      </c>
      <c r="L452" s="139">
        <f t="shared" si="61"/>
        <v>0</v>
      </c>
      <c r="M452" s="139">
        <f t="shared" si="61"/>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517</v>
      </c>
      <c r="C455" s="133"/>
      <c r="D455" s="133"/>
      <c r="E455" s="133"/>
      <c r="F455" s="133"/>
      <c r="G455" s="133"/>
      <c r="H455" s="133"/>
      <c r="I455" s="143" t="s">
        <v>444</v>
      </c>
      <c r="J455" s="133"/>
      <c r="K455" s="133"/>
      <c r="L455" s="133"/>
      <c r="M455" s="133"/>
    </row>
    <row r="456" spans="1:13" s="136" customFormat="1" ht="12.75">
      <c r="B456" s="132"/>
      <c r="C456" s="133"/>
      <c r="D456" s="133"/>
      <c r="E456" s="143" t="s">
        <v>471</v>
      </c>
      <c r="F456" s="143" t="s">
        <v>472</v>
      </c>
      <c r="G456" s="143" t="s">
        <v>473</v>
      </c>
      <c r="H456" s="143" t="s">
        <v>474</v>
      </c>
      <c r="I456" s="143" t="s">
        <v>475</v>
      </c>
      <c r="J456" s="129" t="s">
        <v>476</v>
      </c>
      <c r="K456" s="143" t="s">
        <v>477</v>
      </c>
      <c r="L456" s="133"/>
      <c r="M456" s="143" t="s">
        <v>478</v>
      </c>
    </row>
    <row r="457" spans="1:13" s="136" customFormat="1" ht="12.75">
      <c r="B457" s="132"/>
      <c r="C457" s="143" t="s">
        <v>479</v>
      </c>
      <c r="D457" s="143" t="s">
        <v>480</v>
      </c>
      <c r="E457" s="143" t="s">
        <v>481</v>
      </c>
      <c r="F457" s="143" t="s">
        <v>481</v>
      </c>
      <c r="G457" s="143" t="s">
        <v>482</v>
      </c>
      <c r="H457" s="143" t="s">
        <v>482</v>
      </c>
      <c r="I457" s="143" t="s">
        <v>483</v>
      </c>
      <c r="J457" s="129" t="s">
        <v>484</v>
      </c>
      <c r="K457" s="143" t="s">
        <v>485</v>
      </c>
      <c r="L457" s="143" t="s">
        <v>457</v>
      </c>
      <c r="M457" s="143" t="s">
        <v>486</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2">SUM(E459:M459)</f>
        <v>0</v>
      </c>
      <c r="E459" s="145"/>
      <c r="F459" s="135" t="s">
        <v>487</v>
      </c>
      <c r="G459" s="145"/>
      <c r="H459" s="145"/>
      <c r="I459" s="145"/>
      <c r="J459" s="145"/>
      <c r="K459" s="145"/>
      <c r="L459" s="145"/>
      <c r="M459" s="145"/>
    </row>
    <row r="460" spans="1:13" s="136" customFormat="1" ht="12.75">
      <c r="B460" s="132">
        <v>27</v>
      </c>
      <c r="C460" s="133" t="s">
        <v>182</v>
      </c>
      <c r="D460" s="134">
        <f t="shared" si="62"/>
        <v>0</v>
      </c>
      <c r="E460" s="145"/>
      <c r="F460" s="135" t="s">
        <v>487</v>
      </c>
      <c r="G460" s="145"/>
      <c r="H460" s="145"/>
      <c r="I460" s="145"/>
      <c r="J460" s="145"/>
      <c r="K460" s="145"/>
      <c r="L460" s="145"/>
      <c r="M460" s="145"/>
    </row>
    <row r="461" spans="1:13" s="136" customFormat="1" ht="12.75">
      <c r="B461" s="132">
        <v>60</v>
      </c>
      <c r="C461" s="133" t="s">
        <v>190</v>
      </c>
      <c r="D461" s="134">
        <f t="shared" si="62"/>
        <v>0</v>
      </c>
      <c r="E461" s="145"/>
      <c r="F461" s="135" t="s">
        <v>487</v>
      </c>
      <c r="G461" s="145"/>
      <c r="H461" s="145"/>
      <c r="I461" s="145"/>
      <c r="J461" s="145"/>
      <c r="K461" s="145"/>
      <c r="L461" s="145"/>
      <c r="M461" s="145"/>
    </row>
    <row r="462" spans="1:13" s="136" customFormat="1" ht="12.75">
      <c r="B462" s="132">
        <v>83</v>
      </c>
      <c r="C462" s="133" t="s">
        <v>124</v>
      </c>
      <c r="D462" s="134">
        <f t="shared" si="62"/>
        <v>0</v>
      </c>
      <c r="E462" s="145"/>
      <c r="F462" s="135" t="s">
        <v>487</v>
      </c>
      <c r="G462" s="135" t="s">
        <v>487</v>
      </c>
      <c r="H462" s="135" t="s">
        <v>487</v>
      </c>
      <c r="I462" s="135" t="s">
        <v>487</v>
      </c>
      <c r="J462" s="135" t="s">
        <v>487</v>
      </c>
      <c r="K462" s="145"/>
      <c r="L462" s="135" t="s">
        <v>487</v>
      </c>
      <c r="M462" s="135" t="s">
        <v>487</v>
      </c>
    </row>
    <row r="463" spans="1:13" s="136" customFormat="1" ht="12.75">
      <c r="B463" s="132">
        <v>89</v>
      </c>
      <c r="C463" s="133" t="s">
        <v>563</v>
      </c>
      <c r="D463" s="134">
        <f t="shared" si="62"/>
        <v>0</v>
      </c>
      <c r="E463" s="144"/>
      <c r="F463" s="135" t="s">
        <v>487</v>
      </c>
      <c r="G463" s="153" t="s">
        <v>487</v>
      </c>
      <c r="H463" s="156" t="s">
        <v>487</v>
      </c>
      <c r="I463" s="153" t="s">
        <v>487</v>
      </c>
      <c r="J463" s="153" t="s">
        <v>487</v>
      </c>
      <c r="K463" s="153" t="s">
        <v>487</v>
      </c>
      <c r="L463" s="153" t="s">
        <v>487</v>
      </c>
    </row>
    <row r="464" spans="1:13" s="136" customFormat="1" ht="12.75">
      <c r="B464" s="132">
        <v>98</v>
      </c>
      <c r="C464" s="133" t="s">
        <v>127</v>
      </c>
      <c r="D464" s="134">
        <f t="shared" si="62"/>
        <v>0</v>
      </c>
      <c r="E464" s="145"/>
      <c r="F464" s="135" t="s">
        <v>487</v>
      </c>
      <c r="G464" s="145"/>
      <c r="H464" s="145"/>
      <c r="I464" s="145"/>
      <c r="J464" s="145"/>
      <c r="K464" s="145"/>
      <c r="L464" s="145"/>
      <c r="M464" s="145"/>
    </row>
    <row r="465" spans="1:13" s="136" customFormat="1" ht="15">
      <c r="B465" s="132">
        <v>99</v>
      </c>
      <c r="C465" s="133" t="s">
        <v>442</v>
      </c>
      <c r="D465" s="119">
        <f>SUM(E465:F465)</f>
        <v>0</v>
      </c>
      <c r="E465" s="119"/>
      <c r="F465" s="119"/>
      <c r="G465" s="137" t="s">
        <v>487</v>
      </c>
      <c r="H465" s="137" t="s">
        <v>487</v>
      </c>
      <c r="I465" s="137" t="s">
        <v>487</v>
      </c>
      <c r="J465" s="137" t="s">
        <v>487</v>
      </c>
      <c r="K465" s="137" t="s">
        <v>487</v>
      </c>
      <c r="L465" s="137" t="s">
        <v>487</v>
      </c>
      <c r="M465" s="137" t="s">
        <v>487</v>
      </c>
    </row>
    <row r="466" spans="1:13" s="140" customFormat="1" ht="15">
      <c r="A466" s="136"/>
      <c r="B466" s="146"/>
      <c r="C466" s="122" t="s">
        <v>489</v>
      </c>
      <c r="D466" s="139">
        <f t="shared" ref="D466:M466" si="63">SUM(D459:D465)</f>
        <v>0</v>
      </c>
      <c r="E466" s="139">
        <f t="shared" si="63"/>
        <v>0</v>
      </c>
      <c r="F466" s="139">
        <f t="shared" si="63"/>
        <v>0</v>
      </c>
      <c r="G466" s="139">
        <f t="shared" si="63"/>
        <v>0</v>
      </c>
      <c r="H466" s="139">
        <f t="shared" si="63"/>
        <v>0</v>
      </c>
      <c r="I466" s="139">
        <f t="shared" si="63"/>
        <v>0</v>
      </c>
      <c r="J466" s="139">
        <f t="shared" si="63"/>
        <v>0</v>
      </c>
      <c r="K466" s="139">
        <f t="shared" si="63"/>
        <v>0</v>
      </c>
      <c r="L466" s="139">
        <f t="shared" si="63"/>
        <v>0</v>
      </c>
      <c r="M466" s="139">
        <f t="shared" si="63"/>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517</v>
      </c>
      <c r="C469" s="133"/>
      <c r="D469" s="133"/>
      <c r="E469" s="133"/>
      <c r="F469" s="133"/>
      <c r="G469" s="133"/>
      <c r="H469" s="133"/>
      <c r="I469" s="143" t="s">
        <v>444</v>
      </c>
      <c r="J469" s="133"/>
      <c r="K469" s="133"/>
      <c r="L469" s="133"/>
      <c r="M469" s="133"/>
    </row>
    <row r="470" spans="1:13" s="136" customFormat="1" ht="12.75" hidden="1">
      <c r="B470" s="132"/>
      <c r="C470" s="133"/>
      <c r="D470" s="133"/>
      <c r="E470" s="143" t="s">
        <v>471</v>
      </c>
      <c r="F470" s="143" t="s">
        <v>472</v>
      </c>
      <c r="G470" s="143" t="s">
        <v>473</v>
      </c>
      <c r="H470" s="143" t="s">
        <v>474</v>
      </c>
      <c r="I470" s="143" t="s">
        <v>475</v>
      </c>
      <c r="J470" s="129" t="s">
        <v>476</v>
      </c>
      <c r="K470" s="143" t="s">
        <v>477</v>
      </c>
      <c r="L470" s="133"/>
      <c r="M470" s="143" t="s">
        <v>478</v>
      </c>
    </row>
    <row r="471" spans="1:13" s="136" customFormat="1" ht="12.75" hidden="1">
      <c r="B471" s="132"/>
      <c r="C471" s="143" t="s">
        <v>479</v>
      </c>
      <c r="D471" s="143" t="s">
        <v>480</v>
      </c>
      <c r="E471" s="143" t="s">
        <v>481</v>
      </c>
      <c r="F471" s="143" t="s">
        <v>481</v>
      </c>
      <c r="G471" s="143" t="s">
        <v>482</v>
      </c>
      <c r="H471" s="143" t="s">
        <v>482</v>
      </c>
      <c r="I471" s="143" t="s">
        <v>483</v>
      </c>
      <c r="J471" s="129" t="s">
        <v>484</v>
      </c>
      <c r="K471" s="143" t="s">
        <v>485</v>
      </c>
      <c r="L471" s="143" t="s">
        <v>457</v>
      </c>
      <c r="M471" s="143" t="s">
        <v>486</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487</v>
      </c>
      <c r="G473" s="145"/>
      <c r="H473" s="145"/>
      <c r="I473" s="145"/>
      <c r="J473" s="145"/>
      <c r="K473" s="145"/>
      <c r="L473" s="145"/>
      <c r="M473" s="145"/>
    </row>
    <row r="474" spans="1:13" s="136" customFormat="1" ht="12.75" hidden="1">
      <c r="B474" s="132">
        <v>27</v>
      </c>
      <c r="C474" s="133" t="s">
        <v>182</v>
      </c>
      <c r="D474" s="134">
        <f>SUM(E474:M474)</f>
        <v>0</v>
      </c>
      <c r="E474" s="145"/>
      <c r="F474" s="135" t="s">
        <v>487</v>
      </c>
      <c r="G474" s="145"/>
      <c r="H474" s="145"/>
      <c r="I474" s="145"/>
      <c r="J474" s="145"/>
      <c r="K474" s="145"/>
      <c r="L474" s="145"/>
      <c r="M474" s="145"/>
    </row>
    <row r="475" spans="1:13" s="136" customFormat="1" ht="12.75" hidden="1">
      <c r="B475" s="132">
        <v>60</v>
      </c>
      <c r="C475" s="133" t="s">
        <v>190</v>
      </c>
      <c r="D475" s="134">
        <f>SUM(E475:M475)</f>
        <v>0</v>
      </c>
      <c r="E475" s="145"/>
      <c r="F475" s="135" t="s">
        <v>487</v>
      </c>
      <c r="G475" s="145"/>
      <c r="H475" s="145"/>
      <c r="I475" s="145"/>
      <c r="J475" s="145"/>
      <c r="K475" s="145"/>
      <c r="L475" s="145"/>
      <c r="M475" s="145"/>
    </row>
    <row r="476" spans="1:13" s="136" customFormat="1" ht="12.75" hidden="1">
      <c r="B476" s="132">
        <v>83</v>
      </c>
      <c r="C476" s="133" t="s">
        <v>124</v>
      </c>
      <c r="D476" s="134">
        <f>SUM(E476:M476)</f>
        <v>0</v>
      </c>
      <c r="E476" s="145"/>
      <c r="F476" s="135" t="s">
        <v>487</v>
      </c>
      <c r="G476" s="135" t="s">
        <v>487</v>
      </c>
      <c r="H476" s="135" t="s">
        <v>487</v>
      </c>
      <c r="I476" s="135" t="s">
        <v>487</v>
      </c>
      <c r="J476" s="135" t="s">
        <v>487</v>
      </c>
      <c r="K476" s="145"/>
      <c r="L476" s="135" t="s">
        <v>487</v>
      </c>
      <c r="M476" s="135" t="s">
        <v>487</v>
      </c>
    </row>
    <row r="477" spans="1:13" s="136" customFormat="1" ht="12.75" hidden="1">
      <c r="B477" s="132">
        <v>98</v>
      </c>
      <c r="C477" s="133" t="s">
        <v>127</v>
      </c>
      <c r="D477" s="134">
        <f>SUM(E477:M477)</f>
        <v>0</v>
      </c>
      <c r="E477" s="145"/>
      <c r="F477" s="135" t="s">
        <v>487</v>
      </c>
      <c r="G477" s="145"/>
      <c r="H477" s="145"/>
      <c r="I477" s="145"/>
      <c r="J477" s="145"/>
      <c r="K477" s="145"/>
      <c r="L477" s="145"/>
      <c r="M477" s="145"/>
    </row>
    <row r="478" spans="1:13" s="136" customFormat="1" ht="15" hidden="1">
      <c r="B478" s="132">
        <v>99</v>
      </c>
      <c r="C478" s="133" t="s">
        <v>442</v>
      </c>
      <c r="D478" s="119">
        <f>SUM(E478:F478)</f>
        <v>0</v>
      </c>
      <c r="E478" s="119"/>
      <c r="F478" s="119"/>
      <c r="G478" s="137" t="s">
        <v>487</v>
      </c>
      <c r="H478" s="137" t="s">
        <v>487</v>
      </c>
      <c r="I478" s="137" t="s">
        <v>487</v>
      </c>
      <c r="J478" s="137" t="s">
        <v>487</v>
      </c>
      <c r="K478" s="137" t="s">
        <v>487</v>
      </c>
      <c r="L478" s="137" t="s">
        <v>487</v>
      </c>
      <c r="M478" s="137" t="s">
        <v>487</v>
      </c>
    </row>
    <row r="479" spans="1:13" s="140" customFormat="1" ht="15" hidden="1">
      <c r="A479" s="136"/>
      <c r="B479" s="146"/>
      <c r="C479" s="122" t="s">
        <v>489</v>
      </c>
      <c r="D479" s="139">
        <f t="shared" ref="D479:M479" si="64">SUM(D473:D478)</f>
        <v>0</v>
      </c>
      <c r="E479" s="139">
        <f t="shared" si="64"/>
        <v>0</v>
      </c>
      <c r="F479" s="139">
        <f t="shared" si="64"/>
        <v>0</v>
      </c>
      <c r="G479" s="139">
        <f t="shared" si="64"/>
        <v>0</v>
      </c>
      <c r="H479" s="139">
        <f t="shared" si="64"/>
        <v>0</v>
      </c>
      <c r="I479" s="139">
        <f t="shared" si="64"/>
        <v>0</v>
      </c>
      <c r="J479" s="139">
        <f t="shared" si="64"/>
        <v>0</v>
      </c>
      <c r="K479" s="139">
        <f t="shared" si="64"/>
        <v>0</v>
      </c>
      <c r="L479" s="139">
        <f t="shared" si="64"/>
        <v>0</v>
      </c>
      <c r="M479" s="139">
        <f t="shared" si="64"/>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518</v>
      </c>
      <c r="C482" s="133"/>
      <c r="D482" s="133"/>
      <c r="E482" s="133"/>
      <c r="F482" s="133"/>
      <c r="G482" s="133"/>
      <c r="H482" s="133"/>
      <c r="I482" s="143" t="s">
        <v>444</v>
      </c>
      <c r="J482" s="133"/>
      <c r="K482" s="133"/>
      <c r="L482" s="133"/>
      <c r="M482" s="133"/>
    </row>
    <row r="483" spans="1:13" s="136" customFormat="1" ht="12.75">
      <c r="B483" s="132"/>
      <c r="C483" s="133"/>
      <c r="D483" s="133"/>
      <c r="E483" s="143" t="s">
        <v>471</v>
      </c>
      <c r="F483" s="143" t="s">
        <v>472</v>
      </c>
      <c r="G483" s="143" t="s">
        <v>473</v>
      </c>
      <c r="H483" s="143" t="s">
        <v>474</v>
      </c>
      <c r="I483" s="143" t="s">
        <v>475</v>
      </c>
      <c r="J483" s="129" t="s">
        <v>476</v>
      </c>
      <c r="K483" s="143" t="s">
        <v>477</v>
      </c>
      <c r="L483" s="133"/>
      <c r="M483" s="143" t="s">
        <v>478</v>
      </c>
    </row>
    <row r="484" spans="1:13" s="136" customFormat="1" ht="12.75">
      <c r="B484" s="132"/>
      <c r="C484" s="143" t="s">
        <v>479</v>
      </c>
      <c r="D484" s="143" t="s">
        <v>480</v>
      </c>
      <c r="E484" s="143" t="s">
        <v>481</v>
      </c>
      <c r="F484" s="143" t="s">
        <v>481</v>
      </c>
      <c r="G484" s="143" t="s">
        <v>482</v>
      </c>
      <c r="H484" s="143" t="s">
        <v>482</v>
      </c>
      <c r="I484" s="143" t="s">
        <v>483</v>
      </c>
      <c r="J484" s="129" t="s">
        <v>484</v>
      </c>
      <c r="K484" s="143" t="s">
        <v>485</v>
      </c>
      <c r="L484" s="143" t="s">
        <v>457</v>
      </c>
      <c r="M484" s="143" t="s">
        <v>486</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5">SUM(E486:M486)</f>
        <v>0</v>
      </c>
      <c r="E486" s="145"/>
      <c r="F486" s="135" t="s">
        <v>487</v>
      </c>
      <c r="G486" s="145"/>
      <c r="H486" s="145"/>
      <c r="I486" s="145"/>
      <c r="J486" s="145"/>
      <c r="K486" s="145"/>
      <c r="L486" s="145"/>
      <c r="M486" s="145"/>
    </row>
    <row r="487" spans="1:13" s="136" customFormat="1" ht="12.75">
      <c r="B487" s="132">
        <v>27</v>
      </c>
      <c r="C487" s="133" t="s">
        <v>182</v>
      </c>
      <c r="D487" s="134">
        <f t="shared" si="65"/>
        <v>0</v>
      </c>
      <c r="E487" s="145"/>
      <c r="F487" s="135" t="s">
        <v>487</v>
      </c>
      <c r="G487" s="145"/>
      <c r="H487" s="145"/>
      <c r="I487" s="145"/>
      <c r="J487" s="145"/>
      <c r="K487" s="145"/>
      <c r="L487" s="145"/>
      <c r="M487" s="145"/>
    </row>
    <row r="488" spans="1:13" s="136" customFormat="1" ht="12.75">
      <c r="B488" s="132">
        <v>60</v>
      </c>
      <c r="C488" s="133" t="s">
        <v>190</v>
      </c>
      <c r="D488" s="134">
        <f t="shared" si="65"/>
        <v>0</v>
      </c>
      <c r="E488" s="145"/>
      <c r="F488" s="135" t="s">
        <v>487</v>
      </c>
      <c r="G488" s="145"/>
      <c r="H488" s="145"/>
      <c r="I488" s="145"/>
      <c r="J488" s="145"/>
      <c r="K488" s="145"/>
      <c r="L488" s="145"/>
      <c r="M488" s="145"/>
    </row>
    <row r="489" spans="1:13" s="136" customFormat="1" ht="12.75">
      <c r="B489" s="132">
        <v>83</v>
      </c>
      <c r="C489" s="133" t="s">
        <v>124</v>
      </c>
      <c r="D489" s="134">
        <f t="shared" si="65"/>
        <v>0</v>
      </c>
      <c r="E489" s="145"/>
      <c r="F489" s="135" t="s">
        <v>487</v>
      </c>
      <c r="G489" s="135" t="s">
        <v>487</v>
      </c>
      <c r="H489" s="135" t="s">
        <v>487</v>
      </c>
      <c r="I489" s="135" t="s">
        <v>487</v>
      </c>
      <c r="J489" s="135" t="s">
        <v>487</v>
      </c>
      <c r="K489" s="145"/>
      <c r="L489" s="135" t="s">
        <v>487</v>
      </c>
      <c r="M489" s="135" t="s">
        <v>487</v>
      </c>
    </row>
    <row r="490" spans="1:13" s="136" customFormat="1" ht="12.75">
      <c r="B490" s="132">
        <v>89</v>
      </c>
      <c r="C490" s="133" t="s">
        <v>563</v>
      </c>
      <c r="D490" s="134">
        <f t="shared" si="65"/>
        <v>0</v>
      </c>
      <c r="E490" s="144"/>
      <c r="F490" s="135" t="s">
        <v>487</v>
      </c>
      <c r="G490" s="153" t="s">
        <v>487</v>
      </c>
      <c r="H490" s="156" t="s">
        <v>487</v>
      </c>
      <c r="I490" s="153" t="s">
        <v>487</v>
      </c>
      <c r="J490" s="153" t="s">
        <v>487</v>
      </c>
      <c r="K490" s="153" t="s">
        <v>487</v>
      </c>
      <c r="L490" s="153" t="s">
        <v>487</v>
      </c>
    </row>
    <row r="491" spans="1:13" s="136" customFormat="1" ht="12.75">
      <c r="B491" s="132">
        <v>98</v>
      </c>
      <c r="C491" s="133" t="s">
        <v>127</v>
      </c>
      <c r="D491" s="134">
        <f t="shared" si="65"/>
        <v>0</v>
      </c>
      <c r="E491" s="145"/>
      <c r="F491" s="135" t="s">
        <v>487</v>
      </c>
      <c r="G491" s="145"/>
      <c r="H491" s="145"/>
      <c r="I491" s="145"/>
      <c r="J491" s="145"/>
      <c r="K491" s="145"/>
      <c r="L491" s="145"/>
      <c r="M491" s="145"/>
    </row>
    <row r="492" spans="1:13" s="136" customFormat="1" ht="15">
      <c r="B492" s="132">
        <v>99</v>
      </c>
      <c r="C492" s="133" t="s">
        <v>442</v>
      </c>
      <c r="D492" s="119">
        <f>SUM(E492:F492)</f>
        <v>0</v>
      </c>
      <c r="E492" s="119"/>
      <c r="F492" s="119"/>
      <c r="G492" s="137" t="s">
        <v>487</v>
      </c>
      <c r="H492" s="137" t="s">
        <v>487</v>
      </c>
      <c r="I492" s="137" t="s">
        <v>487</v>
      </c>
      <c r="J492" s="137" t="s">
        <v>487</v>
      </c>
      <c r="K492" s="137" t="s">
        <v>487</v>
      </c>
      <c r="L492" s="137" t="s">
        <v>487</v>
      </c>
      <c r="M492" s="137" t="s">
        <v>487</v>
      </c>
    </row>
    <row r="493" spans="1:13" s="140" customFormat="1" ht="15">
      <c r="A493" s="136"/>
      <c r="B493" s="146"/>
      <c r="C493" s="122" t="s">
        <v>489</v>
      </c>
      <c r="D493" s="139">
        <f t="shared" ref="D493:M493" si="66">SUM(D486:D492)</f>
        <v>0</v>
      </c>
      <c r="E493" s="139">
        <f t="shared" si="66"/>
        <v>0</v>
      </c>
      <c r="F493" s="139">
        <f t="shared" si="66"/>
        <v>0</v>
      </c>
      <c r="G493" s="139">
        <f t="shared" si="66"/>
        <v>0</v>
      </c>
      <c r="H493" s="139">
        <f t="shared" si="66"/>
        <v>0</v>
      </c>
      <c r="I493" s="139">
        <f t="shared" si="66"/>
        <v>0</v>
      </c>
      <c r="J493" s="139">
        <f t="shared" si="66"/>
        <v>0</v>
      </c>
      <c r="K493" s="139">
        <f t="shared" si="66"/>
        <v>0</v>
      </c>
      <c r="L493" s="139">
        <f t="shared" si="66"/>
        <v>0</v>
      </c>
      <c r="M493" s="139">
        <f t="shared" si="66"/>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519</v>
      </c>
      <c r="C496" s="133"/>
      <c r="D496" s="133"/>
      <c r="E496" s="133"/>
      <c r="F496" s="133"/>
      <c r="G496" s="133"/>
      <c r="H496" s="133"/>
      <c r="I496" s="143" t="s">
        <v>444</v>
      </c>
      <c r="J496" s="133"/>
      <c r="K496" s="133"/>
      <c r="L496" s="133"/>
      <c r="M496" s="133"/>
    </row>
    <row r="497" spans="1:13" s="136" customFormat="1" ht="12.75">
      <c r="B497" s="132"/>
      <c r="C497" s="133"/>
      <c r="D497" s="133"/>
      <c r="E497" s="143" t="s">
        <v>471</v>
      </c>
      <c r="F497" s="143" t="s">
        <v>472</v>
      </c>
      <c r="G497" s="143" t="s">
        <v>473</v>
      </c>
      <c r="H497" s="143" t="s">
        <v>474</v>
      </c>
      <c r="I497" s="143" t="s">
        <v>475</v>
      </c>
      <c r="J497" s="129" t="s">
        <v>476</v>
      </c>
      <c r="K497" s="143" t="s">
        <v>477</v>
      </c>
      <c r="L497" s="133"/>
      <c r="M497" s="143" t="s">
        <v>478</v>
      </c>
    </row>
    <row r="498" spans="1:13" s="136" customFormat="1" ht="12.75">
      <c r="B498" s="132"/>
      <c r="C498" s="143" t="s">
        <v>479</v>
      </c>
      <c r="D498" s="143" t="s">
        <v>480</v>
      </c>
      <c r="E498" s="143" t="s">
        <v>481</v>
      </c>
      <c r="F498" s="143" t="s">
        <v>481</v>
      </c>
      <c r="G498" s="143" t="s">
        <v>482</v>
      </c>
      <c r="H498" s="143" t="s">
        <v>482</v>
      </c>
      <c r="I498" s="143" t="s">
        <v>483</v>
      </c>
      <c r="J498" s="129" t="s">
        <v>484</v>
      </c>
      <c r="K498" s="143" t="s">
        <v>485</v>
      </c>
      <c r="L498" s="143" t="s">
        <v>457</v>
      </c>
      <c r="M498" s="143" t="s">
        <v>486</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7">SUM(E500:M500)</f>
        <v>0</v>
      </c>
      <c r="E500" s="145"/>
      <c r="F500" s="135" t="s">
        <v>487</v>
      </c>
      <c r="G500" s="145"/>
      <c r="H500" s="145"/>
      <c r="I500" s="145"/>
      <c r="J500" s="145"/>
      <c r="K500" s="145"/>
      <c r="L500" s="145"/>
      <c r="M500" s="145"/>
    </row>
    <row r="501" spans="1:13" s="136" customFormat="1" ht="12.75">
      <c r="B501" s="132">
        <v>27</v>
      </c>
      <c r="C501" s="133" t="s">
        <v>182</v>
      </c>
      <c r="D501" s="134">
        <f t="shared" si="67"/>
        <v>0</v>
      </c>
      <c r="E501" s="145"/>
      <c r="F501" s="135" t="s">
        <v>487</v>
      </c>
      <c r="G501" s="145"/>
      <c r="H501" s="145"/>
      <c r="I501" s="145"/>
      <c r="J501" s="145"/>
      <c r="K501" s="145"/>
      <c r="L501" s="145"/>
      <c r="M501" s="145"/>
    </row>
    <row r="502" spans="1:13" s="136" customFormat="1" ht="12.75">
      <c r="B502" s="132">
        <v>60</v>
      </c>
      <c r="C502" s="133" t="s">
        <v>190</v>
      </c>
      <c r="D502" s="134">
        <f t="shared" si="67"/>
        <v>0</v>
      </c>
      <c r="E502" s="145"/>
      <c r="F502" s="135" t="s">
        <v>487</v>
      </c>
      <c r="G502" s="145"/>
      <c r="H502" s="145"/>
      <c r="I502" s="145"/>
      <c r="J502" s="145"/>
      <c r="K502" s="145"/>
      <c r="L502" s="145"/>
      <c r="M502" s="145"/>
    </row>
    <row r="503" spans="1:13" s="136" customFormat="1" ht="12.75">
      <c r="B503" s="132">
        <v>83</v>
      </c>
      <c r="C503" s="133" t="s">
        <v>124</v>
      </c>
      <c r="D503" s="134">
        <f t="shared" si="67"/>
        <v>0</v>
      </c>
      <c r="E503" s="145"/>
      <c r="F503" s="135" t="s">
        <v>487</v>
      </c>
      <c r="G503" s="135" t="s">
        <v>487</v>
      </c>
      <c r="H503" s="135" t="s">
        <v>487</v>
      </c>
      <c r="I503" s="135" t="s">
        <v>487</v>
      </c>
      <c r="J503" s="135" t="s">
        <v>487</v>
      </c>
      <c r="K503" s="145"/>
      <c r="L503" s="135" t="s">
        <v>487</v>
      </c>
      <c r="M503" s="135" t="s">
        <v>487</v>
      </c>
    </row>
    <row r="504" spans="1:13" s="136" customFormat="1" ht="12.75">
      <c r="B504" s="132">
        <v>89</v>
      </c>
      <c r="C504" s="133" t="s">
        <v>563</v>
      </c>
      <c r="D504" s="134">
        <f t="shared" si="67"/>
        <v>0</v>
      </c>
      <c r="E504" s="144"/>
      <c r="F504" s="135" t="s">
        <v>487</v>
      </c>
      <c r="G504" s="153" t="s">
        <v>487</v>
      </c>
      <c r="H504" s="156" t="s">
        <v>487</v>
      </c>
      <c r="I504" s="153" t="s">
        <v>487</v>
      </c>
      <c r="J504" s="153" t="s">
        <v>487</v>
      </c>
      <c r="K504" s="153" t="s">
        <v>487</v>
      </c>
      <c r="L504" s="153" t="s">
        <v>487</v>
      </c>
    </row>
    <row r="505" spans="1:13" s="136" customFormat="1" ht="12.75">
      <c r="B505" s="132">
        <v>98</v>
      </c>
      <c r="C505" s="133" t="s">
        <v>127</v>
      </c>
      <c r="D505" s="134">
        <f t="shared" si="67"/>
        <v>0</v>
      </c>
      <c r="E505" s="145"/>
      <c r="F505" s="135" t="s">
        <v>487</v>
      </c>
      <c r="G505" s="145"/>
      <c r="H505" s="145"/>
      <c r="I505" s="145"/>
      <c r="J505" s="145"/>
      <c r="K505" s="145"/>
      <c r="L505" s="145"/>
      <c r="M505" s="145"/>
    </row>
    <row r="506" spans="1:13" s="136" customFormat="1" ht="15">
      <c r="B506" s="132">
        <v>99</v>
      </c>
      <c r="C506" s="133" t="s">
        <v>442</v>
      </c>
      <c r="D506" s="119">
        <f>SUM(E506:F506)</f>
        <v>0</v>
      </c>
      <c r="E506" s="119"/>
      <c r="F506" s="119"/>
      <c r="G506" s="137" t="s">
        <v>487</v>
      </c>
      <c r="H506" s="137" t="s">
        <v>487</v>
      </c>
      <c r="I506" s="137" t="s">
        <v>487</v>
      </c>
      <c r="J506" s="137" t="s">
        <v>487</v>
      </c>
      <c r="K506" s="137" t="s">
        <v>487</v>
      </c>
      <c r="L506" s="137" t="s">
        <v>487</v>
      </c>
      <c r="M506" s="137" t="s">
        <v>487</v>
      </c>
    </row>
    <row r="507" spans="1:13" s="140" customFormat="1" ht="15">
      <c r="A507" s="136"/>
      <c r="B507" s="146"/>
      <c r="C507" s="122" t="s">
        <v>489</v>
      </c>
      <c r="D507" s="139">
        <f t="shared" ref="D507:M507" si="68">SUM(D500:D506)</f>
        <v>0</v>
      </c>
      <c r="E507" s="139">
        <f t="shared" si="68"/>
        <v>0</v>
      </c>
      <c r="F507" s="139">
        <f t="shared" si="68"/>
        <v>0</v>
      </c>
      <c r="G507" s="139">
        <f t="shared" si="68"/>
        <v>0</v>
      </c>
      <c r="H507" s="139">
        <f t="shared" si="68"/>
        <v>0</v>
      </c>
      <c r="I507" s="139">
        <f t="shared" si="68"/>
        <v>0</v>
      </c>
      <c r="J507" s="139">
        <f t="shared" si="68"/>
        <v>0</v>
      </c>
      <c r="K507" s="139">
        <f t="shared" si="68"/>
        <v>0</v>
      </c>
      <c r="L507" s="139">
        <f t="shared" si="68"/>
        <v>0</v>
      </c>
      <c r="M507" s="139">
        <f t="shared" si="68"/>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588</v>
      </c>
      <c r="C510" s="133"/>
      <c r="D510" s="133"/>
      <c r="E510" s="133"/>
      <c r="F510" s="133"/>
      <c r="G510" s="133"/>
      <c r="H510" s="133"/>
      <c r="I510" s="143" t="s">
        <v>444</v>
      </c>
      <c r="J510" s="133"/>
      <c r="K510" s="133"/>
      <c r="L510" s="133"/>
      <c r="M510" s="133"/>
    </row>
    <row r="511" spans="1:13" s="136" customFormat="1" ht="12.75">
      <c r="B511" s="132"/>
      <c r="C511" s="133"/>
      <c r="D511" s="133"/>
      <c r="E511" s="143" t="s">
        <v>471</v>
      </c>
      <c r="F511" s="143" t="s">
        <v>472</v>
      </c>
      <c r="G511" s="143" t="s">
        <v>473</v>
      </c>
      <c r="H511" s="143" t="s">
        <v>474</v>
      </c>
      <c r="I511" s="143" t="s">
        <v>475</v>
      </c>
      <c r="J511" s="129" t="s">
        <v>476</v>
      </c>
      <c r="K511" s="143" t="s">
        <v>477</v>
      </c>
      <c r="L511" s="133"/>
      <c r="M511" s="143" t="s">
        <v>478</v>
      </c>
    </row>
    <row r="512" spans="1:13" s="136" customFormat="1" ht="12.75">
      <c r="B512" s="132"/>
      <c r="C512" s="143" t="s">
        <v>479</v>
      </c>
      <c r="D512" s="143" t="s">
        <v>480</v>
      </c>
      <c r="E512" s="143" t="s">
        <v>481</v>
      </c>
      <c r="F512" s="143" t="s">
        <v>481</v>
      </c>
      <c r="G512" s="143" t="s">
        <v>482</v>
      </c>
      <c r="H512" s="143" t="s">
        <v>482</v>
      </c>
      <c r="I512" s="143" t="s">
        <v>483</v>
      </c>
      <c r="J512" s="129" t="s">
        <v>484</v>
      </c>
      <c r="K512" s="143" t="s">
        <v>485</v>
      </c>
      <c r="L512" s="143" t="s">
        <v>457</v>
      </c>
      <c r="M512" s="143" t="s">
        <v>486</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9">SUM(E514:M514)</f>
        <v>0</v>
      </c>
      <c r="E514" s="145"/>
      <c r="F514" s="135" t="s">
        <v>487</v>
      </c>
      <c r="G514" s="145"/>
      <c r="H514" s="145"/>
      <c r="I514" s="145"/>
      <c r="J514" s="145"/>
      <c r="K514" s="145"/>
      <c r="L514" s="145"/>
      <c r="M514" s="145"/>
    </row>
    <row r="515" spans="1:13" s="136" customFormat="1" ht="12.75">
      <c r="B515" s="132">
        <v>27</v>
      </c>
      <c r="C515" s="133" t="s">
        <v>182</v>
      </c>
      <c r="D515" s="134">
        <f t="shared" si="69"/>
        <v>0</v>
      </c>
      <c r="E515" s="145"/>
      <c r="F515" s="135" t="s">
        <v>487</v>
      </c>
      <c r="G515" s="145"/>
      <c r="H515" s="145"/>
      <c r="I515" s="145"/>
      <c r="J515" s="145"/>
      <c r="K515" s="145"/>
      <c r="L515" s="145"/>
      <c r="M515" s="145"/>
    </row>
    <row r="516" spans="1:13" s="136" customFormat="1" ht="12.75">
      <c r="B516" s="132">
        <v>60</v>
      </c>
      <c r="C516" s="133" t="s">
        <v>190</v>
      </c>
      <c r="D516" s="134">
        <f t="shared" si="69"/>
        <v>0</v>
      </c>
      <c r="E516" s="145"/>
      <c r="F516" s="135" t="s">
        <v>487</v>
      </c>
      <c r="G516" s="145"/>
      <c r="H516" s="145"/>
      <c r="I516" s="145"/>
      <c r="J516" s="145"/>
      <c r="K516" s="145"/>
      <c r="L516" s="145"/>
      <c r="M516" s="145"/>
    </row>
    <row r="517" spans="1:13" s="136" customFormat="1" ht="12.75">
      <c r="B517" s="132">
        <v>83</v>
      </c>
      <c r="C517" s="133" t="s">
        <v>124</v>
      </c>
      <c r="D517" s="134">
        <f t="shared" si="69"/>
        <v>0</v>
      </c>
      <c r="E517" s="145"/>
      <c r="F517" s="135" t="s">
        <v>487</v>
      </c>
      <c r="G517" s="135" t="s">
        <v>487</v>
      </c>
      <c r="H517" s="135" t="s">
        <v>487</v>
      </c>
      <c r="I517" s="135" t="s">
        <v>487</v>
      </c>
      <c r="J517" s="135" t="s">
        <v>487</v>
      </c>
      <c r="K517" s="145"/>
      <c r="L517" s="135" t="s">
        <v>487</v>
      </c>
      <c r="M517" s="135" t="s">
        <v>487</v>
      </c>
    </row>
    <row r="518" spans="1:13" s="136" customFormat="1" ht="12.75">
      <c r="B518" s="132">
        <v>89</v>
      </c>
      <c r="C518" s="133" t="s">
        <v>563</v>
      </c>
      <c r="D518" s="134">
        <f t="shared" si="69"/>
        <v>0</v>
      </c>
      <c r="E518" s="144"/>
      <c r="F518" s="135" t="s">
        <v>487</v>
      </c>
      <c r="G518" s="153" t="s">
        <v>487</v>
      </c>
      <c r="H518" s="156" t="s">
        <v>487</v>
      </c>
      <c r="I518" s="153" t="s">
        <v>487</v>
      </c>
      <c r="J518" s="153" t="s">
        <v>487</v>
      </c>
      <c r="K518" s="153" t="s">
        <v>487</v>
      </c>
      <c r="L518" s="153" t="s">
        <v>487</v>
      </c>
    </row>
    <row r="519" spans="1:13" s="136" customFormat="1" ht="12.75">
      <c r="B519" s="132">
        <v>98</v>
      </c>
      <c r="C519" s="133" t="s">
        <v>127</v>
      </c>
      <c r="D519" s="134">
        <f t="shared" si="69"/>
        <v>0</v>
      </c>
      <c r="E519" s="145"/>
      <c r="F519" s="135" t="s">
        <v>487</v>
      </c>
      <c r="G519" s="145"/>
      <c r="H519" s="145"/>
      <c r="I519" s="145"/>
      <c r="J519" s="145"/>
      <c r="K519" s="145"/>
      <c r="L519" s="145"/>
      <c r="M519" s="145"/>
    </row>
    <row r="520" spans="1:13" s="136" customFormat="1" ht="15">
      <c r="B520" s="132">
        <v>99</v>
      </c>
      <c r="C520" s="133" t="s">
        <v>442</v>
      </c>
      <c r="D520" s="119">
        <f>SUM(E520:F520)</f>
        <v>0</v>
      </c>
      <c r="E520" s="119"/>
      <c r="F520" s="119"/>
      <c r="G520" s="137" t="s">
        <v>487</v>
      </c>
      <c r="H520" s="137" t="s">
        <v>487</v>
      </c>
      <c r="I520" s="137" t="s">
        <v>487</v>
      </c>
      <c r="J520" s="137" t="s">
        <v>487</v>
      </c>
      <c r="K520" s="137" t="s">
        <v>487</v>
      </c>
      <c r="L520" s="137" t="s">
        <v>487</v>
      </c>
      <c r="M520" s="137" t="s">
        <v>487</v>
      </c>
    </row>
    <row r="521" spans="1:13" s="140" customFormat="1" ht="15">
      <c r="A521" s="136"/>
      <c r="B521" s="146"/>
      <c r="C521" s="122" t="s">
        <v>489</v>
      </c>
      <c r="D521" s="139">
        <f t="shared" ref="D521:M521" si="70">SUM(D514:D520)</f>
        <v>0</v>
      </c>
      <c r="E521" s="139">
        <f t="shared" si="70"/>
        <v>0</v>
      </c>
      <c r="F521" s="139">
        <f t="shared" si="70"/>
        <v>0</v>
      </c>
      <c r="G521" s="139">
        <f t="shared" si="70"/>
        <v>0</v>
      </c>
      <c r="H521" s="139">
        <f t="shared" si="70"/>
        <v>0</v>
      </c>
      <c r="I521" s="139">
        <f t="shared" si="70"/>
        <v>0</v>
      </c>
      <c r="J521" s="139">
        <f t="shared" si="70"/>
        <v>0</v>
      </c>
      <c r="K521" s="139">
        <f t="shared" si="70"/>
        <v>0</v>
      </c>
      <c r="L521" s="139">
        <f t="shared" si="70"/>
        <v>0</v>
      </c>
      <c r="M521" s="139">
        <f t="shared" si="70"/>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589</v>
      </c>
      <c r="C524" s="133"/>
      <c r="D524" s="133"/>
      <c r="E524" s="133"/>
      <c r="F524" s="133"/>
      <c r="G524" s="133"/>
      <c r="H524" s="133"/>
      <c r="I524" s="143" t="s">
        <v>444</v>
      </c>
      <c r="J524" s="133"/>
      <c r="K524" s="133"/>
      <c r="L524" s="133"/>
      <c r="M524" s="133"/>
    </row>
    <row r="525" spans="1:13" s="136" customFormat="1" ht="12.75">
      <c r="B525" s="132"/>
      <c r="C525" s="133"/>
      <c r="D525" s="133"/>
      <c r="E525" s="143" t="s">
        <v>471</v>
      </c>
      <c r="F525" s="143" t="s">
        <v>472</v>
      </c>
      <c r="G525" s="143" t="s">
        <v>473</v>
      </c>
      <c r="H525" s="143" t="s">
        <v>474</v>
      </c>
      <c r="I525" s="143" t="s">
        <v>475</v>
      </c>
      <c r="J525" s="129" t="s">
        <v>476</v>
      </c>
      <c r="K525" s="143" t="s">
        <v>477</v>
      </c>
      <c r="L525" s="133"/>
      <c r="M525" s="143" t="s">
        <v>478</v>
      </c>
    </row>
    <row r="526" spans="1:13" s="136" customFormat="1" ht="12.75">
      <c r="B526" s="132"/>
      <c r="C526" s="143" t="s">
        <v>479</v>
      </c>
      <c r="D526" s="143" t="s">
        <v>480</v>
      </c>
      <c r="E526" s="143" t="s">
        <v>481</v>
      </c>
      <c r="F526" s="143" t="s">
        <v>481</v>
      </c>
      <c r="G526" s="143" t="s">
        <v>482</v>
      </c>
      <c r="H526" s="143" t="s">
        <v>482</v>
      </c>
      <c r="I526" s="143" t="s">
        <v>483</v>
      </c>
      <c r="J526" s="129" t="s">
        <v>484</v>
      </c>
      <c r="K526" s="143" t="s">
        <v>485</v>
      </c>
      <c r="L526" s="143" t="s">
        <v>457</v>
      </c>
      <c r="M526" s="143" t="s">
        <v>486</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1">SUM(E528:M528)</f>
        <v>0</v>
      </c>
      <c r="E528" s="145"/>
      <c r="F528" s="135" t="s">
        <v>487</v>
      </c>
      <c r="G528" s="145"/>
      <c r="H528" s="145"/>
      <c r="I528" s="145"/>
      <c r="J528" s="145"/>
      <c r="K528" s="145"/>
      <c r="L528" s="145"/>
      <c r="M528" s="145"/>
    </row>
    <row r="529" spans="1:13" s="136" customFormat="1" ht="12.75">
      <c r="B529" s="132">
        <v>27</v>
      </c>
      <c r="C529" s="133" t="s">
        <v>182</v>
      </c>
      <c r="D529" s="134">
        <f t="shared" si="71"/>
        <v>0</v>
      </c>
      <c r="E529" s="145"/>
      <c r="F529" s="135" t="s">
        <v>487</v>
      </c>
      <c r="G529" s="145"/>
      <c r="H529" s="145"/>
      <c r="I529" s="145"/>
      <c r="J529" s="145"/>
      <c r="K529" s="145"/>
      <c r="L529" s="145"/>
      <c r="M529" s="145"/>
    </row>
    <row r="530" spans="1:13" s="136" customFormat="1" ht="12.75">
      <c r="B530" s="132">
        <v>60</v>
      </c>
      <c r="C530" s="133" t="s">
        <v>190</v>
      </c>
      <c r="D530" s="134">
        <f t="shared" si="71"/>
        <v>0</v>
      </c>
      <c r="E530" s="145"/>
      <c r="F530" s="135" t="s">
        <v>487</v>
      </c>
      <c r="G530" s="145"/>
      <c r="H530" s="145"/>
      <c r="I530" s="145"/>
      <c r="J530" s="145"/>
      <c r="K530" s="145"/>
      <c r="L530" s="145"/>
      <c r="M530" s="145"/>
    </row>
    <row r="531" spans="1:13" s="136" customFormat="1" ht="12.75">
      <c r="B531" s="132">
        <v>83</v>
      </c>
      <c r="C531" s="133" t="s">
        <v>124</v>
      </c>
      <c r="D531" s="134">
        <f t="shared" si="71"/>
        <v>0</v>
      </c>
      <c r="E531" s="145"/>
      <c r="F531" s="135" t="s">
        <v>487</v>
      </c>
      <c r="G531" s="135" t="s">
        <v>487</v>
      </c>
      <c r="H531" s="135" t="s">
        <v>487</v>
      </c>
      <c r="I531" s="135" t="s">
        <v>487</v>
      </c>
      <c r="J531" s="135" t="s">
        <v>487</v>
      </c>
      <c r="K531" s="145"/>
      <c r="L531" s="135" t="s">
        <v>487</v>
      </c>
      <c r="M531" s="135" t="s">
        <v>487</v>
      </c>
    </row>
    <row r="532" spans="1:13" s="136" customFormat="1" ht="12.75">
      <c r="B532" s="132">
        <v>89</v>
      </c>
      <c r="C532" s="133" t="s">
        <v>563</v>
      </c>
      <c r="D532" s="134">
        <f t="shared" si="71"/>
        <v>0</v>
      </c>
      <c r="E532" s="144"/>
      <c r="F532" s="135" t="s">
        <v>487</v>
      </c>
      <c r="G532" s="153" t="s">
        <v>487</v>
      </c>
      <c r="H532" s="156" t="s">
        <v>487</v>
      </c>
      <c r="I532" s="153" t="s">
        <v>487</v>
      </c>
      <c r="J532" s="153" t="s">
        <v>487</v>
      </c>
      <c r="K532" s="153" t="s">
        <v>487</v>
      </c>
      <c r="L532" s="153" t="s">
        <v>487</v>
      </c>
    </row>
    <row r="533" spans="1:13" s="136" customFormat="1" ht="12.75">
      <c r="B533" s="132">
        <v>98</v>
      </c>
      <c r="C533" s="133" t="s">
        <v>127</v>
      </c>
      <c r="D533" s="134">
        <f t="shared" si="71"/>
        <v>0</v>
      </c>
      <c r="E533" s="145"/>
      <c r="F533" s="135" t="s">
        <v>487</v>
      </c>
      <c r="G533" s="145"/>
      <c r="H533" s="145"/>
      <c r="I533" s="145"/>
      <c r="J533" s="145"/>
      <c r="K533" s="145"/>
      <c r="L533" s="145"/>
      <c r="M533" s="145"/>
    </row>
    <row r="534" spans="1:13" s="136" customFormat="1" ht="15">
      <c r="B534" s="132">
        <v>99</v>
      </c>
      <c r="C534" s="133" t="s">
        <v>442</v>
      </c>
      <c r="D534" s="119">
        <f>SUM(E534:F534)</f>
        <v>0</v>
      </c>
      <c r="E534" s="119"/>
      <c r="F534" s="119"/>
      <c r="G534" s="137" t="s">
        <v>487</v>
      </c>
      <c r="H534" s="137" t="s">
        <v>487</v>
      </c>
      <c r="I534" s="137" t="s">
        <v>487</v>
      </c>
      <c r="J534" s="137" t="s">
        <v>487</v>
      </c>
      <c r="K534" s="137" t="s">
        <v>487</v>
      </c>
      <c r="L534" s="137" t="s">
        <v>487</v>
      </c>
      <c r="M534" s="137" t="s">
        <v>487</v>
      </c>
    </row>
    <row r="535" spans="1:13" s="140" customFormat="1" ht="15">
      <c r="A535" s="136"/>
      <c r="B535" s="146"/>
      <c r="C535" s="122" t="s">
        <v>489</v>
      </c>
      <c r="D535" s="139">
        <f t="shared" ref="D535:M535" si="72">SUM(D528:D534)</f>
        <v>0</v>
      </c>
      <c r="E535" s="139">
        <f t="shared" si="72"/>
        <v>0</v>
      </c>
      <c r="F535" s="139">
        <f t="shared" si="72"/>
        <v>0</v>
      </c>
      <c r="G535" s="139">
        <f t="shared" si="72"/>
        <v>0</v>
      </c>
      <c r="H535" s="139">
        <f t="shared" si="72"/>
        <v>0</v>
      </c>
      <c r="I535" s="139">
        <f t="shared" si="72"/>
        <v>0</v>
      </c>
      <c r="J535" s="139">
        <f t="shared" si="72"/>
        <v>0</v>
      </c>
      <c r="K535" s="139">
        <f t="shared" si="72"/>
        <v>0</v>
      </c>
      <c r="L535" s="139">
        <f t="shared" si="72"/>
        <v>0</v>
      </c>
      <c r="M535" s="139">
        <f t="shared" si="72"/>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590</v>
      </c>
      <c r="C538" s="133"/>
      <c r="D538" s="133"/>
      <c r="E538" s="133"/>
      <c r="F538" s="133"/>
      <c r="G538" s="133"/>
      <c r="H538" s="133"/>
      <c r="I538" s="143" t="s">
        <v>444</v>
      </c>
      <c r="J538" s="133"/>
      <c r="K538" s="133"/>
      <c r="L538" s="133"/>
      <c r="M538" s="133"/>
    </row>
    <row r="539" spans="1:13" s="136" customFormat="1" ht="12.75">
      <c r="B539" s="132"/>
      <c r="C539" s="133"/>
      <c r="D539" s="133"/>
      <c r="E539" s="143" t="s">
        <v>471</v>
      </c>
      <c r="F539" s="143" t="s">
        <v>472</v>
      </c>
      <c r="G539" s="143" t="s">
        <v>473</v>
      </c>
      <c r="H539" s="143" t="s">
        <v>474</v>
      </c>
      <c r="I539" s="143" t="s">
        <v>475</v>
      </c>
      <c r="J539" s="129" t="s">
        <v>476</v>
      </c>
      <c r="K539" s="143" t="s">
        <v>477</v>
      </c>
      <c r="L539" s="133"/>
      <c r="M539" s="143" t="s">
        <v>478</v>
      </c>
    </row>
    <row r="540" spans="1:13" s="136" customFormat="1" ht="12.75">
      <c r="B540" s="132"/>
      <c r="C540" s="143" t="s">
        <v>479</v>
      </c>
      <c r="D540" s="143" t="s">
        <v>480</v>
      </c>
      <c r="E540" s="143" t="s">
        <v>481</v>
      </c>
      <c r="F540" s="143" t="s">
        <v>481</v>
      </c>
      <c r="G540" s="143" t="s">
        <v>482</v>
      </c>
      <c r="H540" s="143" t="s">
        <v>482</v>
      </c>
      <c r="I540" s="143" t="s">
        <v>483</v>
      </c>
      <c r="J540" s="129" t="s">
        <v>484</v>
      </c>
      <c r="K540" s="143" t="s">
        <v>485</v>
      </c>
      <c r="L540" s="143" t="s">
        <v>457</v>
      </c>
      <c r="M540" s="143" t="s">
        <v>486</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3">SUM(E542:M542)</f>
        <v>0</v>
      </c>
      <c r="E542" s="145"/>
      <c r="F542" s="135" t="s">
        <v>487</v>
      </c>
      <c r="G542" s="145"/>
      <c r="H542" s="145"/>
      <c r="I542" s="145"/>
      <c r="J542" s="145"/>
      <c r="K542" s="145"/>
      <c r="L542" s="145"/>
      <c r="M542" s="145"/>
    </row>
    <row r="543" spans="1:13" s="136" customFormat="1" ht="12.75">
      <c r="B543" s="132">
        <v>27</v>
      </c>
      <c r="C543" s="133" t="s">
        <v>182</v>
      </c>
      <c r="D543" s="134">
        <f t="shared" si="73"/>
        <v>0</v>
      </c>
      <c r="E543" s="145"/>
      <c r="F543" s="135" t="s">
        <v>487</v>
      </c>
      <c r="G543" s="145"/>
      <c r="H543" s="145"/>
      <c r="I543" s="145"/>
      <c r="J543" s="145"/>
      <c r="K543" s="145"/>
      <c r="L543" s="145"/>
      <c r="M543" s="145"/>
    </row>
    <row r="544" spans="1:13" s="136" customFormat="1" ht="12.75">
      <c r="B544" s="132">
        <v>60</v>
      </c>
      <c r="C544" s="133" t="s">
        <v>190</v>
      </c>
      <c r="D544" s="134">
        <f t="shared" si="73"/>
        <v>0</v>
      </c>
      <c r="E544" s="145"/>
      <c r="F544" s="135" t="s">
        <v>487</v>
      </c>
      <c r="G544" s="145"/>
      <c r="H544" s="145"/>
      <c r="I544" s="145"/>
      <c r="J544" s="145"/>
      <c r="K544" s="145"/>
      <c r="L544" s="145"/>
      <c r="M544" s="145"/>
    </row>
    <row r="545" spans="1:13" s="136" customFormat="1" ht="12.75">
      <c r="B545" s="132">
        <v>83</v>
      </c>
      <c r="C545" s="133" t="s">
        <v>124</v>
      </c>
      <c r="D545" s="134">
        <f t="shared" si="73"/>
        <v>0</v>
      </c>
      <c r="E545" s="145"/>
      <c r="F545" s="135" t="s">
        <v>487</v>
      </c>
      <c r="G545" s="135" t="s">
        <v>487</v>
      </c>
      <c r="H545" s="135" t="s">
        <v>487</v>
      </c>
      <c r="I545" s="135" t="s">
        <v>487</v>
      </c>
      <c r="J545" s="135" t="s">
        <v>487</v>
      </c>
      <c r="K545" s="145"/>
      <c r="L545" s="135" t="s">
        <v>487</v>
      </c>
      <c r="M545" s="135" t="s">
        <v>487</v>
      </c>
    </row>
    <row r="546" spans="1:13" s="136" customFormat="1" ht="12.75">
      <c r="B546" s="132">
        <v>89</v>
      </c>
      <c r="C546" s="133" t="s">
        <v>563</v>
      </c>
      <c r="D546" s="134">
        <f t="shared" si="73"/>
        <v>0</v>
      </c>
      <c r="E546" s="144"/>
      <c r="F546" s="135" t="s">
        <v>487</v>
      </c>
      <c r="G546" s="153" t="s">
        <v>487</v>
      </c>
      <c r="H546" s="156" t="s">
        <v>487</v>
      </c>
      <c r="I546" s="153" t="s">
        <v>487</v>
      </c>
      <c r="J546" s="153" t="s">
        <v>487</v>
      </c>
      <c r="K546" s="153" t="s">
        <v>487</v>
      </c>
      <c r="L546" s="153" t="s">
        <v>487</v>
      </c>
    </row>
    <row r="547" spans="1:13" s="136" customFormat="1" ht="12.75">
      <c r="B547" s="132">
        <v>98</v>
      </c>
      <c r="C547" s="133" t="s">
        <v>127</v>
      </c>
      <c r="D547" s="134">
        <f t="shared" si="73"/>
        <v>0</v>
      </c>
      <c r="E547" s="145"/>
      <c r="F547" s="135" t="s">
        <v>487</v>
      </c>
      <c r="G547" s="145"/>
      <c r="H547" s="145"/>
      <c r="I547" s="145"/>
      <c r="J547" s="145"/>
      <c r="K547" s="145"/>
      <c r="L547" s="145"/>
      <c r="M547" s="145"/>
    </row>
    <row r="548" spans="1:13" s="136" customFormat="1" ht="15">
      <c r="B548" s="132">
        <v>99</v>
      </c>
      <c r="C548" s="133" t="s">
        <v>442</v>
      </c>
      <c r="D548" s="119">
        <f>SUM(E548:F548)</f>
        <v>0</v>
      </c>
      <c r="E548" s="119"/>
      <c r="F548" s="119"/>
      <c r="G548" s="137" t="s">
        <v>487</v>
      </c>
      <c r="H548" s="137" t="s">
        <v>487</v>
      </c>
      <c r="I548" s="137" t="s">
        <v>487</v>
      </c>
      <c r="J548" s="137" t="s">
        <v>487</v>
      </c>
      <c r="K548" s="137" t="s">
        <v>487</v>
      </c>
      <c r="L548" s="137" t="s">
        <v>487</v>
      </c>
      <c r="M548" s="137" t="s">
        <v>487</v>
      </c>
    </row>
    <row r="549" spans="1:13" s="140" customFormat="1" ht="15">
      <c r="A549" s="136"/>
      <c r="B549" s="146"/>
      <c r="C549" s="122" t="s">
        <v>489</v>
      </c>
      <c r="D549" s="139">
        <f t="shared" ref="D549:M549" si="74">SUM(D542:D548)</f>
        <v>0</v>
      </c>
      <c r="E549" s="139">
        <f t="shared" si="74"/>
        <v>0</v>
      </c>
      <c r="F549" s="139">
        <f t="shared" si="74"/>
        <v>0</v>
      </c>
      <c r="G549" s="139">
        <f t="shared" si="74"/>
        <v>0</v>
      </c>
      <c r="H549" s="139">
        <f t="shared" si="74"/>
        <v>0</v>
      </c>
      <c r="I549" s="139">
        <f t="shared" si="74"/>
        <v>0</v>
      </c>
      <c r="J549" s="139">
        <f t="shared" si="74"/>
        <v>0</v>
      </c>
      <c r="K549" s="139">
        <f t="shared" si="74"/>
        <v>0</v>
      </c>
      <c r="L549" s="139">
        <f t="shared" si="74"/>
        <v>0</v>
      </c>
      <c r="M549" s="139">
        <f t="shared" si="74"/>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591</v>
      </c>
      <c r="C552" s="133"/>
      <c r="D552" s="133"/>
      <c r="E552" s="133"/>
      <c r="F552" s="133"/>
      <c r="G552" s="133"/>
      <c r="H552" s="133"/>
      <c r="I552" s="143" t="s">
        <v>444</v>
      </c>
      <c r="J552" s="133"/>
      <c r="K552" s="133"/>
      <c r="L552" s="133"/>
      <c r="M552" s="133"/>
    </row>
    <row r="553" spans="1:13" s="136" customFormat="1" ht="12.75">
      <c r="B553" s="132"/>
      <c r="C553" s="133"/>
      <c r="D553" s="133"/>
      <c r="E553" s="143" t="s">
        <v>471</v>
      </c>
      <c r="F553" s="143" t="s">
        <v>472</v>
      </c>
      <c r="G553" s="143" t="s">
        <v>473</v>
      </c>
      <c r="H553" s="143" t="s">
        <v>474</v>
      </c>
      <c r="I553" s="143" t="s">
        <v>475</v>
      </c>
      <c r="J553" s="129" t="s">
        <v>476</v>
      </c>
      <c r="K553" s="143" t="s">
        <v>477</v>
      </c>
      <c r="L553" s="133"/>
      <c r="M553" s="143" t="s">
        <v>478</v>
      </c>
    </row>
    <row r="554" spans="1:13" s="136" customFormat="1" ht="12.75">
      <c r="B554" s="132"/>
      <c r="C554" s="143" t="s">
        <v>479</v>
      </c>
      <c r="D554" s="143" t="s">
        <v>480</v>
      </c>
      <c r="E554" s="143" t="s">
        <v>481</v>
      </c>
      <c r="F554" s="143" t="s">
        <v>481</v>
      </c>
      <c r="G554" s="143" t="s">
        <v>482</v>
      </c>
      <c r="H554" s="143" t="s">
        <v>482</v>
      </c>
      <c r="I554" s="143" t="s">
        <v>483</v>
      </c>
      <c r="J554" s="129" t="s">
        <v>484</v>
      </c>
      <c r="K554" s="143" t="s">
        <v>485</v>
      </c>
      <c r="L554" s="143" t="s">
        <v>457</v>
      </c>
      <c r="M554" s="143" t="s">
        <v>486</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5">SUM(E556:M556)</f>
        <v>18478.410000000003</v>
      </c>
      <c r="E556" s="145">
        <v>2674.68</v>
      </c>
      <c r="F556" s="135" t="s">
        <v>487</v>
      </c>
      <c r="G556" s="145"/>
      <c r="H556" s="145">
        <v>10705.4</v>
      </c>
      <c r="I556" s="145">
        <v>4011.48</v>
      </c>
      <c r="J556" s="145">
        <v>388.54</v>
      </c>
      <c r="K556" s="145">
        <v>168.11</v>
      </c>
      <c r="L556" s="145">
        <v>530.20000000000005</v>
      </c>
      <c r="M556" s="145"/>
    </row>
    <row r="557" spans="1:13" s="136" customFormat="1" ht="12.75">
      <c r="B557" s="132">
        <v>26</v>
      </c>
      <c r="C557" s="133" t="s">
        <v>702</v>
      </c>
      <c r="D557" s="134">
        <f t="shared" si="75"/>
        <v>0</v>
      </c>
      <c r="E557" s="145"/>
      <c r="F557" s="135" t="s">
        <v>487</v>
      </c>
      <c r="G557" s="145"/>
      <c r="H557" s="145"/>
      <c r="I557" s="145"/>
      <c r="J557" s="145"/>
      <c r="K557" s="145"/>
      <c r="L557" s="145"/>
      <c r="M557" s="145"/>
    </row>
    <row r="558" spans="1:13" s="136" customFormat="1" ht="12.75">
      <c r="B558" s="132">
        <v>27</v>
      </c>
      <c r="C558" s="133" t="s">
        <v>182</v>
      </c>
      <c r="D558" s="134">
        <f t="shared" si="75"/>
        <v>131922.89000000001</v>
      </c>
      <c r="E558" s="145"/>
      <c r="F558" s="135" t="s">
        <v>487</v>
      </c>
      <c r="G558" s="145">
        <v>92178.99</v>
      </c>
      <c r="H558" s="145"/>
      <c r="I558" s="145">
        <v>39743.9</v>
      </c>
      <c r="J558" s="145"/>
      <c r="K558" s="145"/>
      <c r="L558" s="145"/>
      <c r="M558" s="145"/>
    </row>
    <row r="559" spans="1:13" s="136" customFormat="1" ht="12.75">
      <c r="B559" s="132">
        <v>60</v>
      </c>
      <c r="C559" s="133" t="s">
        <v>190</v>
      </c>
      <c r="D559" s="134">
        <f t="shared" si="75"/>
        <v>0</v>
      </c>
      <c r="E559" s="145"/>
      <c r="F559" s="135" t="s">
        <v>487</v>
      </c>
      <c r="G559" s="145"/>
      <c r="H559" s="145"/>
      <c r="I559" s="145"/>
      <c r="J559" s="145"/>
      <c r="K559" s="145"/>
      <c r="L559" s="145"/>
      <c r="M559" s="145"/>
    </row>
    <row r="560" spans="1:13" s="136" customFormat="1" ht="12.75">
      <c r="B560" s="132">
        <v>83</v>
      </c>
      <c r="C560" s="133" t="s">
        <v>124</v>
      </c>
      <c r="D560" s="134">
        <f t="shared" si="75"/>
        <v>0</v>
      </c>
      <c r="E560" s="145"/>
      <c r="F560" s="135" t="s">
        <v>487</v>
      </c>
      <c r="G560" s="135" t="s">
        <v>487</v>
      </c>
      <c r="H560" s="135" t="s">
        <v>487</v>
      </c>
      <c r="I560" s="135" t="s">
        <v>487</v>
      </c>
      <c r="J560" s="135" t="s">
        <v>487</v>
      </c>
      <c r="K560" s="145"/>
      <c r="L560" s="135" t="s">
        <v>487</v>
      </c>
      <c r="M560" s="135" t="s">
        <v>487</v>
      </c>
    </row>
    <row r="561" spans="1:13" s="136" customFormat="1" ht="12.75">
      <c r="B561" s="132">
        <v>89</v>
      </c>
      <c r="C561" s="133" t="s">
        <v>563</v>
      </c>
      <c r="D561" s="134">
        <f t="shared" si="75"/>
        <v>0</v>
      </c>
      <c r="E561" s="144"/>
      <c r="F561" s="135" t="s">
        <v>487</v>
      </c>
      <c r="G561" s="153" t="s">
        <v>487</v>
      </c>
      <c r="H561" s="156" t="s">
        <v>487</v>
      </c>
      <c r="I561" s="153" t="s">
        <v>487</v>
      </c>
      <c r="J561" s="153" t="s">
        <v>487</v>
      </c>
      <c r="K561" s="153" t="s">
        <v>487</v>
      </c>
      <c r="L561" s="153" t="s">
        <v>487</v>
      </c>
    </row>
    <row r="562" spans="1:13" s="136" customFormat="1" ht="12.75">
      <c r="B562" s="132">
        <v>98</v>
      </c>
      <c r="C562" s="133" t="s">
        <v>127</v>
      </c>
      <c r="D562" s="134">
        <f t="shared" si="75"/>
        <v>173089.27</v>
      </c>
      <c r="E562" s="145">
        <v>7060.22</v>
      </c>
      <c r="F562" s="135" t="s">
        <v>487</v>
      </c>
      <c r="G562" s="145"/>
      <c r="H562" s="145">
        <v>102931.65</v>
      </c>
      <c r="I562" s="145">
        <v>50726.28</v>
      </c>
      <c r="J562" s="145">
        <v>3409.23</v>
      </c>
      <c r="K562" s="145">
        <v>550.33000000000004</v>
      </c>
      <c r="L562" s="145">
        <v>8411.56</v>
      </c>
      <c r="M562" s="145"/>
    </row>
    <row r="563" spans="1:13" s="136" customFormat="1" ht="15">
      <c r="B563" s="132">
        <v>99</v>
      </c>
      <c r="C563" s="133" t="s">
        <v>442</v>
      </c>
      <c r="D563" s="119">
        <f>SUM(E563:F563)</f>
        <v>0</v>
      </c>
      <c r="E563" s="119"/>
      <c r="F563" s="119"/>
      <c r="G563" s="137" t="s">
        <v>487</v>
      </c>
      <c r="H563" s="137" t="s">
        <v>487</v>
      </c>
      <c r="I563" s="137" t="s">
        <v>487</v>
      </c>
      <c r="J563" s="137" t="s">
        <v>487</v>
      </c>
      <c r="K563" s="137" t="s">
        <v>487</v>
      </c>
      <c r="L563" s="137" t="s">
        <v>487</v>
      </c>
      <c r="M563" s="137" t="s">
        <v>487</v>
      </c>
    </row>
    <row r="564" spans="1:13" s="140" customFormat="1" ht="15">
      <c r="A564" s="136"/>
      <c r="B564" s="146"/>
      <c r="C564" s="122" t="s">
        <v>489</v>
      </c>
      <c r="D564" s="139">
        <f t="shared" ref="D564:M564" si="76">SUM(D556:D563)</f>
        <v>323490.57</v>
      </c>
      <c r="E564" s="139">
        <f t="shared" si="76"/>
        <v>9734.9</v>
      </c>
      <c r="F564" s="139">
        <f t="shared" si="76"/>
        <v>0</v>
      </c>
      <c r="G564" s="139">
        <f t="shared" si="76"/>
        <v>92178.99</v>
      </c>
      <c r="H564" s="139">
        <f t="shared" si="76"/>
        <v>113637.04999999999</v>
      </c>
      <c r="I564" s="139">
        <f t="shared" si="76"/>
        <v>94481.66</v>
      </c>
      <c r="J564" s="139">
        <f t="shared" si="76"/>
        <v>3797.77</v>
      </c>
      <c r="K564" s="139">
        <f t="shared" si="76"/>
        <v>718.44</v>
      </c>
      <c r="L564" s="139">
        <f t="shared" si="76"/>
        <v>8941.76</v>
      </c>
      <c r="M564" s="139">
        <f t="shared" si="76"/>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574</v>
      </c>
      <c r="C567" s="133"/>
      <c r="D567" s="133"/>
      <c r="E567" s="133"/>
      <c r="F567" s="133"/>
      <c r="G567" s="133"/>
      <c r="H567" s="133"/>
      <c r="I567" s="143" t="s">
        <v>444</v>
      </c>
      <c r="J567" s="133"/>
      <c r="K567" s="133"/>
      <c r="L567" s="133"/>
      <c r="M567" s="133"/>
    </row>
    <row r="568" spans="1:13" s="136" customFormat="1" ht="12.75">
      <c r="B568" s="132"/>
      <c r="C568" s="133"/>
      <c r="D568" s="133"/>
      <c r="E568" s="143" t="s">
        <v>471</v>
      </c>
      <c r="F568" s="143" t="s">
        <v>472</v>
      </c>
      <c r="G568" s="143" t="s">
        <v>473</v>
      </c>
      <c r="H568" s="143" t="s">
        <v>474</v>
      </c>
      <c r="I568" s="143" t="s">
        <v>475</v>
      </c>
      <c r="J568" s="129" t="s">
        <v>476</v>
      </c>
      <c r="K568" s="143" t="s">
        <v>477</v>
      </c>
      <c r="L568" s="133"/>
      <c r="M568" s="143" t="s">
        <v>478</v>
      </c>
    </row>
    <row r="569" spans="1:13" s="136" customFormat="1" ht="12.75">
      <c r="B569" s="132"/>
      <c r="C569" s="143" t="s">
        <v>479</v>
      </c>
      <c r="D569" s="143" t="s">
        <v>480</v>
      </c>
      <c r="E569" s="143" t="s">
        <v>481</v>
      </c>
      <c r="F569" s="143" t="s">
        <v>481</v>
      </c>
      <c r="G569" s="143" t="s">
        <v>482</v>
      </c>
      <c r="H569" s="143" t="s">
        <v>482</v>
      </c>
      <c r="I569" s="143" t="s">
        <v>483</v>
      </c>
      <c r="J569" s="129" t="s">
        <v>484</v>
      </c>
      <c r="K569" s="143" t="s">
        <v>485</v>
      </c>
      <c r="L569" s="143" t="s">
        <v>457</v>
      </c>
      <c r="M569" s="143" t="s">
        <v>486</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7">SUM(E571:M571)</f>
        <v>0</v>
      </c>
      <c r="E571" s="145"/>
      <c r="F571" s="135" t="s">
        <v>487</v>
      </c>
      <c r="G571" s="145"/>
      <c r="H571" s="145"/>
      <c r="I571" s="145"/>
      <c r="J571" s="145"/>
      <c r="K571" s="145"/>
      <c r="L571" s="145"/>
      <c r="M571" s="145"/>
    </row>
    <row r="572" spans="1:13" s="136" customFormat="1" ht="12.75">
      <c r="B572" s="132">
        <v>22</v>
      </c>
      <c r="C572" s="133" t="s">
        <v>179</v>
      </c>
      <c r="D572" s="134">
        <f t="shared" si="77"/>
        <v>0</v>
      </c>
      <c r="E572" s="145"/>
      <c r="F572" s="135" t="s">
        <v>487</v>
      </c>
      <c r="G572" s="145"/>
      <c r="H572" s="145"/>
      <c r="I572" s="145"/>
      <c r="J572" s="145"/>
      <c r="K572" s="145"/>
      <c r="L572" s="145"/>
      <c r="M572" s="145"/>
    </row>
    <row r="573" spans="1:13" s="136" customFormat="1" ht="12.75">
      <c r="B573" s="132">
        <v>27</v>
      </c>
      <c r="C573" s="133" t="s">
        <v>182</v>
      </c>
      <c r="D573" s="134">
        <f t="shared" si="77"/>
        <v>0</v>
      </c>
      <c r="E573" s="145"/>
      <c r="F573" s="135" t="s">
        <v>487</v>
      </c>
      <c r="G573" s="145"/>
      <c r="H573" s="145"/>
      <c r="I573" s="145"/>
      <c r="J573" s="145"/>
      <c r="K573" s="145"/>
      <c r="L573" s="145"/>
      <c r="M573" s="145"/>
    </row>
    <row r="574" spans="1:13" s="136" customFormat="1" ht="15">
      <c r="B574" s="132">
        <v>98</v>
      </c>
      <c r="C574" s="133" t="s">
        <v>127</v>
      </c>
      <c r="D574" s="119">
        <f t="shared" si="77"/>
        <v>0</v>
      </c>
      <c r="E574" s="159"/>
      <c r="F574" s="137" t="s">
        <v>487</v>
      </c>
      <c r="G574" s="159"/>
      <c r="H574" s="159"/>
      <c r="I574" s="159"/>
      <c r="J574" s="159"/>
      <c r="K574" s="159"/>
      <c r="L574" s="159"/>
      <c r="M574" s="159"/>
    </row>
    <row r="575" spans="1:13" s="136" customFormat="1" ht="15">
      <c r="B575" s="146"/>
      <c r="C575" s="122" t="s">
        <v>489</v>
      </c>
      <c r="D575" s="139">
        <f t="shared" ref="D575:M575" si="78">SUM(D571:D574)</f>
        <v>0</v>
      </c>
      <c r="E575" s="139">
        <f t="shared" si="78"/>
        <v>0</v>
      </c>
      <c r="F575" s="139">
        <f t="shared" si="78"/>
        <v>0</v>
      </c>
      <c r="G575" s="139">
        <f t="shared" si="78"/>
        <v>0</v>
      </c>
      <c r="H575" s="139">
        <f t="shared" si="78"/>
        <v>0</v>
      </c>
      <c r="I575" s="139">
        <f t="shared" si="78"/>
        <v>0</v>
      </c>
      <c r="J575" s="139">
        <f t="shared" si="78"/>
        <v>0</v>
      </c>
      <c r="K575" s="139">
        <f t="shared" si="78"/>
        <v>0</v>
      </c>
      <c r="L575" s="139">
        <f t="shared" si="78"/>
        <v>0</v>
      </c>
      <c r="M575" s="139">
        <f t="shared" si="78"/>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520</v>
      </c>
      <c r="C578" s="133"/>
      <c r="D578" s="133"/>
      <c r="E578" s="133"/>
      <c r="F578" s="133"/>
      <c r="G578" s="133"/>
      <c r="H578" s="133"/>
      <c r="I578" s="143" t="s">
        <v>444</v>
      </c>
      <c r="J578" s="133"/>
      <c r="K578" s="133"/>
      <c r="L578" s="133"/>
      <c r="M578" s="133"/>
    </row>
    <row r="579" spans="1:13" s="136" customFormat="1" ht="12.75">
      <c r="B579" s="132"/>
      <c r="C579" s="133"/>
      <c r="D579" s="133"/>
      <c r="E579" s="143" t="s">
        <v>471</v>
      </c>
      <c r="F579" s="143" t="s">
        <v>472</v>
      </c>
      <c r="G579" s="143" t="s">
        <v>473</v>
      </c>
      <c r="H579" s="143" t="s">
        <v>474</v>
      </c>
      <c r="I579" s="143" t="s">
        <v>475</v>
      </c>
      <c r="J579" s="129" t="s">
        <v>476</v>
      </c>
      <c r="K579" s="143" t="s">
        <v>477</v>
      </c>
      <c r="L579" s="133"/>
      <c r="M579" s="143" t="s">
        <v>478</v>
      </c>
    </row>
    <row r="580" spans="1:13" s="136" customFormat="1" ht="12.75">
      <c r="B580" s="132"/>
      <c r="C580" s="143" t="s">
        <v>479</v>
      </c>
      <c r="D580" s="143" t="s">
        <v>480</v>
      </c>
      <c r="E580" s="143" t="s">
        <v>481</v>
      </c>
      <c r="F580" s="143" t="s">
        <v>481</v>
      </c>
      <c r="G580" s="143" t="s">
        <v>482</v>
      </c>
      <c r="H580" s="143" t="s">
        <v>482</v>
      </c>
      <c r="I580" s="143" t="s">
        <v>483</v>
      </c>
      <c r="J580" s="129" t="s">
        <v>484</v>
      </c>
      <c r="K580" s="143" t="s">
        <v>485</v>
      </c>
      <c r="L580" s="143" t="s">
        <v>457</v>
      </c>
      <c r="M580" s="143" t="s">
        <v>486</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9">SUM(E582:M582)</f>
        <v>24325.86</v>
      </c>
      <c r="E582" s="145">
        <v>245.2</v>
      </c>
      <c r="F582" s="135" t="s">
        <v>487</v>
      </c>
      <c r="G582" s="145">
        <v>10385.08</v>
      </c>
      <c r="H582" s="145">
        <v>842.96</v>
      </c>
      <c r="I582" s="145">
        <v>4652.3100000000004</v>
      </c>
      <c r="J582" s="145">
        <v>318.01</v>
      </c>
      <c r="K582" s="145">
        <v>7882.3</v>
      </c>
      <c r="L582" s="145"/>
      <c r="M582" s="145"/>
    </row>
    <row r="583" spans="1:13" s="136" customFormat="1" ht="12.75">
      <c r="B583" s="132">
        <v>27</v>
      </c>
      <c r="C583" s="133" t="s">
        <v>182</v>
      </c>
      <c r="D583" s="134">
        <f t="shared" si="79"/>
        <v>13572.42</v>
      </c>
      <c r="E583" s="145"/>
      <c r="F583" s="135" t="s">
        <v>487</v>
      </c>
      <c r="G583" s="145">
        <v>10794</v>
      </c>
      <c r="H583" s="145"/>
      <c r="I583" s="145">
        <v>2778.42</v>
      </c>
      <c r="J583" s="145"/>
      <c r="K583" s="145"/>
      <c r="L583" s="145"/>
      <c r="M583" s="145"/>
    </row>
    <row r="584" spans="1:13" s="136" customFormat="1" ht="12.75">
      <c r="B584" s="132">
        <v>60</v>
      </c>
      <c r="C584" s="133" t="s">
        <v>190</v>
      </c>
      <c r="D584" s="134">
        <f t="shared" si="79"/>
        <v>0</v>
      </c>
      <c r="E584" s="145"/>
      <c r="F584" s="135" t="s">
        <v>487</v>
      </c>
      <c r="G584" s="145"/>
      <c r="H584" s="145"/>
      <c r="I584" s="145"/>
      <c r="J584" s="145"/>
      <c r="K584" s="145"/>
      <c r="L584" s="145"/>
      <c r="M584" s="145"/>
    </row>
    <row r="585" spans="1:13" s="136" customFormat="1" ht="12.75">
      <c r="B585" s="132">
        <v>83</v>
      </c>
      <c r="C585" s="133" t="s">
        <v>124</v>
      </c>
      <c r="D585" s="134">
        <f t="shared" si="79"/>
        <v>0</v>
      </c>
      <c r="E585" s="145"/>
      <c r="F585" s="135" t="s">
        <v>487</v>
      </c>
      <c r="G585" s="135" t="s">
        <v>487</v>
      </c>
      <c r="H585" s="135" t="s">
        <v>487</v>
      </c>
      <c r="I585" s="135" t="s">
        <v>487</v>
      </c>
      <c r="J585" s="135" t="s">
        <v>487</v>
      </c>
      <c r="K585" s="145"/>
      <c r="L585" s="135" t="s">
        <v>487</v>
      </c>
      <c r="M585" s="135" t="s">
        <v>487</v>
      </c>
    </row>
    <row r="586" spans="1:13" s="136" customFormat="1" ht="12.75">
      <c r="B586" s="132">
        <v>89</v>
      </c>
      <c r="C586" s="133" t="s">
        <v>563</v>
      </c>
      <c r="D586" s="134">
        <f t="shared" si="79"/>
        <v>0</v>
      </c>
      <c r="E586" s="144"/>
      <c r="F586" s="135" t="s">
        <v>487</v>
      </c>
      <c r="G586" s="153" t="s">
        <v>487</v>
      </c>
      <c r="H586" s="156" t="s">
        <v>487</v>
      </c>
      <c r="I586" s="153" t="s">
        <v>487</v>
      </c>
      <c r="J586" s="153" t="s">
        <v>487</v>
      </c>
      <c r="K586" s="153" t="s">
        <v>487</v>
      </c>
      <c r="L586" s="153" t="s">
        <v>487</v>
      </c>
    </row>
    <row r="587" spans="1:13" s="136" customFormat="1" ht="12.75">
      <c r="B587" s="132">
        <v>98</v>
      </c>
      <c r="C587" s="133" t="s">
        <v>127</v>
      </c>
      <c r="D587" s="134">
        <f t="shared" si="79"/>
        <v>270532.32999999996</v>
      </c>
      <c r="E587" s="145">
        <v>6281.62</v>
      </c>
      <c r="F587" s="135" t="s">
        <v>487</v>
      </c>
      <c r="G587" s="145"/>
      <c r="H587" s="145">
        <v>72324.81</v>
      </c>
      <c r="I587" s="145">
        <v>34780.31</v>
      </c>
      <c r="J587" s="145">
        <v>1942.7</v>
      </c>
      <c r="K587" s="145">
        <v>152774.1</v>
      </c>
      <c r="L587" s="145">
        <v>2428.79</v>
      </c>
      <c r="M587" s="145"/>
    </row>
    <row r="588" spans="1:13" s="136" customFormat="1" ht="15">
      <c r="B588" s="132">
        <v>99</v>
      </c>
      <c r="C588" s="133" t="s">
        <v>442</v>
      </c>
      <c r="D588" s="119">
        <f>SUM(E588:F588)</f>
        <v>0</v>
      </c>
      <c r="E588" s="119"/>
      <c r="F588" s="119"/>
      <c r="G588" s="137" t="s">
        <v>487</v>
      </c>
      <c r="H588" s="137" t="s">
        <v>487</v>
      </c>
      <c r="I588" s="137" t="s">
        <v>487</v>
      </c>
      <c r="J588" s="137" t="s">
        <v>487</v>
      </c>
      <c r="K588" s="137" t="s">
        <v>487</v>
      </c>
      <c r="L588" s="137" t="s">
        <v>487</v>
      </c>
      <c r="M588" s="137" t="s">
        <v>487</v>
      </c>
    </row>
    <row r="589" spans="1:13" s="140" customFormat="1" ht="15">
      <c r="A589" s="136"/>
      <c r="B589" s="146"/>
      <c r="C589" s="122" t="s">
        <v>489</v>
      </c>
      <c r="D589" s="139">
        <f t="shared" ref="D589:M589" si="80">SUM(D582:D588)</f>
        <v>308430.61</v>
      </c>
      <c r="E589" s="139">
        <f t="shared" si="80"/>
        <v>6526.82</v>
      </c>
      <c r="F589" s="139">
        <f t="shared" si="80"/>
        <v>0</v>
      </c>
      <c r="G589" s="139">
        <f t="shared" si="80"/>
        <v>21179.08</v>
      </c>
      <c r="H589" s="139">
        <f t="shared" si="80"/>
        <v>73167.77</v>
      </c>
      <c r="I589" s="139">
        <f t="shared" si="80"/>
        <v>42211.040000000001</v>
      </c>
      <c r="J589" s="139">
        <f t="shared" si="80"/>
        <v>2260.71</v>
      </c>
      <c r="K589" s="139">
        <f t="shared" si="80"/>
        <v>160656.4</v>
      </c>
      <c r="L589" s="139">
        <f t="shared" si="80"/>
        <v>2428.79</v>
      </c>
      <c r="M589" s="139">
        <f t="shared" si="80"/>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521</v>
      </c>
      <c r="C592" s="133"/>
      <c r="D592" s="133"/>
      <c r="E592" s="133"/>
      <c r="F592" s="133"/>
      <c r="G592" s="133"/>
      <c r="H592" s="133"/>
      <c r="I592" s="143" t="s">
        <v>444</v>
      </c>
      <c r="J592" s="133"/>
      <c r="K592" s="133"/>
      <c r="L592" s="133"/>
      <c r="M592" s="133"/>
    </row>
    <row r="593" spans="1:13" s="136" customFormat="1" ht="12.75">
      <c r="B593" s="132"/>
      <c r="C593" s="133"/>
      <c r="D593" s="133"/>
      <c r="E593" s="143" t="s">
        <v>471</v>
      </c>
      <c r="F593" s="143" t="s">
        <v>472</v>
      </c>
      <c r="G593" s="143" t="s">
        <v>473</v>
      </c>
      <c r="H593" s="143" t="s">
        <v>474</v>
      </c>
      <c r="I593" s="143" t="s">
        <v>475</v>
      </c>
      <c r="J593" s="129" t="s">
        <v>476</v>
      </c>
      <c r="K593" s="143" t="s">
        <v>477</v>
      </c>
      <c r="L593" s="133"/>
      <c r="M593" s="143" t="s">
        <v>478</v>
      </c>
    </row>
    <row r="594" spans="1:13" s="136" customFormat="1" ht="12.75">
      <c r="B594" s="132"/>
      <c r="C594" s="143" t="s">
        <v>479</v>
      </c>
      <c r="D594" s="143" t="s">
        <v>480</v>
      </c>
      <c r="E594" s="143" t="s">
        <v>481</v>
      </c>
      <c r="F594" s="143" t="s">
        <v>481</v>
      </c>
      <c r="G594" s="143" t="s">
        <v>482</v>
      </c>
      <c r="H594" s="143" t="s">
        <v>482</v>
      </c>
      <c r="I594" s="143" t="s">
        <v>483</v>
      </c>
      <c r="J594" s="129" t="s">
        <v>484</v>
      </c>
      <c r="K594" s="143" t="s">
        <v>485</v>
      </c>
      <c r="L594" s="143" t="s">
        <v>457</v>
      </c>
      <c r="M594" s="143" t="s">
        <v>486</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487</v>
      </c>
      <c r="G596" s="145"/>
      <c r="H596" s="145"/>
      <c r="I596" s="145"/>
      <c r="J596" s="145"/>
      <c r="K596" s="145"/>
      <c r="L596" s="145"/>
      <c r="M596" s="145"/>
    </row>
    <row r="597" spans="1:13" s="136" customFormat="1" ht="12.75">
      <c r="B597" s="132">
        <v>83</v>
      </c>
      <c r="C597" s="133" t="s">
        <v>124</v>
      </c>
      <c r="D597" s="134">
        <f>SUM(E597:M597)</f>
        <v>0</v>
      </c>
      <c r="E597" s="145"/>
      <c r="F597" s="135" t="s">
        <v>487</v>
      </c>
      <c r="G597" s="135" t="s">
        <v>487</v>
      </c>
      <c r="H597" s="135" t="s">
        <v>487</v>
      </c>
      <c r="I597" s="135" t="s">
        <v>487</v>
      </c>
      <c r="J597" s="135" t="s">
        <v>487</v>
      </c>
      <c r="K597" s="145"/>
      <c r="L597" s="135" t="s">
        <v>487</v>
      </c>
      <c r="M597" s="135" t="s">
        <v>487</v>
      </c>
    </row>
    <row r="598" spans="1:13" s="136" customFormat="1" ht="12.75">
      <c r="B598" s="132">
        <v>89</v>
      </c>
      <c r="C598" s="133" t="s">
        <v>563</v>
      </c>
      <c r="D598" s="134">
        <f>SUM(E598:M598)</f>
        <v>0</v>
      </c>
      <c r="E598" s="144"/>
      <c r="F598" s="135" t="s">
        <v>487</v>
      </c>
      <c r="G598" s="153" t="s">
        <v>487</v>
      </c>
      <c r="H598" s="156" t="s">
        <v>487</v>
      </c>
      <c r="I598" s="153" t="s">
        <v>487</v>
      </c>
      <c r="J598" s="153" t="s">
        <v>487</v>
      </c>
      <c r="K598" s="153" t="s">
        <v>487</v>
      </c>
      <c r="L598" s="153" t="s">
        <v>487</v>
      </c>
    </row>
    <row r="599" spans="1:13" s="136" customFormat="1" ht="12.75">
      <c r="B599" s="132">
        <v>98</v>
      </c>
      <c r="C599" s="133" t="s">
        <v>127</v>
      </c>
      <c r="D599" s="134">
        <f>SUM(E599:M599)</f>
        <v>0</v>
      </c>
      <c r="E599" s="145"/>
      <c r="F599" s="135" t="s">
        <v>487</v>
      </c>
      <c r="G599" s="145"/>
      <c r="H599" s="145"/>
      <c r="I599" s="145"/>
      <c r="J599" s="145"/>
      <c r="K599" s="145"/>
      <c r="L599" s="145"/>
      <c r="M599" s="145"/>
    </row>
    <row r="600" spans="1:13" s="136" customFormat="1" ht="15">
      <c r="B600" s="132">
        <v>99</v>
      </c>
      <c r="C600" s="133" t="s">
        <v>442</v>
      </c>
      <c r="D600" s="119">
        <f>SUM(E600:F600)</f>
        <v>0</v>
      </c>
      <c r="E600" s="119"/>
      <c r="F600" s="119"/>
      <c r="G600" s="137" t="s">
        <v>487</v>
      </c>
      <c r="H600" s="137" t="s">
        <v>487</v>
      </c>
      <c r="I600" s="137" t="s">
        <v>487</v>
      </c>
      <c r="J600" s="137" t="s">
        <v>487</v>
      </c>
      <c r="K600" s="137" t="s">
        <v>487</v>
      </c>
      <c r="L600" s="137" t="s">
        <v>487</v>
      </c>
      <c r="M600" s="137" t="s">
        <v>487</v>
      </c>
    </row>
    <row r="601" spans="1:13" s="140" customFormat="1" ht="15">
      <c r="A601" s="136"/>
      <c r="B601" s="146"/>
      <c r="C601" s="122" t="s">
        <v>489</v>
      </c>
      <c r="D601" s="139">
        <f t="shared" ref="D601:M601" si="81">SUM(D596:D600)</f>
        <v>0</v>
      </c>
      <c r="E601" s="139">
        <f t="shared" si="81"/>
        <v>0</v>
      </c>
      <c r="F601" s="139">
        <f t="shared" si="81"/>
        <v>0</v>
      </c>
      <c r="G601" s="139">
        <f t="shared" si="81"/>
        <v>0</v>
      </c>
      <c r="H601" s="139">
        <f t="shared" si="81"/>
        <v>0</v>
      </c>
      <c r="I601" s="139">
        <f t="shared" si="81"/>
        <v>0</v>
      </c>
      <c r="J601" s="139">
        <f t="shared" si="81"/>
        <v>0</v>
      </c>
      <c r="K601" s="139">
        <f t="shared" si="81"/>
        <v>0</v>
      </c>
      <c r="L601" s="139">
        <f t="shared" si="81"/>
        <v>0</v>
      </c>
      <c r="M601" s="139">
        <f t="shared" si="81"/>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522</v>
      </c>
      <c r="C604" s="133"/>
      <c r="D604" s="133"/>
      <c r="E604" s="133"/>
      <c r="F604" s="133"/>
      <c r="G604" s="133"/>
      <c r="H604" s="133"/>
      <c r="I604" s="143" t="s">
        <v>444</v>
      </c>
      <c r="J604" s="133"/>
      <c r="K604" s="133"/>
      <c r="L604" s="133"/>
      <c r="M604" s="133"/>
    </row>
    <row r="605" spans="1:13" s="136" customFormat="1" ht="12.75">
      <c r="B605" s="132"/>
      <c r="C605" s="133"/>
      <c r="D605" s="133"/>
      <c r="E605" s="143" t="s">
        <v>471</v>
      </c>
      <c r="F605" s="143" t="s">
        <v>472</v>
      </c>
      <c r="G605" s="143" t="s">
        <v>473</v>
      </c>
      <c r="H605" s="143" t="s">
        <v>474</v>
      </c>
      <c r="I605" s="143" t="s">
        <v>475</v>
      </c>
      <c r="J605" s="129" t="s">
        <v>476</v>
      </c>
      <c r="K605" s="143" t="s">
        <v>477</v>
      </c>
      <c r="L605" s="133"/>
      <c r="M605" s="143" t="s">
        <v>478</v>
      </c>
    </row>
    <row r="606" spans="1:13" s="136" customFormat="1" ht="12.75">
      <c r="B606" s="132"/>
      <c r="C606" s="143" t="s">
        <v>479</v>
      </c>
      <c r="D606" s="143" t="s">
        <v>480</v>
      </c>
      <c r="E606" s="143" t="s">
        <v>481</v>
      </c>
      <c r="F606" s="143" t="s">
        <v>481</v>
      </c>
      <c r="G606" s="143" t="s">
        <v>482</v>
      </c>
      <c r="H606" s="143" t="s">
        <v>482</v>
      </c>
      <c r="I606" s="143" t="s">
        <v>483</v>
      </c>
      <c r="J606" s="129" t="s">
        <v>484</v>
      </c>
      <c r="K606" s="143" t="s">
        <v>485</v>
      </c>
      <c r="L606" s="143" t="s">
        <v>457</v>
      </c>
      <c r="M606" s="143" t="s">
        <v>486</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2">SUM(E608:M608)</f>
        <v>0</v>
      </c>
      <c r="E608" s="145"/>
      <c r="F608" s="135" t="s">
        <v>487</v>
      </c>
      <c r="G608" s="145"/>
      <c r="H608" s="145"/>
      <c r="I608" s="145"/>
      <c r="J608" s="145"/>
      <c r="K608" s="145"/>
      <c r="L608" s="145"/>
      <c r="M608" s="145"/>
    </row>
    <row r="609" spans="1:13" s="136" customFormat="1" ht="12.75">
      <c r="B609" s="132">
        <v>60</v>
      </c>
      <c r="C609" s="133" t="s">
        <v>190</v>
      </c>
      <c r="D609" s="134">
        <f>SUM(E609:M609)</f>
        <v>0</v>
      </c>
      <c r="E609" s="145"/>
      <c r="F609" s="135" t="s">
        <v>487</v>
      </c>
      <c r="G609" s="145"/>
      <c r="H609" s="145"/>
      <c r="I609" s="145"/>
      <c r="J609" s="145"/>
      <c r="K609" s="145"/>
      <c r="L609" s="145"/>
      <c r="M609" s="145"/>
    </row>
    <row r="610" spans="1:13" s="136" customFormat="1" ht="12.75">
      <c r="B610" s="132">
        <v>72</v>
      </c>
      <c r="C610" s="133" t="s">
        <v>700</v>
      </c>
      <c r="D610" s="134">
        <f t="shared" ref="D610:D611" si="83">SUM(E610:M610)</f>
        <v>0</v>
      </c>
      <c r="E610" s="145"/>
      <c r="F610" s="135"/>
      <c r="G610" s="145"/>
      <c r="H610" s="145"/>
      <c r="I610" s="145"/>
      <c r="J610" s="145"/>
      <c r="K610" s="145"/>
      <c r="L610" s="145"/>
      <c r="M610" s="145"/>
    </row>
    <row r="611" spans="1:13" s="136" customFormat="1" ht="12.75">
      <c r="B611" s="132">
        <v>83</v>
      </c>
      <c r="C611" s="133" t="s">
        <v>124</v>
      </c>
      <c r="D611" s="134">
        <f t="shared" si="83"/>
        <v>0</v>
      </c>
      <c r="E611" s="145"/>
      <c r="F611" s="135" t="s">
        <v>487</v>
      </c>
      <c r="G611" s="135" t="s">
        <v>487</v>
      </c>
      <c r="H611" s="135" t="s">
        <v>487</v>
      </c>
      <c r="I611" s="135" t="s">
        <v>487</v>
      </c>
      <c r="J611" s="135" t="s">
        <v>487</v>
      </c>
      <c r="K611" s="145"/>
      <c r="L611" s="135" t="s">
        <v>487</v>
      </c>
      <c r="M611" s="135" t="s">
        <v>487</v>
      </c>
    </row>
    <row r="612" spans="1:13" s="136" customFormat="1" ht="12.75">
      <c r="B612" s="132">
        <v>89</v>
      </c>
      <c r="C612" s="133" t="s">
        <v>563</v>
      </c>
      <c r="D612" s="134">
        <f>SUM(E612:M612)</f>
        <v>0</v>
      </c>
      <c r="E612" s="144"/>
      <c r="F612" s="135" t="s">
        <v>487</v>
      </c>
      <c r="G612" s="153" t="s">
        <v>487</v>
      </c>
      <c r="H612" s="156" t="s">
        <v>487</v>
      </c>
      <c r="I612" s="153" t="s">
        <v>487</v>
      </c>
      <c r="J612" s="153" t="s">
        <v>487</v>
      </c>
      <c r="K612" s="153" t="s">
        <v>487</v>
      </c>
      <c r="L612" s="153" t="s">
        <v>487</v>
      </c>
    </row>
    <row r="613" spans="1:13" s="136" customFormat="1" ht="12.75">
      <c r="B613" s="132">
        <v>98</v>
      </c>
      <c r="C613" s="133" t="s">
        <v>127</v>
      </c>
      <c r="D613" s="134">
        <f>SUM(E613:M613)</f>
        <v>2010736.44</v>
      </c>
      <c r="E613" s="145">
        <v>155211.29999999999</v>
      </c>
      <c r="F613" s="135" t="s">
        <v>487</v>
      </c>
      <c r="G613" s="145"/>
      <c r="H613" s="145">
        <v>579451.82999999996</v>
      </c>
      <c r="I613" s="145">
        <v>251298.51</v>
      </c>
      <c r="J613" s="145">
        <v>34307.43</v>
      </c>
      <c r="K613" s="145">
        <v>964278.12</v>
      </c>
      <c r="L613" s="145">
        <v>26189.25</v>
      </c>
      <c r="M613" s="145"/>
    </row>
    <row r="614" spans="1:13" s="136" customFormat="1" ht="15">
      <c r="B614" s="132">
        <v>99</v>
      </c>
      <c r="C614" s="133" t="s">
        <v>442</v>
      </c>
      <c r="D614" s="119">
        <f>SUM(E614:F614)</f>
        <v>0</v>
      </c>
      <c r="E614" s="119"/>
      <c r="F614" s="119"/>
      <c r="G614" s="137" t="s">
        <v>487</v>
      </c>
      <c r="H614" s="137" t="s">
        <v>487</v>
      </c>
      <c r="I614" s="137" t="s">
        <v>487</v>
      </c>
      <c r="J614" s="137" t="s">
        <v>487</v>
      </c>
      <c r="K614" s="137" t="s">
        <v>487</v>
      </c>
      <c r="L614" s="137" t="s">
        <v>487</v>
      </c>
      <c r="M614" s="137" t="s">
        <v>487</v>
      </c>
    </row>
    <row r="615" spans="1:13" s="140" customFormat="1" ht="15">
      <c r="A615" s="136"/>
      <c r="B615" s="146"/>
      <c r="C615" s="122" t="s">
        <v>489</v>
      </c>
      <c r="D615" s="139">
        <f t="shared" ref="D615:M615" si="84">SUM(D608:D614)</f>
        <v>2010736.44</v>
      </c>
      <c r="E615" s="139">
        <f t="shared" si="84"/>
        <v>155211.29999999999</v>
      </c>
      <c r="F615" s="139">
        <f t="shared" si="84"/>
        <v>0</v>
      </c>
      <c r="G615" s="139">
        <f t="shared" si="84"/>
        <v>0</v>
      </c>
      <c r="H615" s="139">
        <f t="shared" si="84"/>
        <v>579451.82999999996</v>
      </c>
      <c r="I615" s="139">
        <f t="shared" si="84"/>
        <v>251298.51</v>
      </c>
      <c r="J615" s="139">
        <f t="shared" si="84"/>
        <v>34307.43</v>
      </c>
      <c r="K615" s="139">
        <f t="shared" si="84"/>
        <v>964278.12</v>
      </c>
      <c r="L615" s="139">
        <f t="shared" si="84"/>
        <v>26189.25</v>
      </c>
      <c r="M615" s="139">
        <f t="shared" si="84"/>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523</v>
      </c>
      <c r="C618" s="133"/>
      <c r="D618" s="133"/>
      <c r="E618" s="133"/>
      <c r="F618" s="133"/>
      <c r="G618" s="133"/>
      <c r="H618" s="133"/>
      <c r="I618" s="143" t="s">
        <v>444</v>
      </c>
      <c r="J618" s="133"/>
      <c r="K618" s="133"/>
      <c r="L618" s="133"/>
      <c r="M618" s="133"/>
    </row>
    <row r="619" spans="1:13" s="136" customFormat="1" ht="12.75">
      <c r="B619" s="132"/>
      <c r="C619" s="133"/>
      <c r="D619" s="133"/>
      <c r="E619" s="143" t="s">
        <v>471</v>
      </c>
      <c r="F619" s="143" t="s">
        <v>472</v>
      </c>
      <c r="G619" s="143" t="s">
        <v>473</v>
      </c>
      <c r="H619" s="143" t="s">
        <v>474</v>
      </c>
      <c r="I619" s="143" t="s">
        <v>475</v>
      </c>
      <c r="J619" s="129" t="s">
        <v>476</v>
      </c>
      <c r="K619" s="143" t="s">
        <v>477</v>
      </c>
      <c r="L619" s="133"/>
      <c r="M619" s="143" t="s">
        <v>478</v>
      </c>
    </row>
    <row r="620" spans="1:13" s="136" customFormat="1" ht="12.75">
      <c r="B620" s="132"/>
      <c r="C620" s="143" t="s">
        <v>479</v>
      </c>
      <c r="D620" s="143" t="s">
        <v>480</v>
      </c>
      <c r="E620" s="143" t="s">
        <v>481</v>
      </c>
      <c r="F620" s="143" t="s">
        <v>481</v>
      </c>
      <c r="G620" s="143" t="s">
        <v>482</v>
      </c>
      <c r="H620" s="143" t="s">
        <v>482</v>
      </c>
      <c r="I620" s="143" t="s">
        <v>483</v>
      </c>
      <c r="J620" s="129" t="s">
        <v>484</v>
      </c>
      <c r="K620" s="143" t="s">
        <v>485</v>
      </c>
      <c r="L620" s="143" t="s">
        <v>457</v>
      </c>
      <c r="M620" s="143" t="s">
        <v>486</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487</v>
      </c>
      <c r="G622" s="145"/>
      <c r="H622" s="145"/>
      <c r="I622" s="145"/>
      <c r="J622" s="145"/>
      <c r="K622" s="145"/>
      <c r="L622" s="145"/>
      <c r="M622" s="145"/>
    </row>
    <row r="623" spans="1:13" s="136" customFormat="1" ht="12.75">
      <c r="B623" s="132">
        <v>83</v>
      </c>
      <c r="C623" s="133" t="s">
        <v>124</v>
      </c>
      <c r="D623" s="134">
        <f>SUM(E623:M623)</f>
        <v>0</v>
      </c>
      <c r="E623" s="145"/>
      <c r="F623" s="135" t="s">
        <v>487</v>
      </c>
      <c r="G623" s="135" t="s">
        <v>487</v>
      </c>
      <c r="H623" s="135" t="s">
        <v>487</v>
      </c>
      <c r="I623" s="135" t="s">
        <v>487</v>
      </c>
      <c r="J623" s="135" t="s">
        <v>487</v>
      </c>
      <c r="K623" s="145"/>
      <c r="L623" s="135" t="s">
        <v>487</v>
      </c>
      <c r="M623" s="135" t="s">
        <v>487</v>
      </c>
    </row>
    <row r="624" spans="1:13" s="136" customFormat="1" ht="12.75">
      <c r="B624" s="132">
        <v>89</v>
      </c>
      <c r="C624" s="133" t="s">
        <v>563</v>
      </c>
      <c r="D624" s="134">
        <f>SUM(E624:M624)</f>
        <v>0</v>
      </c>
      <c r="E624" s="144"/>
      <c r="F624" s="135" t="s">
        <v>487</v>
      </c>
      <c r="G624" s="153" t="s">
        <v>487</v>
      </c>
      <c r="H624" s="156" t="s">
        <v>487</v>
      </c>
      <c r="I624" s="153" t="s">
        <v>487</v>
      </c>
      <c r="J624" s="153" t="s">
        <v>487</v>
      </c>
      <c r="K624" s="153" t="s">
        <v>487</v>
      </c>
      <c r="L624" s="153" t="s">
        <v>487</v>
      </c>
    </row>
    <row r="625" spans="1:13" s="136" customFormat="1" ht="12.75">
      <c r="B625" s="132">
        <v>98</v>
      </c>
      <c r="C625" s="133" t="s">
        <v>127</v>
      </c>
      <c r="D625" s="134">
        <f>SUM(E625:M625)</f>
        <v>0</v>
      </c>
      <c r="E625" s="145"/>
      <c r="F625" s="135" t="s">
        <v>487</v>
      </c>
      <c r="G625" s="145"/>
      <c r="H625" s="145"/>
      <c r="I625" s="145"/>
      <c r="J625" s="145"/>
      <c r="K625" s="145"/>
      <c r="L625" s="145"/>
      <c r="M625" s="145"/>
    </row>
    <row r="626" spans="1:13" s="136" customFormat="1" ht="15">
      <c r="B626" s="132">
        <v>99</v>
      </c>
      <c r="C626" s="133" t="s">
        <v>442</v>
      </c>
      <c r="D626" s="119">
        <f>SUM(E626:F626)</f>
        <v>0</v>
      </c>
      <c r="E626" s="119"/>
      <c r="F626" s="119"/>
      <c r="G626" s="137" t="s">
        <v>487</v>
      </c>
      <c r="H626" s="137" t="s">
        <v>487</v>
      </c>
      <c r="I626" s="137" t="s">
        <v>487</v>
      </c>
      <c r="J626" s="137" t="s">
        <v>487</v>
      </c>
      <c r="K626" s="137" t="s">
        <v>487</v>
      </c>
      <c r="L626" s="137" t="s">
        <v>487</v>
      </c>
      <c r="M626" s="137" t="s">
        <v>487</v>
      </c>
    </row>
    <row r="627" spans="1:13" s="140" customFormat="1" ht="15">
      <c r="A627" s="136"/>
      <c r="B627" s="146"/>
      <c r="C627" s="122" t="s">
        <v>489</v>
      </c>
      <c r="D627" s="139">
        <f t="shared" ref="D627:M627" si="85">SUM(D622:D626)</f>
        <v>0</v>
      </c>
      <c r="E627" s="139">
        <f t="shared" si="85"/>
        <v>0</v>
      </c>
      <c r="F627" s="139">
        <f t="shared" si="85"/>
        <v>0</v>
      </c>
      <c r="G627" s="139">
        <f t="shared" si="85"/>
        <v>0</v>
      </c>
      <c r="H627" s="139">
        <f t="shared" si="85"/>
        <v>0</v>
      </c>
      <c r="I627" s="139">
        <f t="shared" si="85"/>
        <v>0</v>
      </c>
      <c r="J627" s="139">
        <f t="shared" si="85"/>
        <v>0</v>
      </c>
      <c r="K627" s="139">
        <f t="shared" si="85"/>
        <v>0</v>
      </c>
      <c r="L627" s="139">
        <f t="shared" si="85"/>
        <v>0</v>
      </c>
      <c r="M627" s="139">
        <f t="shared" si="85"/>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524</v>
      </c>
      <c r="C630" s="133"/>
      <c r="D630" s="133"/>
      <c r="E630" s="133"/>
      <c r="F630" s="133"/>
      <c r="G630" s="133"/>
      <c r="H630" s="133"/>
      <c r="I630" s="143" t="s">
        <v>444</v>
      </c>
      <c r="J630" s="133"/>
      <c r="K630" s="133"/>
      <c r="L630" s="133"/>
      <c r="M630" s="133"/>
    </row>
    <row r="631" spans="1:13" s="136" customFormat="1" ht="12.75">
      <c r="B631" s="132"/>
      <c r="C631" s="133"/>
      <c r="D631" s="133"/>
      <c r="E631" s="143" t="s">
        <v>471</v>
      </c>
      <c r="F631" s="143" t="s">
        <v>472</v>
      </c>
      <c r="G631" s="143" t="s">
        <v>473</v>
      </c>
      <c r="H631" s="143" t="s">
        <v>474</v>
      </c>
      <c r="I631" s="143" t="s">
        <v>475</v>
      </c>
      <c r="J631" s="129" t="s">
        <v>476</v>
      </c>
      <c r="K631" s="143" t="s">
        <v>477</v>
      </c>
      <c r="L631" s="133"/>
      <c r="M631" s="143" t="s">
        <v>478</v>
      </c>
    </row>
    <row r="632" spans="1:13" s="136" customFormat="1" ht="12.75">
      <c r="B632" s="132"/>
      <c r="C632" s="143" t="s">
        <v>479</v>
      </c>
      <c r="D632" s="143" t="s">
        <v>480</v>
      </c>
      <c r="E632" s="143" t="s">
        <v>481</v>
      </c>
      <c r="F632" s="143" t="s">
        <v>481</v>
      </c>
      <c r="G632" s="143" t="s">
        <v>482</v>
      </c>
      <c r="H632" s="143" t="s">
        <v>482</v>
      </c>
      <c r="I632" s="143" t="s">
        <v>483</v>
      </c>
      <c r="J632" s="129" t="s">
        <v>484</v>
      </c>
      <c r="K632" s="143" t="s">
        <v>485</v>
      </c>
      <c r="L632" s="143" t="s">
        <v>457</v>
      </c>
      <c r="M632" s="143" t="s">
        <v>486</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487</v>
      </c>
      <c r="G634" s="145"/>
      <c r="H634" s="145"/>
      <c r="I634" s="145"/>
      <c r="J634" s="145"/>
      <c r="K634" s="145"/>
      <c r="L634" s="145"/>
      <c r="M634" s="145"/>
    </row>
    <row r="635" spans="1:13" s="136" customFormat="1" ht="12.75">
      <c r="B635" s="132">
        <v>83</v>
      </c>
      <c r="C635" s="133" t="s">
        <v>124</v>
      </c>
      <c r="D635" s="134">
        <f>SUM(E635:M635)</f>
        <v>0</v>
      </c>
      <c r="E635" s="145"/>
      <c r="F635" s="135" t="s">
        <v>487</v>
      </c>
      <c r="G635" s="135" t="s">
        <v>487</v>
      </c>
      <c r="H635" s="135" t="s">
        <v>487</v>
      </c>
      <c r="I635" s="135" t="s">
        <v>487</v>
      </c>
      <c r="J635" s="135" t="s">
        <v>487</v>
      </c>
      <c r="K635" s="145"/>
      <c r="L635" s="135" t="s">
        <v>487</v>
      </c>
      <c r="M635" s="135" t="s">
        <v>487</v>
      </c>
    </row>
    <row r="636" spans="1:13" s="136" customFormat="1" ht="12.75">
      <c r="B636" s="132">
        <v>89</v>
      </c>
      <c r="C636" s="133" t="s">
        <v>563</v>
      </c>
      <c r="D636" s="134">
        <f>SUM(E636:M636)</f>
        <v>0</v>
      </c>
      <c r="E636" s="144"/>
      <c r="F636" s="135" t="s">
        <v>487</v>
      </c>
      <c r="G636" s="153" t="s">
        <v>487</v>
      </c>
      <c r="H636" s="156" t="s">
        <v>487</v>
      </c>
      <c r="I636" s="153" t="s">
        <v>487</v>
      </c>
      <c r="J636" s="153" t="s">
        <v>487</v>
      </c>
      <c r="K636" s="153" t="s">
        <v>487</v>
      </c>
      <c r="L636" s="153" t="s">
        <v>487</v>
      </c>
    </row>
    <row r="637" spans="1:13" s="136" customFormat="1" ht="12.75">
      <c r="B637" s="132">
        <v>98</v>
      </c>
      <c r="C637" s="133" t="s">
        <v>127</v>
      </c>
      <c r="D637" s="134">
        <f>SUM(E637:M637)</f>
        <v>0</v>
      </c>
      <c r="E637" s="145"/>
      <c r="F637" s="135" t="s">
        <v>487</v>
      </c>
      <c r="G637" s="145"/>
      <c r="H637" s="145"/>
      <c r="I637" s="145"/>
      <c r="J637" s="145"/>
      <c r="K637" s="145"/>
      <c r="L637" s="145"/>
      <c r="M637" s="145"/>
    </row>
    <row r="638" spans="1:13" s="136" customFormat="1" ht="15">
      <c r="B638" s="132">
        <v>99</v>
      </c>
      <c r="C638" s="133" t="s">
        <v>442</v>
      </c>
      <c r="D638" s="119">
        <f>SUM(E638:F638)</f>
        <v>0</v>
      </c>
      <c r="E638" s="119"/>
      <c r="F638" s="119"/>
      <c r="G638" s="137" t="s">
        <v>487</v>
      </c>
      <c r="H638" s="137" t="s">
        <v>487</v>
      </c>
      <c r="I638" s="137" t="s">
        <v>487</v>
      </c>
      <c r="J638" s="137" t="s">
        <v>487</v>
      </c>
      <c r="K638" s="137" t="s">
        <v>487</v>
      </c>
      <c r="L638" s="137" t="s">
        <v>487</v>
      </c>
      <c r="M638" s="137" t="s">
        <v>487</v>
      </c>
    </row>
    <row r="639" spans="1:13" s="140" customFormat="1" ht="15">
      <c r="A639" s="136"/>
      <c r="B639" s="146"/>
      <c r="C639" s="122" t="s">
        <v>489</v>
      </c>
      <c r="D639" s="139">
        <f t="shared" ref="D639:M639" si="86">SUM(D634:D638)</f>
        <v>0</v>
      </c>
      <c r="E639" s="139">
        <f t="shared" si="86"/>
        <v>0</v>
      </c>
      <c r="F639" s="139">
        <f t="shared" si="86"/>
        <v>0</v>
      </c>
      <c r="G639" s="139">
        <f t="shared" si="86"/>
        <v>0</v>
      </c>
      <c r="H639" s="139">
        <f t="shared" si="86"/>
        <v>0</v>
      </c>
      <c r="I639" s="139">
        <f t="shared" si="86"/>
        <v>0</v>
      </c>
      <c r="J639" s="139">
        <f t="shared" si="86"/>
        <v>0</v>
      </c>
      <c r="K639" s="139">
        <f t="shared" si="86"/>
        <v>0</v>
      </c>
      <c r="L639" s="139">
        <f t="shared" si="86"/>
        <v>0</v>
      </c>
      <c r="M639" s="139">
        <f t="shared" si="86"/>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525</v>
      </c>
      <c r="C642" s="133"/>
      <c r="D642" s="133"/>
      <c r="E642" s="133"/>
      <c r="F642" s="133"/>
      <c r="G642" s="133"/>
      <c r="H642" s="133"/>
      <c r="I642" s="143" t="s">
        <v>444</v>
      </c>
      <c r="J642" s="133"/>
      <c r="K642" s="133"/>
      <c r="L642" s="133"/>
      <c r="M642" s="133"/>
    </row>
    <row r="643" spans="1:13" s="136" customFormat="1" ht="12.75">
      <c r="B643" s="132"/>
      <c r="C643" s="133"/>
      <c r="D643" s="133"/>
      <c r="E643" s="143" t="s">
        <v>471</v>
      </c>
      <c r="F643" s="143" t="s">
        <v>472</v>
      </c>
      <c r="G643" s="143" t="s">
        <v>473</v>
      </c>
      <c r="H643" s="143" t="s">
        <v>474</v>
      </c>
      <c r="I643" s="143" t="s">
        <v>475</v>
      </c>
      <c r="J643" s="129" t="s">
        <v>476</v>
      </c>
      <c r="K643" s="143" t="s">
        <v>477</v>
      </c>
      <c r="L643" s="133"/>
      <c r="M643" s="143" t="s">
        <v>478</v>
      </c>
    </row>
    <row r="644" spans="1:13" s="136" customFormat="1" ht="12.75">
      <c r="B644" s="132"/>
      <c r="C644" s="143" t="s">
        <v>479</v>
      </c>
      <c r="D644" s="143" t="s">
        <v>480</v>
      </c>
      <c r="E644" s="143" t="s">
        <v>481</v>
      </c>
      <c r="F644" s="143" t="s">
        <v>481</v>
      </c>
      <c r="G644" s="143" t="s">
        <v>482</v>
      </c>
      <c r="H644" s="143" t="s">
        <v>482</v>
      </c>
      <c r="I644" s="143" t="s">
        <v>483</v>
      </c>
      <c r="J644" s="129" t="s">
        <v>484</v>
      </c>
      <c r="K644" s="143" t="s">
        <v>485</v>
      </c>
      <c r="L644" s="143" t="s">
        <v>457</v>
      </c>
      <c r="M644" s="143" t="s">
        <v>486</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437</v>
      </c>
      <c r="D646" s="134">
        <f t="shared" ref="D646:D653" si="87">SUM(E646:M646)</f>
        <v>0</v>
      </c>
      <c r="E646" s="145"/>
      <c r="F646" s="135" t="s">
        <v>487</v>
      </c>
      <c r="G646" s="145"/>
      <c r="H646" s="145"/>
      <c r="I646" s="145"/>
      <c r="J646" s="145"/>
      <c r="K646" s="145"/>
      <c r="L646" s="145"/>
      <c r="M646" s="145"/>
    </row>
    <row r="647" spans="1:13" s="136" customFormat="1" ht="12.75">
      <c r="B647" s="132">
        <v>52</v>
      </c>
      <c r="C647" s="133" t="s">
        <v>184</v>
      </c>
      <c r="D647" s="134">
        <f t="shared" si="87"/>
        <v>0</v>
      </c>
      <c r="E647" s="145"/>
      <c r="F647" s="135" t="s">
        <v>487</v>
      </c>
      <c r="G647" s="145"/>
      <c r="H647" s="145"/>
      <c r="I647" s="145"/>
      <c r="J647" s="145"/>
      <c r="K647" s="145"/>
      <c r="L647" s="145"/>
      <c r="M647" s="145"/>
    </row>
    <row r="648" spans="1:13" s="136" customFormat="1" ht="12.75">
      <c r="B648" s="132">
        <v>53</v>
      </c>
      <c r="C648" s="133" t="s">
        <v>185</v>
      </c>
      <c r="D648" s="134">
        <f t="shared" si="87"/>
        <v>0</v>
      </c>
      <c r="E648" s="145"/>
      <c r="F648" s="135" t="s">
        <v>487</v>
      </c>
      <c r="G648" s="145"/>
      <c r="H648" s="145"/>
      <c r="I648" s="145"/>
      <c r="J648" s="145"/>
      <c r="K648" s="145"/>
      <c r="L648" s="145"/>
      <c r="M648" s="145"/>
    </row>
    <row r="649" spans="1:13" s="136" customFormat="1" ht="12.75">
      <c r="B649" s="132">
        <v>56</v>
      </c>
      <c r="C649" s="133" t="s">
        <v>108</v>
      </c>
      <c r="D649" s="134">
        <f t="shared" si="87"/>
        <v>0</v>
      </c>
      <c r="E649" s="145"/>
      <c r="F649" s="135" t="s">
        <v>487</v>
      </c>
      <c r="G649" s="145"/>
      <c r="H649" s="145"/>
      <c r="I649" s="145"/>
      <c r="J649" s="145"/>
      <c r="K649" s="145"/>
      <c r="L649" s="145"/>
      <c r="M649" s="145"/>
    </row>
    <row r="650" spans="1:13" s="136" customFormat="1" ht="12.75">
      <c r="B650" s="132">
        <v>59</v>
      </c>
      <c r="C650" s="133" t="s">
        <v>488</v>
      </c>
      <c r="D650" s="134">
        <f t="shared" si="87"/>
        <v>0</v>
      </c>
      <c r="E650" s="145"/>
      <c r="F650" s="135" t="s">
        <v>487</v>
      </c>
      <c r="G650" s="145"/>
      <c r="H650" s="145"/>
      <c r="I650" s="145"/>
      <c r="J650" s="145"/>
      <c r="K650" s="145"/>
      <c r="L650" s="145"/>
      <c r="M650" s="145"/>
    </row>
    <row r="651" spans="1:13" s="136" customFormat="1" ht="12.75">
      <c r="B651" s="132">
        <v>60</v>
      </c>
      <c r="C651" s="133" t="s">
        <v>190</v>
      </c>
      <c r="D651" s="134">
        <f t="shared" si="87"/>
        <v>0</v>
      </c>
      <c r="E651" s="145"/>
      <c r="F651" s="135" t="s">
        <v>487</v>
      </c>
      <c r="G651" s="145"/>
      <c r="H651" s="145"/>
      <c r="I651" s="145"/>
      <c r="J651" s="145"/>
      <c r="K651" s="145"/>
      <c r="L651" s="145"/>
      <c r="M651" s="145"/>
    </row>
    <row r="652" spans="1:13" s="136" customFormat="1" ht="12.75">
      <c r="B652" s="132">
        <v>83</v>
      </c>
      <c r="C652" s="133" t="s">
        <v>124</v>
      </c>
      <c r="D652" s="134">
        <f t="shared" si="87"/>
        <v>0</v>
      </c>
      <c r="E652" s="145"/>
      <c r="F652" s="135" t="s">
        <v>487</v>
      </c>
      <c r="G652" s="135" t="s">
        <v>487</v>
      </c>
      <c r="H652" s="135" t="s">
        <v>487</v>
      </c>
      <c r="I652" s="135" t="s">
        <v>487</v>
      </c>
      <c r="J652" s="135" t="s">
        <v>487</v>
      </c>
      <c r="K652" s="145"/>
      <c r="L652" s="135" t="s">
        <v>487</v>
      </c>
      <c r="M652" s="135" t="s">
        <v>487</v>
      </c>
    </row>
    <row r="653" spans="1:13" s="136" customFormat="1" ht="12.75">
      <c r="B653" s="132">
        <v>89</v>
      </c>
      <c r="C653" s="133" t="s">
        <v>563</v>
      </c>
      <c r="D653" s="134">
        <f t="shared" si="87"/>
        <v>0</v>
      </c>
      <c r="E653" s="144"/>
      <c r="F653" s="135" t="s">
        <v>487</v>
      </c>
      <c r="G653" s="153" t="s">
        <v>487</v>
      </c>
      <c r="H653" s="156" t="s">
        <v>487</v>
      </c>
      <c r="I653" s="153" t="s">
        <v>487</v>
      </c>
      <c r="J653" s="153" t="s">
        <v>487</v>
      </c>
      <c r="K653" s="153" t="s">
        <v>487</v>
      </c>
      <c r="L653" s="153" t="s">
        <v>487</v>
      </c>
    </row>
    <row r="654" spans="1:13" s="136" customFormat="1" ht="15">
      <c r="B654" s="132">
        <v>99</v>
      </c>
      <c r="C654" s="133" t="s">
        <v>442</v>
      </c>
      <c r="D654" s="119">
        <f>SUM(E654:F654)</f>
        <v>0</v>
      </c>
      <c r="E654" s="119"/>
      <c r="F654" s="119"/>
      <c r="G654" s="137" t="s">
        <v>487</v>
      </c>
      <c r="H654" s="137" t="s">
        <v>487</v>
      </c>
      <c r="I654" s="137" t="s">
        <v>487</v>
      </c>
      <c r="J654" s="137" t="s">
        <v>487</v>
      </c>
      <c r="K654" s="137" t="s">
        <v>487</v>
      </c>
      <c r="L654" s="137" t="s">
        <v>487</v>
      </c>
      <c r="M654" s="137" t="s">
        <v>487</v>
      </c>
    </row>
    <row r="655" spans="1:13" s="140" customFormat="1" ht="15">
      <c r="A655" s="136"/>
      <c r="B655" s="146"/>
      <c r="C655" s="122" t="s">
        <v>489</v>
      </c>
      <c r="D655" s="139">
        <f t="shared" ref="D655:M655" si="88">SUM(D646:D654)</f>
        <v>0</v>
      </c>
      <c r="E655" s="139">
        <f t="shared" si="88"/>
        <v>0</v>
      </c>
      <c r="F655" s="139">
        <f t="shared" si="88"/>
        <v>0</v>
      </c>
      <c r="G655" s="139">
        <f t="shared" si="88"/>
        <v>0</v>
      </c>
      <c r="H655" s="139">
        <f t="shared" si="88"/>
        <v>0</v>
      </c>
      <c r="I655" s="139">
        <f t="shared" si="88"/>
        <v>0</v>
      </c>
      <c r="J655" s="139">
        <f t="shared" si="88"/>
        <v>0</v>
      </c>
      <c r="K655" s="139">
        <f t="shared" si="88"/>
        <v>0</v>
      </c>
      <c r="L655" s="139">
        <f t="shared" si="88"/>
        <v>0</v>
      </c>
      <c r="M655" s="139">
        <f t="shared" si="88"/>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526</v>
      </c>
      <c r="C658" s="133"/>
      <c r="D658" s="133"/>
      <c r="E658" s="133"/>
      <c r="F658" s="133"/>
      <c r="G658" s="133"/>
      <c r="H658" s="133"/>
      <c r="I658" s="143" t="s">
        <v>444</v>
      </c>
      <c r="J658" s="133"/>
      <c r="K658" s="133"/>
      <c r="L658" s="133"/>
      <c r="M658" s="133"/>
    </row>
    <row r="659" spans="1:13" s="136" customFormat="1" ht="12.75">
      <c r="B659" s="132"/>
      <c r="C659" s="133"/>
      <c r="D659" s="133"/>
      <c r="E659" s="143" t="s">
        <v>471</v>
      </c>
      <c r="F659" s="143" t="s">
        <v>472</v>
      </c>
      <c r="G659" s="143" t="s">
        <v>473</v>
      </c>
      <c r="H659" s="143" t="s">
        <v>474</v>
      </c>
      <c r="I659" s="143" t="s">
        <v>475</v>
      </c>
      <c r="J659" s="129" t="s">
        <v>476</v>
      </c>
      <c r="K659" s="143" t="s">
        <v>477</v>
      </c>
      <c r="L659" s="133"/>
      <c r="M659" s="143" t="s">
        <v>478</v>
      </c>
    </row>
    <row r="660" spans="1:13" s="136" customFormat="1" ht="12.75">
      <c r="B660" s="132"/>
      <c r="C660" s="143" t="s">
        <v>479</v>
      </c>
      <c r="D660" s="143" t="s">
        <v>480</v>
      </c>
      <c r="E660" s="143" t="s">
        <v>481</v>
      </c>
      <c r="F660" s="143" t="s">
        <v>481</v>
      </c>
      <c r="G660" s="143" t="s">
        <v>482</v>
      </c>
      <c r="H660" s="143" t="s">
        <v>482</v>
      </c>
      <c r="I660" s="143" t="s">
        <v>483</v>
      </c>
      <c r="J660" s="129" t="s">
        <v>484</v>
      </c>
      <c r="K660" s="143" t="s">
        <v>485</v>
      </c>
      <c r="L660" s="143" t="s">
        <v>457</v>
      </c>
      <c r="M660" s="143" t="s">
        <v>486</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487</v>
      </c>
      <c r="G662" s="145"/>
      <c r="H662" s="145"/>
      <c r="I662" s="145"/>
      <c r="J662" s="145"/>
      <c r="K662" s="145"/>
      <c r="L662" s="145"/>
      <c r="M662" s="145"/>
    </row>
    <row r="663" spans="1:13" s="136" customFormat="1" ht="12.75">
      <c r="B663" s="132">
        <v>83</v>
      </c>
      <c r="C663" s="133" t="s">
        <v>124</v>
      </c>
      <c r="D663" s="134">
        <f>SUM(E663:M663)</f>
        <v>0</v>
      </c>
      <c r="E663" s="145"/>
      <c r="F663" s="135" t="s">
        <v>487</v>
      </c>
      <c r="G663" s="135" t="s">
        <v>487</v>
      </c>
      <c r="H663" s="135" t="s">
        <v>487</v>
      </c>
      <c r="I663" s="135" t="s">
        <v>487</v>
      </c>
      <c r="J663" s="135" t="s">
        <v>487</v>
      </c>
      <c r="K663" s="145"/>
      <c r="L663" s="135" t="s">
        <v>487</v>
      </c>
      <c r="M663" s="135" t="s">
        <v>487</v>
      </c>
    </row>
    <row r="664" spans="1:13" s="136" customFormat="1" ht="12.75">
      <c r="B664" s="132">
        <v>89</v>
      </c>
      <c r="C664" s="133" t="s">
        <v>563</v>
      </c>
      <c r="D664" s="134">
        <f>SUM(E664:M664)</f>
        <v>0</v>
      </c>
      <c r="E664" s="144"/>
      <c r="F664" s="135" t="s">
        <v>487</v>
      </c>
      <c r="G664" s="153" t="s">
        <v>487</v>
      </c>
      <c r="H664" s="156" t="s">
        <v>487</v>
      </c>
      <c r="I664" s="153" t="s">
        <v>487</v>
      </c>
      <c r="J664" s="153" t="s">
        <v>487</v>
      </c>
      <c r="K664" s="153" t="s">
        <v>487</v>
      </c>
      <c r="L664" s="153" t="s">
        <v>487</v>
      </c>
    </row>
    <row r="665" spans="1:13" s="136" customFormat="1" ht="12.75">
      <c r="B665" s="132">
        <v>98</v>
      </c>
      <c r="C665" s="133" t="s">
        <v>127</v>
      </c>
      <c r="D665" s="134">
        <f>SUM(E665:M665)</f>
        <v>0</v>
      </c>
      <c r="E665" s="145"/>
      <c r="F665" s="135" t="s">
        <v>487</v>
      </c>
      <c r="G665" s="145"/>
      <c r="H665" s="145"/>
      <c r="I665" s="145"/>
      <c r="J665" s="145"/>
      <c r="K665" s="145"/>
      <c r="L665" s="145"/>
      <c r="M665" s="145"/>
    </row>
    <row r="666" spans="1:13" s="136" customFormat="1" ht="15">
      <c r="B666" s="132">
        <v>99</v>
      </c>
      <c r="C666" s="133" t="s">
        <v>442</v>
      </c>
      <c r="D666" s="119">
        <f>SUM(E666:F666)</f>
        <v>0</v>
      </c>
      <c r="E666" s="119"/>
      <c r="F666" s="119"/>
      <c r="G666" s="137" t="s">
        <v>487</v>
      </c>
      <c r="H666" s="137" t="s">
        <v>487</v>
      </c>
      <c r="I666" s="137" t="s">
        <v>487</v>
      </c>
      <c r="J666" s="137" t="s">
        <v>487</v>
      </c>
      <c r="K666" s="137" t="s">
        <v>487</v>
      </c>
      <c r="L666" s="137" t="s">
        <v>487</v>
      </c>
      <c r="M666" s="137" t="s">
        <v>487</v>
      </c>
    </row>
    <row r="667" spans="1:13" s="140" customFormat="1" ht="15">
      <c r="A667" s="136"/>
      <c r="B667" s="146"/>
      <c r="C667" s="122" t="s">
        <v>489</v>
      </c>
      <c r="D667" s="139">
        <f t="shared" ref="D667:M667" si="89">SUM(D662:D666)</f>
        <v>0</v>
      </c>
      <c r="E667" s="139">
        <f t="shared" si="89"/>
        <v>0</v>
      </c>
      <c r="F667" s="139">
        <f t="shared" si="89"/>
        <v>0</v>
      </c>
      <c r="G667" s="139">
        <f t="shared" si="89"/>
        <v>0</v>
      </c>
      <c r="H667" s="139">
        <f t="shared" si="89"/>
        <v>0</v>
      </c>
      <c r="I667" s="139">
        <f t="shared" si="89"/>
        <v>0</v>
      </c>
      <c r="J667" s="139">
        <f t="shared" si="89"/>
        <v>0</v>
      </c>
      <c r="K667" s="139">
        <f t="shared" si="89"/>
        <v>0</v>
      </c>
      <c r="L667" s="139">
        <f t="shared" si="89"/>
        <v>0</v>
      </c>
      <c r="M667" s="139">
        <f t="shared" si="89"/>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527</v>
      </c>
      <c r="C670" s="133"/>
      <c r="D670" s="133"/>
      <c r="E670" s="133"/>
      <c r="F670" s="133"/>
      <c r="G670" s="133"/>
      <c r="H670" s="133"/>
      <c r="I670" s="143" t="s">
        <v>444</v>
      </c>
      <c r="J670" s="133"/>
      <c r="K670" s="133"/>
      <c r="L670" s="133"/>
      <c r="M670" s="133"/>
    </row>
    <row r="671" spans="1:13" s="136" customFormat="1" ht="12.75">
      <c r="B671" s="132"/>
      <c r="C671" s="133"/>
      <c r="D671" s="133"/>
      <c r="E671" s="143" t="s">
        <v>471</v>
      </c>
      <c r="F671" s="143" t="s">
        <v>472</v>
      </c>
      <c r="G671" s="143" t="s">
        <v>473</v>
      </c>
      <c r="H671" s="143" t="s">
        <v>474</v>
      </c>
      <c r="I671" s="143" t="s">
        <v>475</v>
      </c>
      <c r="J671" s="129" t="s">
        <v>476</v>
      </c>
      <c r="K671" s="143" t="s">
        <v>477</v>
      </c>
      <c r="L671" s="133"/>
      <c r="M671" s="143" t="s">
        <v>478</v>
      </c>
    </row>
    <row r="672" spans="1:13" s="136" customFormat="1" ht="12.75">
      <c r="B672" s="132"/>
      <c r="C672" s="143" t="s">
        <v>479</v>
      </c>
      <c r="D672" s="143" t="s">
        <v>480</v>
      </c>
      <c r="E672" s="143" t="s">
        <v>481</v>
      </c>
      <c r="F672" s="143" t="s">
        <v>481</v>
      </c>
      <c r="G672" s="143" t="s">
        <v>482</v>
      </c>
      <c r="H672" s="143" t="s">
        <v>482</v>
      </c>
      <c r="I672" s="143" t="s">
        <v>483</v>
      </c>
      <c r="J672" s="129" t="s">
        <v>484</v>
      </c>
      <c r="K672" s="143" t="s">
        <v>485</v>
      </c>
      <c r="L672" s="143" t="s">
        <v>457</v>
      </c>
      <c r="M672" s="143" t="s">
        <v>486</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90">SUM(E674:M674)</f>
        <v>0</v>
      </c>
      <c r="E674" s="145"/>
      <c r="F674" s="135" t="s">
        <v>487</v>
      </c>
      <c r="G674" s="145"/>
      <c r="H674" s="145"/>
      <c r="I674" s="145"/>
      <c r="J674" s="145"/>
      <c r="K674" s="145"/>
      <c r="L674" s="145"/>
      <c r="M674" s="145"/>
    </row>
    <row r="675" spans="1:13" s="136" customFormat="1" ht="12.75">
      <c r="B675" s="132">
        <v>26</v>
      </c>
      <c r="C675" s="133" t="s">
        <v>702</v>
      </c>
      <c r="D675" s="134">
        <f t="shared" si="90"/>
        <v>0</v>
      </c>
      <c r="E675" s="145"/>
      <c r="F675" s="135" t="s">
        <v>487</v>
      </c>
      <c r="G675" s="145"/>
      <c r="H675" s="145"/>
      <c r="I675" s="145"/>
      <c r="J675" s="145"/>
      <c r="K675" s="145"/>
      <c r="L675" s="145"/>
      <c r="M675" s="145"/>
    </row>
    <row r="676" spans="1:13" s="136" customFormat="1" ht="12.75">
      <c r="B676" s="132">
        <v>27</v>
      </c>
      <c r="C676" s="133" t="s">
        <v>182</v>
      </c>
      <c r="D676" s="134">
        <f t="shared" si="90"/>
        <v>0</v>
      </c>
      <c r="E676" s="145"/>
      <c r="F676" s="135" t="s">
        <v>487</v>
      </c>
      <c r="G676" s="145"/>
      <c r="H676" s="145"/>
      <c r="I676" s="145"/>
      <c r="J676" s="145"/>
      <c r="K676" s="145"/>
      <c r="L676" s="145"/>
      <c r="M676" s="145"/>
    </row>
    <row r="677" spans="1:13" s="136" customFormat="1" ht="12.75">
      <c r="B677" s="132">
        <v>60</v>
      </c>
      <c r="C677" s="133" t="s">
        <v>190</v>
      </c>
      <c r="D677" s="134">
        <f t="shared" si="90"/>
        <v>0</v>
      </c>
      <c r="E677" s="145"/>
      <c r="F677" s="135" t="s">
        <v>487</v>
      </c>
      <c r="G677" s="145"/>
      <c r="H677" s="145"/>
      <c r="I677" s="145"/>
      <c r="J677" s="145"/>
      <c r="K677" s="145"/>
      <c r="L677" s="145"/>
      <c r="M677" s="145"/>
    </row>
    <row r="678" spans="1:13" s="136" customFormat="1" ht="12.75">
      <c r="B678" s="132">
        <v>83</v>
      </c>
      <c r="C678" s="133" t="s">
        <v>124</v>
      </c>
      <c r="D678" s="134">
        <f t="shared" si="90"/>
        <v>0</v>
      </c>
      <c r="E678" s="145"/>
      <c r="F678" s="135" t="s">
        <v>487</v>
      </c>
      <c r="G678" s="135" t="s">
        <v>487</v>
      </c>
      <c r="H678" s="135" t="s">
        <v>487</v>
      </c>
      <c r="I678" s="135" t="s">
        <v>487</v>
      </c>
      <c r="J678" s="135" t="s">
        <v>487</v>
      </c>
      <c r="K678" s="145"/>
      <c r="L678" s="135" t="s">
        <v>487</v>
      </c>
      <c r="M678" s="135" t="s">
        <v>487</v>
      </c>
    </row>
    <row r="679" spans="1:13" s="136" customFormat="1" ht="12.75">
      <c r="B679" s="132">
        <v>89</v>
      </c>
      <c r="C679" s="133" t="s">
        <v>563</v>
      </c>
      <c r="D679" s="134">
        <f t="shared" si="90"/>
        <v>0</v>
      </c>
      <c r="E679" s="144"/>
      <c r="F679" s="135" t="s">
        <v>487</v>
      </c>
      <c r="G679" s="153" t="s">
        <v>487</v>
      </c>
      <c r="H679" s="156" t="s">
        <v>487</v>
      </c>
      <c r="I679" s="153" t="s">
        <v>487</v>
      </c>
      <c r="J679" s="153" t="s">
        <v>487</v>
      </c>
      <c r="K679" s="153" t="s">
        <v>487</v>
      </c>
      <c r="L679" s="153" t="s">
        <v>487</v>
      </c>
    </row>
    <row r="680" spans="1:13" s="136" customFormat="1" ht="12.75">
      <c r="B680" s="132">
        <v>98</v>
      </c>
      <c r="C680" s="133" t="s">
        <v>127</v>
      </c>
      <c r="D680" s="134">
        <f t="shared" si="90"/>
        <v>380337.61999999994</v>
      </c>
      <c r="E680" s="145">
        <v>17701.78</v>
      </c>
      <c r="F680" s="135" t="s">
        <v>487</v>
      </c>
      <c r="G680" s="145"/>
      <c r="H680" s="145">
        <f>600+203800.96</f>
        <v>204400.96</v>
      </c>
      <c r="I680" s="145">
        <f>45.08+82671.09</f>
        <v>82716.17</v>
      </c>
      <c r="J680" s="145">
        <v>3119.91</v>
      </c>
      <c r="K680" s="145">
        <v>62246.5</v>
      </c>
      <c r="L680" s="145">
        <v>10152.299999999999</v>
      </c>
      <c r="M680" s="145"/>
    </row>
    <row r="681" spans="1:13" s="136" customFormat="1" ht="15">
      <c r="B681" s="132">
        <v>99</v>
      </c>
      <c r="C681" s="133" t="s">
        <v>442</v>
      </c>
      <c r="D681" s="119">
        <f>SUM(E681:F681)</f>
        <v>0</v>
      </c>
      <c r="E681" s="119"/>
      <c r="F681" s="119"/>
      <c r="G681" s="137" t="s">
        <v>487</v>
      </c>
      <c r="H681" s="137" t="s">
        <v>487</v>
      </c>
      <c r="I681" s="137" t="s">
        <v>487</v>
      </c>
      <c r="J681" s="137" t="s">
        <v>487</v>
      </c>
      <c r="K681" s="137" t="s">
        <v>487</v>
      </c>
      <c r="L681" s="137" t="s">
        <v>487</v>
      </c>
      <c r="M681" s="137" t="s">
        <v>487</v>
      </c>
    </row>
    <row r="682" spans="1:13" s="140" customFormat="1" ht="15">
      <c r="A682" s="136"/>
      <c r="B682" s="146"/>
      <c r="C682" s="122" t="s">
        <v>489</v>
      </c>
      <c r="D682" s="139">
        <f t="shared" ref="D682:M682" si="91">SUM(D674:D681)</f>
        <v>380337.61999999994</v>
      </c>
      <c r="E682" s="139">
        <f t="shared" si="91"/>
        <v>17701.78</v>
      </c>
      <c r="F682" s="139">
        <f t="shared" si="91"/>
        <v>0</v>
      </c>
      <c r="G682" s="139">
        <f t="shared" si="91"/>
        <v>0</v>
      </c>
      <c r="H682" s="139">
        <f t="shared" si="91"/>
        <v>204400.96</v>
      </c>
      <c r="I682" s="139">
        <f t="shared" si="91"/>
        <v>82716.17</v>
      </c>
      <c r="J682" s="139">
        <f t="shared" si="91"/>
        <v>3119.91</v>
      </c>
      <c r="K682" s="139">
        <f t="shared" si="91"/>
        <v>62246.5</v>
      </c>
      <c r="L682" s="139">
        <f t="shared" si="91"/>
        <v>10152.299999999999</v>
      </c>
      <c r="M682" s="139">
        <f t="shared" si="91"/>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528</v>
      </c>
      <c r="C685" s="133"/>
      <c r="D685" s="133"/>
      <c r="E685" s="133"/>
      <c r="F685" s="152"/>
      <c r="G685" s="152"/>
      <c r="H685" s="133"/>
      <c r="I685" s="143" t="s">
        <v>444</v>
      </c>
      <c r="J685" s="133"/>
      <c r="K685" s="133"/>
      <c r="L685" s="133"/>
      <c r="M685" s="133"/>
    </row>
    <row r="686" spans="1:13" s="136" customFormat="1" ht="12.75">
      <c r="B686" s="132"/>
      <c r="C686" s="133"/>
      <c r="D686" s="133"/>
      <c r="E686" s="143" t="s">
        <v>471</v>
      </c>
      <c r="F686" s="143" t="s">
        <v>472</v>
      </c>
      <c r="G686" s="143" t="s">
        <v>473</v>
      </c>
      <c r="H686" s="143" t="s">
        <v>474</v>
      </c>
      <c r="I686" s="143" t="s">
        <v>475</v>
      </c>
      <c r="J686" s="129" t="s">
        <v>476</v>
      </c>
      <c r="K686" s="143" t="s">
        <v>477</v>
      </c>
      <c r="L686" s="133"/>
      <c r="M686" s="143" t="s">
        <v>478</v>
      </c>
    </row>
    <row r="687" spans="1:13" s="136" customFormat="1" ht="12.75">
      <c r="B687" s="132"/>
      <c r="C687" s="143" t="s">
        <v>479</v>
      </c>
      <c r="D687" s="143" t="s">
        <v>480</v>
      </c>
      <c r="E687" s="143" t="s">
        <v>481</v>
      </c>
      <c r="F687" s="143" t="s">
        <v>481</v>
      </c>
      <c r="G687" s="143" t="s">
        <v>482</v>
      </c>
      <c r="H687" s="143" t="s">
        <v>482</v>
      </c>
      <c r="I687" s="143" t="s">
        <v>483</v>
      </c>
      <c r="J687" s="129" t="s">
        <v>484</v>
      </c>
      <c r="K687" s="143" t="s">
        <v>485</v>
      </c>
      <c r="L687" s="143" t="s">
        <v>457</v>
      </c>
      <c r="M687" s="143" t="s">
        <v>486</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487</v>
      </c>
      <c r="G689" s="145"/>
      <c r="H689" s="145"/>
      <c r="I689" s="145"/>
      <c r="J689" s="145"/>
      <c r="K689" s="145"/>
      <c r="L689" s="145"/>
      <c r="M689" s="145"/>
    </row>
    <row r="690" spans="1:13" s="136" customFormat="1" ht="12.75">
      <c r="B690" s="132">
        <v>83</v>
      </c>
      <c r="C690" s="133" t="s">
        <v>124</v>
      </c>
      <c r="D690" s="134">
        <f>SUM(E690:M690)</f>
        <v>0</v>
      </c>
      <c r="E690" s="145"/>
      <c r="F690" s="135" t="s">
        <v>487</v>
      </c>
      <c r="G690" s="135" t="s">
        <v>487</v>
      </c>
      <c r="H690" s="135" t="s">
        <v>487</v>
      </c>
      <c r="I690" s="135" t="s">
        <v>487</v>
      </c>
      <c r="J690" s="153" t="s">
        <v>487</v>
      </c>
      <c r="K690" s="145"/>
      <c r="L690" s="135" t="s">
        <v>487</v>
      </c>
      <c r="M690" s="135" t="s">
        <v>487</v>
      </c>
    </row>
    <row r="691" spans="1:13" s="136" customFormat="1" ht="12.75">
      <c r="B691" s="132">
        <v>89</v>
      </c>
      <c r="C691" s="133" t="s">
        <v>563</v>
      </c>
      <c r="D691" s="134">
        <f>SUM(E691:M691)</f>
        <v>0</v>
      </c>
      <c r="E691" s="144"/>
      <c r="F691" s="135" t="s">
        <v>487</v>
      </c>
      <c r="G691" s="153" t="s">
        <v>487</v>
      </c>
      <c r="H691" s="156" t="s">
        <v>487</v>
      </c>
      <c r="I691" s="153" t="s">
        <v>487</v>
      </c>
      <c r="J691" s="153" t="s">
        <v>487</v>
      </c>
      <c r="K691" s="153" t="s">
        <v>487</v>
      </c>
      <c r="L691" s="153" t="s">
        <v>487</v>
      </c>
    </row>
    <row r="692" spans="1:13" s="136" customFormat="1" ht="12.75">
      <c r="B692" s="132">
        <v>98</v>
      </c>
      <c r="C692" s="133" t="s">
        <v>127</v>
      </c>
      <c r="D692" s="134">
        <f>SUM(E692:M692)</f>
        <v>20658.34</v>
      </c>
      <c r="E692" s="145">
        <v>3263.65</v>
      </c>
      <c r="F692" s="135" t="s">
        <v>487</v>
      </c>
      <c r="G692" s="145"/>
      <c r="H692" s="145">
        <v>11751.57</v>
      </c>
      <c r="I692" s="145">
        <v>5373.32</v>
      </c>
      <c r="J692" s="145"/>
      <c r="K692" s="145">
        <v>50.16</v>
      </c>
      <c r="L692" s="145">
        <v>219.64</v>
      </c>
      <c r="M692" s="145"/>
    </row>
    <row r="693" spans="1:13" s="136" customFormat="1" ht="15">
      <c r="B693" s="132">
        <v>99</v>
      </c>
      <c r="C693" s="133" t="s">
        <v>442</v>
      </c>
      <c r="D693" s="119">
        <f>SUM(E693:F693)</f>
        <v>0</v>
      </c>
      <c r="E693" s="119"/>
      <c r="F693" s="119"/>
      <c r="G693" s="137" t="s">
        <v>487</v>
      </c>
      <c r="H693" s="137" t="s">
        <v>487</v>
      </c>
      <c r="I693" s="137" t="s">
        <v>487</v>
      </c>
      <c r="J693" s="137" t="s">
        <v>487</v>
      </c>
      <c r="K693" s="137" t="s">
        <v>487</v>
      </c>
      <c r="L693" s="137" t="s">
        <v>487</v>
      </c>
      <c r="M693" s="137" t="s">
        <v>487</v>
      </c>
    </row>
    <row r="694" spans="1:13" s="140" customFormat="1" ht="15">
      <c r="A694" s="136"/>
      <c r="B694" s="146"/>
      <c r="C694" s="122" t="s">
        <v>489</v>
      </c>
      <c r="D694" s="139">
        <f t="shared" ref="D694:M694" si="92">SUM(D689:D693)</f>
        <v>20658.34</v>
      </c>
      <c r="E694" s="139">
        <f t="shared" si="92"/>
        <v>3263.65</v>
      </c>
      <c r="F694" s="139">
        <f t="shared" si="92"/>
        <v>0</v>
      </c>
      <c r="G694" s="139">
        <f t="shared" si="92"/>
        <v>0</v>
      </c>
      <c r="H694" s="139">
        <f t="shared" si="92"/>
        <v>11751.57</v>
      </c>
      <c r="I694" s="139">
        <f t="shared" si="92"/>
        <v>5373.32</v>
      </c>
      <c r="J694" s="139">
        <f t="shared" si="92"/>
        <v>0</v>
      </c>
      <c r="K694" s="139">
        <f t="shared" si="92"/>
        <v>50.16</v>
      </c>
      <c r="L694" s="139">
        <f t="shared" si="92"/>
        <v>219.64</v>
      </c>
      <c r="M694" s="139">
        <f t="shared" si="92"/>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529</v>
      </c>
      <c r="C697" s="133"/>
      <c r="D697" s="133"/>
      <c r="E697" s="133"/>
      <c r="F697" s="143"/>
      <c r="G697" s="133"/>
      <c r="H697" s="133"/>
      <c r="I697" s="143" t="s">
        <v>444</v>
      </c>
      <c r="J697" s="133"/>
      <c r="K697" s="133"/>
      <c r="L697" s="133"/>
      <c r="M697" s="133"/>
    </row>
    <row r="698" spans="1:13" s="136" customFormat="1" ht="12.75">
      <c r="B698" s="132"/>
      <c r="C698" s="133"/>
      <c r="D698" s="133"/>
      <c r="E698" s="143" t="s">
        <v>471</v>
      </c>
      <c r="F698" s="143" t="s">
        <v>472</v>
      </c>
      <c r="G698" s="143" t="s">
        <v>473</v>
      </c>
      <c r="H698" s="143" t="s">
        <v>474</v>
      </c>
      <c r="I698" s="143" t="s">
        <v>475</v>
      </c>
      <c r="J698" s="129" t="s">
        <v>476</v>
      </c>
      <c r="K698" s="143" t="s">
        <v>477</v>
      </c>
      <c r="L698" s="133"/>
      <c r="M698" s="143" t="s">
        <v>478</v>
      </c>
    </row>
    <row r="699" spans="1:13" s="136" customFormat="1" ht="12.75">
      <c r="B699" s="132"/>
      <c r="C699" s="143" t="s">
        <v>479</v>
      </c>
      <c r="D699" s="143" t="s">
        <v>480</v>
      </c>
      <c r="E699" s="143" t="s">
        <v>481</v>
      </c>
      <c r="F699" s="143" t="s">
        <v>481</v>
      </c>
      <c r="G699" s="143" t="s">
        <v>482</v>
      </c>
      <c r="H699" s="143" t="s">
        <v>482</v>
      </c>
      <c r="I699" s="143" t="s">
        <v>483</v>
      </c>
      <c r="J699" s="129" t="s">
        <v>484</v>
      </c>
      <c r="K699" s="143" t="s">
        <v>485</v>
      </c>
      <c r="L699" s="143" t="s">
        <v>457</v>
      </c>
      <c r="M699" s="143" t="s">
        <v>486</v>
      </c>
    </row>
    <row r="700" spans="1:13" s="136" customFormat="1" ht="12.75">
      <c r="B700" s="132"/>
      <c r="C700" s="133"/>
      <c r="D700" s="133"/>
      <c r="E700" s="143" t="s">
        <v>503</v>
      </c>
      <c r="F700" s="143" t="s">
        <v>504</v>
      </c>
      <c r="G700" s="143" t="s">
        <v>505</v>
      </c>
      <c r="H700" s="143" t="s">
        <v>506</v>
      </c>
      <c r="I700" s="143" t="s">
        <v>507</v>
      </c>
      <c r="J700" s="143" t="s">
        <v>508</v>
      </c>
      <c r="K700" s="143" t="s">
        <v>454</v>
      </c>
      <c r="L700" s="143" t="s">
        <v>456</v>
      </c>
      <c r="M700" s="143" t="s">
        <v>458</v>
      </c>
    </row>
    <row r="701" spans="1:13" s="136" customFormat="1" ht="12.75">
      <c r="B701" s="132">
        <v>60</v>
      </c>
      <c r="C701" s="133" t="s">
        <v>190</v>
      </c>
      <c r="D701" s="134">
        <f>SUM(E701:M701)</f>
        <v>0</v>
      </c>
      <c r="E701" s="145"/>
      <c r="F701" s="135" t="s">
        <v>487</v>
      </c>
      <c r="G701" s="145"/>
      <c r="H701" s="145"/>
      <c r="I701" s="145"/>
      <c r="J701" s="145"/>
      <c r="K701" s="145"/>
      <c r="L701" s="145"/>
      <c r="M701" s="145"/>
    </row>
    <row r="702" spans="1:13" s="136" customFormat="1" ht="12.75">
      <c r="B702" s="132">
        <v>83</v>
      </c>
      <c r="C702" s="133" t="s">
        <v>124</v>
      </c>
      <c r="D702" s="134">
        <f>SUM(E702:M702)</f>
        <v>0</v>
      </c>
      <c r="E702" s="145"/>
      <c r="F702" s="135" t="s">
        <v>487</v>
      </c>
      <c r="G702" s="135" t="s">
        <v>487</v>
      </c>
      <c r="H702" s="135" t="s">
        <v>487</v>
      </c>
      <c r="I702" s="135" t="s">
        <v>487</v>
      </c>
      <c r="J702" s="135" t="s">
        <v>487</v>
      </c>
      <c r="K702" s="145"/>
      <c r="L702" s="135" t="s">
        <v>487</v>
      </c>
      <c r="M702" s="135" t="s">
        <v>487</v>
      </c>
    </row>
    <row r="703" spans="1:13" s="136" customFormat="1" ht="12.75">
      <c r="B703" s="132">
        <v>89</v>
      </c>
      <c r="C703" s="133" t="s">
        <v>563</v>
      </c>
      <c r="D703" s="134">
        <f>SUM(E703:M703)</f>
        <v>0</v>
      </c>
      <c r="E703" s="144"/>
      <c r="F703" s="135" t="s">
        <v>487</v>
      </c>
      <c r="G703" s="153" t="s">
        <v>487</v>
      </c>
      <c r="H703" s="156" t="s">
        <v>487</v>
      </c>
      <c r="I703" s="153" t="s">
        <v>487</v>
      </c>
      <c r="J703" s="153" t="s">
        <v>487</v>
      </c>
      <c r="K703" s="153" t="s">
        <v>487</v>
      </c>
      <c r="L703" s="153" t="s">
        <v>487</v>
      </c>
    </row>
    <row r="704" spans="1:13" s="136" customFormat="1" ht="12.75">
      <c r="B704" s="132">
        <v>98</v>
      </c>
      <c r="C704" s="133" t="s">
        <v>127</v>
      </c>
      <c r="D704" s="134">
        <f>SUM(E704:M704)</f>
        <v>0</v>
      </c>
      <c r="E704" s="145"/>
      <c r="F704" s="135" t="s">
        <v>487</v>
      </c>
      <c r="G704" s="145"/>
      <c r="H704" s="145"/>
      <c r="I704" s="145"/>
      <c r="J704" s="145"/>
      <c r="K704" s="145"/>
      <c r="L704" s="145"/>
      <c r="M704" s="145"/>
    </row>
    <row r="705" spans="1:13" s="136" customFormat="1" ht="15">
      <c r="B705" s="132">
        <v>99</v>
      </c>
      <c r="C705" s="133" t="s">
        <v>442</v>
      </c>
      <c r="D705" s="119">
        <f>SUM(E705:F705)</f>
        <v>0</v>
      </c>
      <c r="E705" s="119"/>
      <c r="F705" s="119"/>
      <c r="G705" s="137" t="s">
        <v>487</v>
      </c>
      <c r="H705" s="137" t="s">
        <v>487</v>
      </c>
      <c r="I705" s="137" t="s">
        <v>487</v>
      </c>
      <c r="J705" s="137" t="s">
        <v>487</v>
      </c>
      <c r="K705" s="137" t="s">
        <v>487</v>
      </c>
      <c r="L705" s="137" t="s">
        <v>487</v>
      </c>
      <c r="M705" s="137" t="s">
        <v>487</v>
      </c>
    </row>
    <row r="706" spans="1:13" s="140" customFormat="1" ht="15">
      <c r="A706" s="136"/>
      <c r="B706" s="146"/>
      <c r="C706" s="122" t="s">
        <v>489</v>
      </c>
      <c r="D706" s="139">
        <f t="shared" ref="D706:M706" si="93">SUM(D701:D705)</f>
        <v>0</v>
      </c>
      <c r="E706" s="139">
        <f t="shared" si="93"/>
        <v>0</v>
      </c>
      <c r="F706" s="139">
        <f t="shared" si="93"/>
        <v>0</v>
      </c>
      <c r="G706" s="139">
        <f t="shared" si="93"/>
        <v>0</v>
      </c>
      <c r="H706" s="139">
        <f t="shared" si="93"/>
        <v>0</v>
      </c>
      <c r="I706" s="139">
        <f t="shared" si="93"/>
        <v>0</v>
      </c>
      <c r="J706" s="139">
        <f t="shared" si="93"/>
        <v>0</v>
      </c>
      <c r="K706" s="139">
        <f t="shared" si="93"/>
        <v>0</v>
      </c>
      <c r="L706" s="139">
        <f t="shared" si="93"/>
        <v>0</v>
      </c>
      <c r="M706" s="139">
        <f t="shared" si="93"/>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530</v>
      </c>
      <c r="C709" s="133"/>
      <c r="D709" s="133"/>
      <c r="E709" s="133"/>
      <c r="F709" s="133"/>
      <c r="G709" s="133"/>
      <c r="H709" s="133"/>
      <c r="I709" s="143" t="s">
        <v>444</v>
      </c>
      <c r="J709" s="133"/>
      <c r="K709" s="133"/>
      <c r="L709" s="133"/>
      <c r="M709" s="133"/>
    </row>
    <row r="710" spans="1:13" s="136" customFormat="1" ht="12.75">
      <c r="B710" s="132"/>
      <c r="C710" s="133"/>
      <c r="D710" s="133"/>
      <c r="E710" s="143" t="s">
        <v>471</v>
      </c>
      <c r="F710" s="143" t="s">
        <v>472</v>
      </c>
      <c r="G710" s="143" t="s">
        <v>473</v>
      </c>
      <c r="H710" s="143" t="s">
        <v>474</v>
      </c>
      <c r="I710" s="143" t="s">
        <v>475</v>
      </c>
      <c r="J710" s="129" t="s">
        <v>476</v>
      </c>
      <c r="K710" s="143" t="s">
        <v>477</v>
      </c>
      <c r="L710" s="133"/>
      <c r="M710" s="143" t="s">
        <v>478</v>
      </c>
    </row>
    <row r="711" spans="1:13" s="136" customFormat="1" ht="12.75">
      <c r="B711" s="132"/>
      <c r="C711" s="143" t="s">
        <v>479</v>
      </c>
      <c r="D711" s="143" t="s">
        <v>480</v>
      </c>
      <c r="E711" s="143" t="s">
        <v>481</v>
      </c>
      <c r="F711" s="143" t="s">
        <v>481</v>
      </c>
      <c r="G711" s="143" t="s">
        <v>482</v>
      </c>
      <c r="H711" s="143" t="s">
        <v>482</v>
      </c>
      <c r="I711" s="143" t="s">
        <v>483</v>
      </c>
      <c r="J711" s="129" t="s">
        <v>484</v>
      </c>
      <c r="K711" s="143" t="s">
        <v>485</v>
      </c>
      <c r="L711" s="143" t="s">
        <v>457</v>
      </c>
      <c r="M711" s="143" t="s">
        <v>486</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487</v>
      </c>
      <c r="G713" s="145"/>
      <c r="H713" s="145"/>
      <c r="I713" s="145"/>
      <c r="J713" s="145"/>
      <c r="K713" s="145"/>
      <c r="L713" s="145"/>
      <c r="M713" s="145"/>
    </row>
    <row r="714" spans="1:13" s="136" customFormat="1" ht="12.75">
      <c r="B714" s="132">
        <v>83</v>
      </c>
      <c r="C714" s="133" t="s">
        <v>124</v>
      </c>
      <c r="D714" s="134">
        <f>SUM(E714:M714)</f>
        <v>0</v>
      </c>
      <c r="E714" s="145"/>
      <c r="F714" s="135" t="s">
        <v>487</v>
      </c>
      <c r="G714" s="135" t="s">
        <v>487</v>
      </c>
      <c r="H714" s="135" t="s">
        <v>487</v>
      </c>
      <c r="I714" s="135" t="s">
        <v>487</v>
      </c>
      <c r="J714" s="135" t="s">
        <v>487</v>
      </c>
      <c r="K714" s="145"/>
      <c r="L714" s="135" t="s">
        <v>487</v>
      </c>
      <c r="M714" s="135" t="s">
        <v>487</v>
      </c>
    </row>
    <row r="715" spans="1:13" s="136" customFormat="1" ht="12.75">
      <c r="B715" s="132">
        <v>89</v>
      </c>
      <c r="C715" s="133" t="s">
        <v>563</v>
      </c>
      <c r="D715" s="134">
        <f>SUM(E715:M715)</f>
        <v>0</v>
      </c>
      <c r="E715" s="144"/>
      <c r="F715" s="135" t="s">
        <v>487</v>
      </c>
      <c r="G715" s="153" t="s">
        <v>487</v>
      </c>
      <c r="H715" s="156" t="s">
        <v>487</v>
      </c>
      <c r="I715" s="153" t="s">
        <v>487</v>
      </c>
      <c r="J715" s="153" t="s">
        <v>487</v>
      </c>
      <c r="K715" s="153" t="s">
        <v>487</v>
      </c>
      <c r="L715" s="153" t="s">
        <v>487</v>
      </c>
    </row>
    <row r="716" spans="1:13" s="136" customFormat="1" ht="12.75">
      <c r="B716" s="132">
        <v>98</v>
      </c>
      <c r="C716" s="133" t="s">
        <v>127</v>
      </c>
      <c r="D716" s="134">
        <f>SUM(E716:M716)</f>
        <v>131651.18000000002</v>
      </c>
      <c r="E716" s="145">
        <v>711.43</v>
      </c>
      <c r="F716" s="135" t="s">
        <v>487</v>
      </c>
      <c r="G716" s="145"/>
      <c r="H716" s="145">
        <v>14662.97</v>
      </c>
      <c r="I716" s="145">
        <v>5990</v>
      </c>
      <c r="J716" s="145">
        <v>1152.25</v>
      </c>
      <c r="K716" s="145">
        <v>108719.21</v>
      </c>
      <c r="L716" s="145">
        <v>415.32</v>
      </c>
      <c r="M716" s="145"/>
    </row>
    <row r="717" spans="1:13" s="136" customFormat="1" ht="15">
      <c r="B717" s="132">
        <v>99</v>
      </c>
      <c r="C717" s="133" t="s">
        <v>442</v>
      </c>
      <c r="D717" s="119">
        <f>SUM(E717:F717)</f>
        <v>0</v>
      </c>
      <c r="E717" s="119"/>
      <c r="F717" s="119"/>
      <c r="G717" s="137" t="s">
        <v>487</v>
      </c>
      <c r="H717" s="137" t="s">
        <v>487</v>
      </c>
      <c r="I717" s="137" t="s">
        <v>487</v>
      </c>
      <c r="J717" s="137" t="s">
        <v>487</v>
      </c>
      <c r="K717" s="137" t="s">
        <v>487</v>
      </c>
      <c r="L717" s="137" t="s">
        <v>487</v>
      </c>
      <c r="M717" s="137" t="s">
        <v>487</v>
      </c>
    </row>
    <row r="718" spans="1:13" s="140" customFormat="1" ht="15">
      <c r="A718" s="136"/>
      <c r="B718" s="146"/>
      <c r="C718" s="122" t="s">
        <v>489</v>
      </c>
      <c r="D718" s="139">
        <f t="shared" ref="D718:M718" si="94">SUM(D713:D717)</f>
        <v>131651.18000000002</v>
      </c>
      <c r="E718" s="139">
        <f t="shared" si="94"/>
        <v>711.43</v>
      </c>
      <c r="F718" s="139">
        <f t="shared" si="94"/>
        <v>0</v>
      </c>
      <c r="G718" s="139">
        <f t="shared" si="94"/>
        <v>0</v>
      </c>
      <c r="H718" s="139">
        <f t="shared" si="94"/>
        <v>14662.97</v>
      </c>
      <c r="I718" s="139">
        <f t="shared" si="94"/>
        <v>5990</v>
      </c>
      <c r="J718" s="139">
        <f t="shared" si="94"/>
        <v>1152.25</v>
      </c>
      <c r="K718" s="139">
        <f t="shared" si="94"/>
        <v>108719.21</v>
      </c>
      <c r="L718" s="139">
        <f t="shared" si="94"/>
        <v>415.32</v>
      </c>
      <c r="M718" s="139">
        <f t="shared" si="94"/>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531</v>
      </c>
      <c r="C721" s="133"/>
      <c r="D721" s="133"/>
      <c r="E721" s="133"/>
      <c r="F721" s="133"/>
      <c r="G721" s="133"/>
      <c r="H721" s="133"/>
      <c r="I721" s="143" t="s">
        <v>444</v>
      </c>
      <c r="J721" s="133"/>
      <c r="K721" s="133"/>
      <c r="L721" s="133"/>
      <c r="M721" s="133"/>
    </row>
    <row r="722" spans="1:13" s="136" customFormat="1" ht="12.75">
      <c r="B722" s="132"/>
      <c r="C722" s="133"/>
      <c r="D722" s="133"/>
      <c r="E722" s="143" t="s">
        <v>471</v>
      </c>
      <c r="F722" s="143" t="s">
        <v>472</v>
      </c>
      <c r="G722" s="143" t="s">
        <v>473</v>
      </c>
      <c r="H722" s="143" t="s">
        <v>474</v>
      </c>
      <c r="I722" s="143" t="s">
        <v>475</v>
      </c>
      <c r="J722" s="129" t="s">
        <v>476</v>
      </c>
      <c r="K722" s="143" t="s">
        <v>477</v>
      </c>
      <c r="L722" s="133"/>
      <c r="M722" s="143" t="s">
        <v>478</v>
      </c>
    </row>
    <row r="723" spans="1:13" s="136" customFormat="1" ht="12.75">
      <c r="B723" s="132"/>
      <c r="C723" s="143" t="s">
        <v>479</v>
      </c>
      <c r="D723" s="143" t="s">
        <v>480</v>
      </c>
      <c r="E723" s="143" t="s">
        <v>481</v>
      </c>
      <c r="F723" s="143" t="s">
        <v>481</v>
      </c>
      <c r="G723" s="143" t="s">
        <v>482</v>
      </c>
      <c r="H723" s="143" t="s">
        <v>482</v>
      </c>
      <c r="I723" s="143" t="s">
        <v>483</v>
      </c>
      <c r="J723" s="129" t="s">
        <v>484</v>
      </c>
      <c r="K723" s="143" t="s">
        <v>485</v>
      </c>
      <c r="L723" s="143" t="s">
        <v>457</v>
      </c>
      <c r="M723" s="143" t="s">
        <v>486</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487</v>
      </c>
      <c r="G725" s="145"/>
      <c r="H725" s="145"/>
      <c r="I725" s="145"/>
      <c r="J725" s="145"/>
      <c r="K725" s="145"/>
      <c r="L725" s="145"/>
      <c r="M725" s="145"/>
    </row>
    <row r="726" spans="1:13" s="136" customFormat="1" ht="12.75">
      <c r="B726" s="132">
        <v>83</v>
      </c>
      <c r="C726" s="133" t="s">
        <v>124</v>
      </c>
      <c r="D726" s="134">
        <f>SUM(E726:M726)</f>
        <v>0</v>
      </c>
      <c r="E726" s="145"/>
      <c r="F726" s="135" t="s">
        <v>487</v>
      </c>
      <c r="G726" s="135" t="s">
        <v>487</v>
      </c>
      <c r="H726" s="135" t="s">
        <v>487</v>
      </c>
      <c r="I726" s="135" t="s">
        <v>487</v>
      </c>
      <c r="J726" s="135" t="s">
        <v>487</v>
      </c>
      <c r="K726" s="145"/>
      <c r="L726" s="135" t="s">
        <v>487</v>
      </c>
      <c r="M726" s="135" t="s">
        <v>487</v>
      </c>
    </row>
    <row r="727" spans="1:13" s="136" customFormat="1" ht="12.75">
      <c r="B727" s="132">
        <v>89</v>
      </c>
      <c r="C727" s="133" t="s">
        <v>563</v>
      </c>
      <c r="D727" s="134">
        <f>SUM(E727:M727)</f>
        <v>0</v>
      </c>
      <c r="E727" s="144"/>
      <c r="F727" s="135" t="s">
        <v>487</v>
      </c>
      <c r="G727" s="153" t="s">
        <v>487</v>
      </c>
      <c r="H727" s="156" t="s">
        <v>487</v>
      </c>
      <c r="I727" s="153" t="s">
        <v>487</v>
      </c>
      <c r="J727" s="153" t="s">
        <v>487</v>
      </c>
      <c r="K727" s="153" t="s">
        <v>487</v>
      </c>
      <c r="L727" s="153" t="s">
        <v>487</v>
      </c>
    </row>
    <row r="728" spans="1:13" s="136" customFormat="1" ht="12.75">
      <c r="B728" s="132">
        <v>98</v>
      </c>
      <c r="C728" s="133" t="s">
        <v>127</v>
      </c>
      <c r="D728" s="134">
        <f>SUM(E728:M728)</f>
        <v>0</v>
      </c>
      <c r="E728" s="145"/>
      <c r="F728" s="135" t="s">
        <v>487</v>
      </c>
      <c r="G728" s="145"/>
      <c r="H728" s="145"/>
      <c r="I728" s="145"/>
      <c r="J728" s="145"/>
      <c r="K728" s="145"/>
      <c r="L728" s="145"/>
      <c r="M728" s="145"/>
    </row>
    <row r="729" spans="1:13" s="136" customFormat="1" ht="15">
      <c r="B729" s="132">
        <v>99</v>
      </c>
      <c r="C729" s="133" t="s">
        <v>442</v>
      </c>
      <c r="D729" s="119">
        <f>SUM(E729:F729)</f>
        <v>0</v>
      </c>
      <c r="E729" s="119"/>
      <c r="F729" s="119"/>
      <c r="G729" s="137" t="s">
        <v>487</v>
      </c>
      <c r="H729" s="137" t="s">
        <v>487</v>
      </c>
      <c r="I729" s="137" t="s">
        <v>487</v>
      </c>
      <c r="J729" s="137" t="s">
        <v>487</v>
      </c>
      <c r="K729" s="137" t="s">
        <v>487</v>
      </c>
      <c r="L729" s="137" t="s">
        <v>487</v>
      </c>
      <c r="M729" s="137" t="s">
        <v>487</v>
      </c>
    </row>
    <row r="730" spans="1:13" s="140" customFormat="1" ht="15">
      <c r="A730" s="136"/>
      <c r="B730" s="146"/>
      <c r="C730" s="122" t="s">
        <v>489</v>
      </c>
      <c r="D730" s="139">
        <f t="shared" ref="D730:M730" si="95">SUM(D725:D729)</f>
        <v>0</v>
      </c>
      <c r="E730" s="139">
        <f t="shared" si="95"/>
        <v>0</v>
      </c>
      <c r="F730" s="139">
        <f t="shared" si="95"/>
        <v>0</v>
      </c>
      <c r="G730" s="139">
        <f t="shared" si="95"/>
        <v>0</v>
      </c>
      <c r="H730" s="139">
        <f t="shared" si="95"/>
        <v>0</v>
      </c>
      <c r="I730" s="139">
        <f t="shared" si="95"/>
        <v>0</v>
      </c>
      <c r="J730" s="139">
        <f t="shared" si="95"/>
        <v>0</v>
      </c>
      <c r="K730" s="139">
        <f t="shared" si="95"/>
        <v>0</v>
      </c>
      <c r="L730" s="139">
        <f t="shared" si="95"/>
        <v>0</v>
      </c>
      <c r="M730" s="139">
        <f t="shared" si="95"/>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532</v>
      </c>
      <c r="C733" s="133"/>
      <c r="D733" s="133"/>
      <c r="E733" s="133"/>
      <c r="F733" s="133"/>
      <c r="G733" s="133"/>
      <c r="H733" s="133"/>
      <c r="I733" s="143" t="s">
        <v>444</v>
      </c>
      <c r="J733" s="133"/>
      <c r="K733" s="133"/>
      <c r="L733" s="133"/>
      <c r="M733" s="133"/>
    </row>
    <row r="734" spans="1:13" s="136" customFormat="1" ht="12.75">
      <c r="B734" s="132"/>
      <c r="C734" s="133"/>
      <c r="D734" s="133"/>
      <c r="E734" s="143" t="s">
        <v>471</v>
      </c>
      <c r="F734" s="143" t="s">
        <v>472</v>
      </c>
      <c r="G734" s="143" t="s">
        <v>473</v>
      </c>
      <c r="H734" s="143" t="s">
        <v>474</v>
      </c>
      <c r="I734" s="143" t="s">
        <v>475</v>
      </c>
      <c r="J734" s="129" t="s">
        <v>476</v>
      </c>
      <c r="K734" s="143" t="s">
        <v>477</v>
      </c>
      <c r="L734" s="133"/>
      <c r="M734" s="143" t="s">
        <v>478</v>
      </c>
    </row>
    <row r="735" spans="1:13" s="136" customFormat="1" ht="12.75">
      <c r="B735" s="132"/>
      <c r="C735" s="143" t="s">
        <v>479</v>
      </c>
      <c r="D735" s="143" t="s">
        <v>480</v>
      </c>
      <c r="E735" s="143" t="s">
        <v>481</v>
      </c>
      <c r="F735" s="143" t="s">
        <v>481</v>
      </c>
      <c r="G735" s="143" t="s">
        <v>482</v>
      </c>
      <c r="H735" s="143" t="s">
        <v>482</v>
      </c>
      <c r="I735" s="143" t="s">
        <v>483</v>
      </c>
      <c r="J735" s="129" t="s">
        <v>484</v>
      </c>
      <c r="K735" s="143" t="s">
        <v>485</v>
      </c>
      <c r="L735" s="143" t="s">
        <v>457</v>
      </c>
      <c r="M735" s="143" t="s">
        <v>486</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487</v>
      </c>
      <c r="G737" s="145"/>
      <c r="H737" s="145"/>
      <c r="I737" s="145"/>
      <c r="J737" s="145"/>
      <c r="K737" s="145"/>
      <c r="L737" s="145"/>
      <c r="M737" s="145"/>
    </row>
    <row r="738" spans="1:13" s="136" customFormat="1" ht="12.75">
      <c r="B738" s="132">
        <v>83</v>
      </c>
      <c r="C738" s="133" t="s">
        <v>124</v>
      </c>
      <c r="D738" s="134">
        <f>SUM(E738:M738)</f>
        <v>0</v>
      </c>
      <c r="E738" s="145"/>
      <c r="F738" s="135" t="s">
        <v>487</v>
      </c>
      <c r="G738" s="135" t="s">
        <v>487</v>
      </c>
      <c r="H738" s="135" t="s">
        <v>487</v>
      </c>
      <c r="I738" s="135" t="s">
        <v>487</v>
      </c>
      <c r="J738" s="135" t="s">
        <v>487</v>
      </c>
      <c r="K738" s="145"/>
      <c r="L738" s="135" t="s">
        <v>487</v>
      </c>
      <c r="M738" s="135" t="s">
        <v>487</v>
      </c>
    </row>
    <row r="739" spans="1:13" s="136" customFormat="1" ht="12.75">
      <c r="B739" s="132">
        <v>89</v>
      </c>
      <c r="C739" s="133" t="s">
        <v>563</v>
      </c>
      <c r="D739" s="134">
        <f>SUM(E739:M739)</f>
        <v>0</v>
      </c>
      <c r="E739" s="144"/>
      <c r="F739" s="135" t="s">
        <v>487</v>
      </c>
      <c r="G739" s="153" t="s">
        <v>487</v>
      </c>
      <c r="H739" s="156" t="s">
        <v>487</v>
      </c>
      <c r="I739" s="153" t="s">
        <v>487</v>
      </c>
      <c r="J739" s="153" t="s">
        <v>487</v>
      </c>
      <c r="K739" s="153" t="s">
        <v>487</v>
      </c>
      <c r="L739" s="153" t="s">
        <v>487</v>
      </c>
    </row>
    <row r="740" spans="1:13" s="136" customFormat="1" ht="12.75">
      <c r="B740" s="132">
        <v>98</v>
      </c>
      <c r="C740" s="133" t="s">
        <v>127</v>
      </c>
      <c r="D740" s="134">
        <f>SUM(E740:M740)</f>
        <v>0</v>
      </c>
      <c r="E740" s="145"/>
      <c r="F740" s="135" t="s">
        <v>487</v>
      </c>
      <c r="G740" s="145"/>
      <c r="H740" s="145"/>
      <c r="I740" s="145"/>
      <c r="J740" s="145"/>
      <c r="K740" s="145"/>
      <c r="L740" s="145"/>
      <c r="M740" s="145"/>
    </row>
    <row r="741" spans="1:13" s="136" customFormat="1" ht="15">
      <c r="B741" s="132">
        <v>99</v>
      </c>
      <c r="C741" s="133" t="s">
        <v>442</v>
      </c>
      <c r="D741" s="119">
        <f>SUM(E741:F741)</f>
        <v>0</v>
      </c>
      <c r="E741" s="119"/>
      <c r="F741" s="119"/>
      <c r="G741" s="137" t="s">
        <v>487</v>
      </c>
      <c r="H741" s="137" t="s">
        <v>487</v>
      </c>
      <c r="I741" s="137" t="s">
        <v>487</v>
      </c>
      <c r="J741" s="137" t="s">
        <v>487</v>
      </c>
      <c r="K741" s="137" t="s">
        <v>487</v>
      </c>
      <c r="L741" s="137" t="s">
        <v>487</v>
      </c>
      <c r="M741" s="137" t="s">
        <v>487</v>
      </c>
    </row>
    <row r="742" spans="1:13" s="140" customFormat="1" ht="15">
      <c r="A742" s="136"/>
      <c r="B742" s="146"/>
      <c r="C742" s="122" t="s">
        <v>489</v>
      </c>
      <c r="D742" s="139">
        <f t="shared" ref="D742:M742" si="96">SUM(D737:D741)</f>
        <v>0</v>
      </c>
      <c r="E742" s="139">
        <f t="shared" si="96"/>
        <v>0</v>
      </c>
      <c r="F742" s="139">
        <f t="shared" si="96"/>
        <v>0</v>
      </c>
      <c r="G742" s="139">
        <f t="shared" si="96"/>
        <v>0</v>
      </c>
      <c r="H742" s="139">
        <f t="shared" si="96"/>
        <v>0</v>
      </c>
      <c r="I742" s="139">
        <f t="shared" si="96"/>
        <v>0</v>
      </c>
      <c r="J742" s="139">
        <f t="shared" si="96"/>
        <v>0</v>
      </c>
      <c r="K742" s="139">
        <f t="shared" si="96"/>
        <v>0</v>
      </c>
      <c r="L742" s="139">
        <f t="shared" si="96"/>
        <v>0</v>
      </c>
      <c r="M742" s="139">
        <f t="shared" si="96"/>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533</v>
      </c>
      <c r="C745" s="133"/>
      <c r="D745" s="133"/>
      <c r="E745" s="133"/>
      <c r="F745" s="133"/>
      <c r="G745" s="133"/>
      <c r="H745" s="143"/>
      <c r="I745" s="143" t="s">
        <v>444</v>
      </c>
      <c r="J745" s="133"/>
      <c r="K745" s="133"/>
      <c r="L745" s="133"/>
      <c r="M745" s="133"/>
    </row>
    <row r="746" spans="1:13" s="136" customFormat="1" ht="12.75">
      <c r="B746" s="132"/>
      <c r="C746" s="133"/>
      <c r="D746" s="133"/>
      <c r="E746" s="143" t="s">
        <v>471</v>
      </c>
      <c r="F746" s="143" t="s">
        <v>472</v>
      </c>
      <c r="G746" s="143" t="s">
        <v>473</v>
      </c>
      <c r="H746" s="143" t="s">
        <v>474</v>
      </c>
      <c r="I746" s="143" t="s">
        <v>475</v>
      </c>
      <c r="J746" s="129" t="s">
        <v>476</v>
      </c>
      <c r="K746" s="143" t="s">
        <v>477</v>
      </c>
      <c r="L746" s="133"/>
      <c r="M746" s="143" t="s">
        <v>478</v>
      </c>
    </row>
    <row r="747" spans="1:13" s="136" customFormat="1" ht="12.75">
      <c r="B747" s="132"/>
      <c r="C747" s="143" t="s">
        <v>479</v>
      </c>
      <c r="D747" s="143" t="s">
        <v>480</v>
      </c>
      <c r="E747" s="143" t="s">
        <v>481</v>
      </c>
      <c r="F747" s="143" t="s">
        <v>481</v>
      </c>
      <c r="G747" s="143" t="s">
        <v>482</v>
      </c>
      <c r="H747" s="143" t="s">
        <v>482</v>
      </c>
      <c r="I747" s="143" t="s">
        <v>483</v>
      </c>
      <c r="J747" s="129" t="s">
        <v>484</v>
      </c>
      <c r="K747" s="143" t="s">
        <v>485</v>
      </c>
      <c r="L747" s="143" t="s">
        <v>457</v>
      </c>
      <c r="M747" s="143" t="s">
        <v>486</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7">SUM(E749:M749)</f>
        <v>0</v>
      </c>
      <c r="E749" s="145"/>
      <c r="F749" s="135" t="s">
        <v>487</v>
      </c>
      <c r="G749" s="145"/>
      <c r="H749" s="145"/>
      <c r="I749" s="145"/>
      <c r="J749" s="145"/>
      <c r="K749" s="145"/>
      <c r="L749" s="145"/>
      <c r="M749" s="145"/>
    </row>
    <row r="750" spans="1:13" s="136" customFormat="1" ht="12.75">
      <c r="B750" s="132">
        <v>27</v>
      </c>
      <c r="C750" s="133" t="s">
        <v>182</v>
      </c>
      <c r="D750" s="134">
        <f t="shared" si="97"/>
        <v>0</v>
      </c>
      <c r="E750" s="145"/>
      <c r="F750" s="135" t="s">
        <v>487</v>
      </c>
      <c r="G750" s="145"/>
      <c r="H750" s="145"/>
      <c r="I750" s="145"/>
      <c r="J750" s="145"/>
      <c r="K750" s="145"/>
      <c r="L750" s="145"/>
      <c r="M750" s="145"/>
    </row>
    <row r="751" spans="1:13" s="136" customFormat="1" ht="12.75">
      <c r="B751" s="132">
        <v>60</v>
      </c>
      <c r="C751" s="133" t="s">
        <v>190</v>
      </c>
      <c r="D751" s="134">
        <f>SUM(E751:M751)</f>
        <v>0</v>
      </c>
      <c r="E751" s="145"/>
      <c r="F751" s="135" t="s">
        <v>487</v>
      </c>
      <c r="G751" s="145"/>
      <c r="H751" s="145"/>
      <c r="I751" s="145"/>
      <c r="J751" s="145"/>
      <c r="K751" s="145"/>
      <c r="L751" s="145"/>
      <c r="M751" s="145"/>
    </row>
    <row r="752" spans="1:13" s="136" customFormat="1" ht="12.75">
      <c r="B752" s="132">
        <v>83</v>
      </c>
      <c r="C752" s="133" t="s">
        <v>124</v>
      </c>
      <c r="D752" s="134">
        <f>SUM(E752:M752)</f>
        <v>0</v>
      </c>
      <c r="E752" s="145"/>
      <c r="F752" s="135" t="s">
        <v>487</v>
      </c>
      <c r="G752" s="135" t="s">
        <v>487</v>
      </c>
      <c r="H752" s="135" t="s">
        <v>487</v>
      </c>
      <c r="I752" s="135" t="s">
        <v>487</v>
      </c>
      <c r="J752" s="135" t="s">
        <v>487</v>
      </c>
      <c r="K752" s="145"/>
      <c r="L752" s="135" t="s">
        <v>487</v>
      </c>
      <c r="M752" s="135" t="s">
        <v>487</v>
      </c>
    </row>
    <row r="753" spans="1:13" s="136" customFormat="1" ht="12.75">
      <c r="B753" s="132">
        <v>89</v>
      </c>
      <c r="C753" s="133" t="s">
        <v>563</v>
      </c>
      <c r="D753" s="134">
        <f>SUM(E753:M753)</f>
        <v>0</v>
      </c>
      <c r="E753" s="144"/>
      <c r="F753" s="135" t="s">
        <v>487</v>
      </c>
      <c r="G753" s="153" t="s">
        <v>487</v>
      </c>
      <c r="H753" s="156" t="s">
        <v>487</v>
      </c>
      <c r="I753" s="153" t="s">
        <v>487</v>
      </c>
      <c r="J753" s="153" t="s">
        <v>487</v>
      </c>
      <c r="K753" s="153" t="s">
        <v>487</v>
      </c>
      <c r="L753" s="153" t="s">
        <v>487</v>
      </c>
    </row>
    <row r="754" spans="1:13" s="136" customFormat="1" ht="12.75">
      <c r="B754" s="132">
        <v>98</v>
      </c>
      <c r="C754" s="133" t="s">
        <v>127</v>
      </c>
      <c r="D754" s="134">
        <f>SUM(E754:M754)</f>
        <v>960284.23</v>
      </c>
      <c r="E754" s="145">
        <v>54958.5</v>
      </c>
      <c r="F754" s="135" t="s">
        <v>487</v>
      </c>
      <c r="G754" s="145"/>
      <c r="H754" s="145">
        <v>389152.59</v>
      </c>
      <c r="I754" s="145">
        <v>168478.34</v>
      </c>
      <c r="J754" s="145">
        <v>136253.06</v>
      </c>
      <c r="K754" s="145">
        <v>188774.43</v>
      </c>
      <c r="L754" s="145">
        <v>22667.31</v>
      </c>
      <c r="M754" s="145"/>
    </row>
    <row r="755" spans="1:13" s="136" customFormat="1" ht="15">
      <c r="B755" s="132">
        <v>99</v>
      </c>
      <c r="C755" s="133" t="s">
        <v>442</v>
      </c>
      <c r="D755" s="119">
        <f>SUM(E755:F755)</f>
        <v>0</v>
      </c>
      <c r="E755" s="119"/>
      <c r="F755" s="119"/>
      <c r="G755" s="137" t="s">
        <v>487</v>
      </c>
      <c r="H755" s="137" t="s">
        <v>487</v>
      </c>
      <c r="I755" s="137" t="s">
        <v>487</v>
      </c>
      <c r="J755" s="137" t="s">
        <v>487</v>
      </c>
      <c r="K755" s="137" t="s">
        <v>487</v>
      </c>
      <c r="L755" s="137" t="s">
        <v>487</v>
      </c>
      <c r="M755" s="137" t="s">
        <v>487</v>
      </c>
    </row>
    <row r="756" spans="1:13" s="140" customFormat="1" ht="15">
      <c r="A756" s="136"/>
      <c r="B756" s="146"/>
      <c r="C756" s="122" t="s">
        <v>489</v>
      </c>
      <c r="D756" s="139">
        <f>SUM(D749:D755)</f>
        <v>960284.23</v>
      </c>
      <c r="E756" s="139">
        <f>SUM(E749:E755)</f>
        <v>54958.5</v>
      </c>
      <c r="F756" s="139">
        <f>SUM(F749:F755)</f>
        <v>0</v>
      </c>
      <c r="G756" s="139">
        <f>SUM(G749:G755)</f>
        <v>0</v>
      </c>
      <c r="H756" s="139">
        <f t="shared" ref="H756:M756" si="98">SUM(H749:H755)</f>
        <v>389152.59</v>
      </c>
      <c r="I756" s="139">
        <f t="shared" si="98"/>
        <v>168478.34</v>
      </c>
      <c r="J756" s="139">
        <f t="shared" si="98"/>
        <v>136253.06</v>
      </c>
      <c r="K756" s="139">
        <f t="shared" si="98"/>
        <v>188774.43</v>
      </c>
      <c r="L756" s="139">
        <f t="shared" si="98"/>
        <v>22667.31</v>
      </c>
      <c r="M756" s="139">
        <f t="shared" si="98"/>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534</v>
      </c>
      <c r="C759" s="133"/>
      <c r="D759" s="133"/>
      <c r="E759" s="133"/>
      <c r="F759" s="133"/>
      <c r="G759" s="133"/>
      <c r="H759" s="133"/>
      <c r="I759" s="143" t="s">
        <v>444</v>
      </c>
      <c r="J759" s="133"/>
      <c r="K759" s="133"/>
      <c r="L759" s="133"/>
      <c r="M759" s="133"/>
    </row>
    <row r="760" spans="1:13" s="136" customFormat="1" ht="12.75">
      <c r="B760" s="132"/>
      <c r="C760" s="133"/>
      <c r="D760" s="133"/>
      <c r="E760" s="143" t="s">
        <v>471</v>
      </c>
      <c r="F760" s="143" t="s">
        <v>472</v>
      </c>
      <c r="G760" s="143" t="s">
        <v>473</v>
      </c>
      <c r="H760" s="143" t="s">
        <v>474</v>
      </c>
      <c r="I760" s="143" t="s">
        <v>475</v>
      </c>
      <c r="J760" s="129" t="s">
        <v>476</v>
      </c>
      <c r="K760" s="143" t="s">
        <v>477</v>
      </c>
      <c r="L760" s="133"/>
      <c r="M760" s="143" t="s">
        <v>478</v>
      </c>
    </row>
    <row r="761" spans="1:13" s="136" customFormat="1" ht="12.75">
      <c r="B761" s="132"/>
      <c r="C761" s="143" t="s">
        <v>479</v>
      </c>
      <c r="D761" s="143" t="s">
        <v>480</v>
      </c>
      <c r="E761" s="143" t="s">
        <v>481</v>
      </c>
      <c r="F761" s="143" t="s">
        <v>481</v>
      </c>
      <c r="G761" s="143" t="s">
        <v>482</v>
      </c>
      <c r="H761" s="143" t="s">
        <v>482</v>
      </c>
      <c r="I761" s="143" t="s">
        <v>483</v>
      </c>
      <c r="J761" s="129" t="s">
        <v>484</v>
      </c>
      <c r="K761" s="143" t="s">
        <v>485</v>
      </c>
      <c r="L761" s="143" t="s">
        <v>457</v>
      </c>
      <c r="M761" s="143" t="s">
        <v>486</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488</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487</v>
      </c>
      <c r="G764" s="135" t="s">
        <v>487</v>
      </c>
      <c r="H764" s="135" t="s">
        <v>487</v>
      </c>
      <c r="I764" s="135" t="s">
        <v>487</v>
      </c>
      <c r="J764" s="135" t="s">
        <v>487</v>
      </c>
      <c r="K764" s="145"/>
      <c r="L764" s="135" t="s">
        <v>487</v>
      </c>
      <c r="M764" s="135" t="s">
        <v>487</v>
      </c>
    </row>
    <row r="765" spans="1:13" s="136" customFormat="1" ht="12.75">
      <c r="B765" s="132">
        <v>89</v>
      </c>
      <c r="C765" s="133" t="s">
        <v>563</v>
      </c>
      <c r="D765" s="134">
        <f>SUM(E765:M765)</f>
        <v>0</v>
      </c>
      <c r="E765" s="144"/>
      <c r="F765" s="135" t="s">
        <v>487</v>
      </c>
      <c r="G765" s="153" t="s">
        <v>487</v>
      </c>
      <c r="H765" s="156" t="s">
        <v>487</v>
      </c>
      <c r="I765" s="153" t="s">
        <v>487</v>
      </c>
      <c r="J765" s="153" t="s">
        <v>487</v>
      </c>
      <c r="K765" s="153" t="s">
        <v>487</v>
      </c>
      <c r="L765" s="153" t="s">
        <v>487</v>
      </c>
    </row>
    <row r="766" spans="1:13" s="136" customFormat="1" ht="15">
      <c r="B766" s="132">
        <v>99</v>
      </c>
      <c r="C766" s="133" t="s">
        <v>442</v>
      </c>
      <c r="D766" s="119">
        <f>SUM(E766:F766)</f>
        <v>0</v>
      </c>
      <c r="E766" s="119"/>
      <c r="F766" s="119"/>
      <c r="G766" s="137" t="s">
        <v>487</v>
      </c>
      <c r="H766" s="137" t="s">
        <v>487</v>
      </c>
      <c r="I766" s="137" t="s">
        <v>487</v>
      </c>
      <c r="J766" s="137" t="s">
        <v>487</v>
      </c>
      <c r="K766" s="137" t="s">
        <v>487</v>
      </c>
      <c r="L766" s="137" t="s">
        <v>487</v>
      </c>
      <c r="M766" s="137" t="s">
        <v>487</v>
      </c>
    </row>
    <row r="767" spans="1:13" s="140" customFormat="1" ht="15">
      <c r="A767" s="136"/>
      <c r="B767" s="146"/>
      <c r="C767" s="122" t="s">
        <v>489</v>
      </c>
      <c r="D767" s="139">
        <f t="shared" ref="D767:M767" si="99">SUM(D763:D766)</f>
        <v>0</v>
      </c>
      <c r="E767" s="139">
        <f t="shared" si="99"/>
        <v>0</v>
      </c>
      <c r="F767" s="139">
        <f t="shared" si="99"/>
        <v>0</v>
      </c>
      <c r="G767" s="139">
        <f t="shared" si="99"/>
        <v>0</v>
      </c>
      <c r="H767" s="139">
        <f t="shared" si="99"/>
        <v>0</v>
      </c>
      <c r="I767" s="139">
        <f t="shared" si="99"/>
        <v>0</v>
      </c>
      <c r="J767" s="139">
        <f t="shared" si="99"/>
        <v>0</v>
      </c>
      <c r="K767" s="139">
        <f t="shared" si="99"/>
        <v>0</v>
      </c>
      <c r="L767" s="139">
        <f t="shared" si="99"/>
        <v>0</v>
      </c>
      <c r="M767" s="139">
        <f t="shared" si="99"/>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33" bestFit="1" customWidth="1"/>
    <col min="5" max="5" width="4.28515625" customWidth="1"/>
    <col min="7" max="7" width="49.28515625" bestFit="1" customWidth="1"/>
    <col min="8" max="8" width="18.7109375" bestFit="1" customWidth="1"/>
  </cols>
  <sheetData>
    <row r="1" spans="1:8" ht="15.75">
      <c r="B1" s="335"/>
      <c r="C1" s="385" t="s">
        <v>772</v>
      </c>
      <c r="D1" s="338"/>
      <c r="E1" s="338"/>
      <c r="F1" s="341"/>
      <c r="G1" s="385" t="s">
        <v>771</v>
      </c>
      <c r="H1" s="338"/>
    </row>
    <row r="2" spans="1:8" ht="15.75">
      <c r="B2" s="335" t="s">
        <v>733</v>
      </c>
      <c r="C2" s="338"/>
      <c r="D2" s="338"/>
      <c r="E2" s="338"/>
      <c r="F2" s="341"/>
      <c r="G2" s="338"/>
      <c r="H2" s="338"/>
    </row>
    <row r="3" spans="1:8" s="233" customFormat="1" ht="15.75">
      <c r="B3" s="332"/>
      <c r="C3" s="338"/>
      <c r="D3" s="338"/>
      <c r="E3" s="338"/>
      <c r="F3" s="341"/>
      <c r="G3" s="338"/>
      <c r="H3" s="338"/>
    </row>
    <row r="4" spans="1:8" ht="15.75">
      <c r="A4" s="232"/>
      <c r="B4" s="333">
        <v>200</v>
      </c>
      <c r="C4" s="333" t="s">
        <v>195</v>
      </c>
      <c r="D4" s="355"/>
      <c r="E4" s="338"/>
      <c r="F4" s="342">
        <v>200</v>
      </c>
      <c r="G4" s="343" t="s">
        <v>195</v>
      </c>
      <c r="H4" s="338"/>
    </row>
    <row r="5" spans="1:8" ht="15.75">
      <c r="A5" s="232"/>
      <c r="B5" s="333">
        <v>230</v>
      </c>
      <c r="C5" s="333" t="s">
        <v>196</v>
      </c>
      <c r="D5" s="355"/>
      <c r="E5" s="338"/>
      <c r="F5" s="342">
        <v>230</v>
      </c>
      <c r="G5" s="343" t="s">
        <v>196</v>
      </c>
      <c r="H5" s="338"/>
    </row>
    <row r="6" spans="1:8" ht="15.75">
      <c r="A6" s="232"/>
      <c r="B6" s="333">
        <v>240</v>
      </c>
      <c r="C6" s="333" t="s">
        <v>197</v>
      </c>
      <c r="D6" s="355"/>
      <c r="E6" s="338"/>
      <c r="F6" s="342">
        <v>240</v>
      </c>
      <c r="G6" s="343" t="s">
        <v>599</v>
      </c>
      <c r="H6" s="338"/>
    </row>
    <row r="7" spans="1:8" ht="15.75">
      <c r="A7" s="232"/>
      <c r="B7" s="333">
        <v>241</v>
      </c>
      <c r="C7" s="333" t="s">
        <v>198</v>
      </c>
      <c r="D7" s="355"/>
      <c r="E7" s="338"/>
      <c r="F7" s="342">
        <v>241</v>
      </c>
      <c r="G7" s="343" t="s">
        <v>198</v>
      </c>
      <c r="H7" s="338"/>
    </row>
    <row r="8" spans="1:8" ht="15.75">
      <c r="A8" s="232"/>
      <c r="B8" s="333">
        <v>340</v>
      </c>
      <c r="C8" s="333" t="s">
        <v>201</v>
      </c>
      <c r="D8" s="355"/>
      <c r="E8" s="338"/>
      <c r="F8" s="342">
        <v>340</v>
      </c>
      <c r="G8" s="343" t="s">
        <v>201</v>
      </c>
      <c r="H8" s="338"/>
    </row>
    <row r="9" spans="1:8" ht="15.75">
      <c r="A9" s="232"/>
      <c r="B9" s="333">
        <v>344</v>
      </c>
      <c r="C9" s="333" t="s">
        <v>734</v>
      </c>
      <c r="D9" s="355"/>
      <c r="E9" s="338"/>
      <c r="F9" s="342">
        <v>344</v>
      </c>
      <c r="G9" s="343" t="s">
        <v>600</v>
      </c>
      <c r="H9" s="338"/>
    </row>
    <row r="10" spans="1:8" ht="15.75">
      <c r="A10" s="232"/>
      <c r="B10" s="333">
        <v>360</v>
      </c>
      <c r="C10" s="333" t="s">
        <v>82</v>
      </c>
      <c r="D10" s="355"/>
      <c r="E10" s="338"/>
      <c r="F10" s="342">
        <v>360</v>
      </c>
      <c r="G10" s="343" t="s">
        <v>82</v>
      </c>
      <c r="H10" s="338"/>
    </row>
    <row r="11" spans="1:8" ht="15.75">
      <c r="A11" s="232"/>
      <c r="B11" s="333">
        <v>361</v>
      </c>
      <c r="C11" s="333" t="s">
        <v>735</v>
      </c>
      <c r="D11" s="355"/>
      <c r="E11" s="338"/>
      <c r="F11" s="342">
        <v>361</v>
      </c>
      <c r="G11" s="343" t="s">
        <v>601</v>
      </c>
      <c r="H11" s="338"/>
    </row>
    <row r="12" spans="1:8" ht="15.75">
      <c r="A12" s="232"/>
      <c r="B12" s="333">
        <v>410</v>
      </c>
      <c r="C12" s="333" t="s">
        <v>736</v>
      </c>
      <c r="D12" s="355"/>
      <c r="E12" s="338"/>
      <c r="F12" s="342">
        <v>410</v>
      </c>
      <c r="G12" s="343" t="s">
        <v>602</v>
      </c>
      <c r="H12" s="338"/>
    </row>
    <row r="13" spans="1:8" ht="15.75">
      <c r="A13" s="232"/>
      <c r="B13" s="333">
        <v>430</v>
      </c>
      <c r="C13" s="333" t="s">
        <v>205</v>
      </c>
      <c r="D13" s="355"/>
      <c r="E13" s="338"/>
      <c r="F13" s="342">
        <v>430</v>
      </c>
      <c r="G13" s="343" t="s">
        <v>205</v>
      </c>
      <c r="H13" s="338"/>
    </row>
    <row r="14" spans="1:8" ht="15.75">
      <c r="A14" s="232"/>
      <c r="B14" s="333">
        <v>450</v>
      </c>
      <c r="C14" s="333" t="s">
        <v>199</v>
      </c>
      <c r="D14" s="355"/>
      <c r="E14" s="338"/>
      <c r="F14" s="342">
        <v>450</v>
      </c>
      <c r="G14" s="343" t="s">
        <v>199</v>
      </c>
      <c r="H14" s="338"/>
    </row>
    <row r="15" spans="1:8" ht="15.75">
      <c r="A15" s="232"/>
      <c r="B15" s="333">
        <v>452</v>
      </c>
      <c r="C15" s="333" t="s">
        <v>200</v>
      </c>
      <c r="D15" s="355"/>
      <c r="E15" s="338"/>
      <c r="F15" s="342">
        <v>452</v>
      </c>
      <c r="G15" s="343" t="s">
        <v>200</v>
      </c>
      <c r="H15" s="338"/>
    </row>
    <row r="16" spans="1:8" ht="15.75">
      <c r="A16" s="232"/>
      <c r="B16" s="333">
        <v>475</v>
      </c>
      <c r="C16" s="333" t="s">
        <v>737</v>
      </c>
      <c r="D16" s="355"/>
      <c r="E16" s="338"/>
      <c r="F16" s="342">
        <v>475</v>
      </c>
      <c r="G16" s="343" t="s">
        <v>603</v>
      </c>
      <c r="H16" s="338"/>
    </row>
    <row r="17" spans="1:8" ht="15.75">
      <c r="A17" s="232"/>
      <c r="B17" s="333">
        <v>480</v>
      </c>
      <c r="C17" s="333" t="s">
        <v>216</v>
      </c>
      <c r="D17" s="355"/>
      <c r="E17" s="338"/>
      <c r="F17" s="342">
        <v>480</v>
      </c>
      <c r="G17" s="343" t="s">
        <v>216</v>
      </c>
      <c r="H17" s="338"/>
    </row>
    <row r="18" spans="1:8" ht="15.75">
      <c r="A18" s="232"/>
      <c r="B18" s="333">
        <v>490</v>
      </c>
      <c r="C18" s="333" t="s">
        <v>738</v>
      </c>
      <c r="D18" s="355"/>
      <c r="E18" s="338"/>
      <c r="F18" s="342">
        <v>490</v>
      </c>
      <c r="G18" s="343" t="s">
        <v>604</v>
      </c>
      <c r="H18" s="338"/>
    </row>
    <row r="19" spans="1:8" ht="15.75">
      <c r="A19" s="232"/>
      <c r="B19" s="333">
        <v>491</v>
      </c>
      <c r="C19" s="333" t="s">
        <v>739</v>
      </c>
      <c r="D19" s="355"/>
      <c r="E19" s="338"/>
      <c r="F19" s="342">
        <v>491</v>
      </c>
      <c r="G19" s="343" t="s">
        <v>606</v>
      </c>
      <c r="H19" s="338"/>
    </row>
    <row r="20" spans="1:8" ht="15.75">
      <c r="A20" s="232"/>
      <c r="B20" s="333">
        <v>492</v>
      </c>
      <c r="C20" s="333" t="s">
        <v>740</v>
      </c>
      <c r="D20" s="355"/>
      <c r="E20" s="338"/>
      <c r="F20" s="342">
        <v>492</v>
      </c>
      <c r="G20" s="343" t="s">
        <v>607</v>
      </c>
      <c r="H20" s="338"/>
    </row>
    <row r="21" spans="1:8" ht="15.75">
      <c r="A21" s="232"/>
      <c r="B21" s="333">
        <v>493</v>
      </c>
      <c r="C21" s="333" t="s">
        <v>741</v>
      </c>
      <c r="D21" s="355"/>
      <c r="E21" s="338"/>
      <c r="F21" s="342">
        <v>493</v>
      </c>
      <c r="G21" s="343" t="s">
        <v>608</v>
      </c>
      <c r="H21" s="338"/>
    </row>
    <row r="22" spans="1:8" ht="15.75">
      <c r="A22" s="232"/>
      <c r="B22" s="333">
        <v>494</v>
      </c>
      <c r="C22" s="333" t="s">
        <v>742</v>
      </c>
      <c r="D22" s="355"/>
      <c r="E22" s="338"/>
      <c r="F22" s="342">
        <v>494</v>
      </c>
      <c r="G22" s="343" t="s">
        <v>609</v>
      </c>
      <c r="H22" s="338"/>
    </row>
    <row r="23" spans="1:8" ht="15.75">
      <c r="A23" s="232"/>
      <c r="B23" s="333">
        <v>498</v>
      </c>
      <c r="C23" s="333" t="s">
        <v>743</v>
      </c>
      <c r="D23" s="355"/>
      <c r="E23" s="338"/>
      <c r="F23" s="342">
        <v>498</v>
      </c>
      <c r="G23" s="343" t="s">
        <v>605</v>
      </c>
      <c r="H23" s="338"/>
    </row>
    <row r="24" spans="1:8" ht="15.75">
      <c r="A24" s="232"/>
      <c r="B24" s="333">
        <v>499</v>
      </c>
      <c r="C24" s="333" t="s">
        <v>744</v>
      </c>
      <c r="D24" s="355"/>
      <c r="E24" s="338"/>
      <c r="F24" s="342">
        <v>499</v>
      </c>
      <c r="G24" s="343" t="s">
        <v>610</v>
      </c>
      <c r="H24" s="338"/>
    </row>
    <row r="25" spans="1:8" ht="15.75">
      <c r="A25" s="232"/>
      <c r="B25" s="332"/>
      <c r="C25" s="338"/>
      <c r="D25" s="356"/>
      <c r="E25" s="338"/>
      <c r="F25" s="341"/>
      <c r="G25" s="338"/>
      <c r="H25" s="338"/>
    </row>
    <row r="26" spans="1:8" ht="15.75">
      <c r="A26" s="232"/>
      <c r="B26" s="335" t="s">
        <v>745</v>
      </c>
      <c r="C26" s="338"/>
      <c r="D26" s="356"/>
      <c r="E26" s="338"/>
      <c r="F26" s="341"/>
      <c r="G26" s="338"/>
      <c r="H26" s="338"/>
    </row>
    <row r="27" spans="1:8" ht="16.5" thickBot="1">
      <c r="A27" s="232"/>
      <c r="B27" s="332"/>
      <c r="C27" s="338"/>
      <c r="D27" s="356"/>
      <c r="E27" s="338"/>
      <c r="F27" s="341"/>
      <c r="G27" s="338"/>
      <c r="H27" s="338"/>
    </row>
    <row r="28" spans="1:8" ht="15.75">
      <c r="A28" s="232"/>
      <c r="B28" s="333">
        <v>510</v>
      </c>
      <c r="C28" s="333" t="s">
        <v>611</v>
      </c>
      <c r="D28" s="355"/>
      <c r="E28" s="338"/>
      <c r="F28" s="344">
        <v>510</v>
      </c>
      <c r="G28" s="345" t="s">
        <v>611</v>
      </c>
      <c r="H28" s="338"/>
    </row>
    <row r="29" spans="1:8" ht="15.75">
      <c r="A29" s="232"/>
      <c r="B29" s="333">
        <v>515</v>
      </c>
      <c r="C29" s="333" t="s">
        <v>612</v>
      </c>
      <c r="D29" s="355"/>
      <c r="E29" s="338"/>
      <c r="F29" s="346">
        <v>515</v>
      </c>
      <c r="G29" s="347" t="s">
        <v>612</v>
      </c>
      <c r="H29" s="338"/>
    </row>
    <row r="30" spans="1:8" ht="15.75">
      <c r="A30" s="232"/>
      <c r="B30" s="333">
        <v>520</v>
      </c>
      <c r="C30" s="333" t="s">
        <v>613</v>
      </c>
      <c r="D30" s="355"/>
      <c r="E30" s="338"/>
      <c r="F30" s="346">
        <v>520</v>
      </c>
      <c r="G30" s="347" t="s">
        <v>613</v>
      </c>
      <c r="H30" s="338"/>
    </row>
    <row r="31" spans="1:8" ht="15.75">
      <c r="A31" s="232"/>
      <c r="B31" s="333">
        <v>530</v>
      </c>
      <c r="C31" s="333" t="s">
        <v>746</v>
      </c>
      <c r="D31" s="355"/>
      <c r="E31" s="338"/>
      <c r="F31" s="346">
        <v>530</v>
      </c>
      <c r="G31" s="347" t="s">
        <v>614</v>
      </c>
      <c r="H31" s="338"/>
    </row>
    <row r="32" spans="1:8" ht="15.75">
      <c r="A32" s="232"/>
      <c r="B32" s="333">
        <v>535</v>
      </c>
      <c r="C32" s="333" t="s">
        <v>595</v>
      </c>
      <c r="D32" s="355"/>
      <c r="E32" s="338"/>
      <c r="F32" s="346">
        <v>535</v>
      </c>
      <c r="G32" s="347" t="s">
        <v>595</v>
      </c>
      <c r="H32" s="338"/>
    </row>
    <row r="33" spans="1:8" ht="16.5" thickBot="1">
      <c r="A33" s="232"/>
      <c r="B33" s="333">
        <v>540</v>
      </c>
      <c r="C33" s="333" t="s">
        <v>615</v>
      </c>
      <c r="D33" s="355"/>
      <c r="E33" s="338"/>
      <c r="F33" s="348">
        <v>540</v>
      </c>
      <c r="G33" s="349" t="s">
        <v>615</v>
      </c>
      <c r="H33" s="338"/>
    </row>
    <row r="34" spans="1:8" ht="15.75">
      <c r="A34" s="232"/>
      <c r="B34" s="332"/>
      <c r="C34" s="338"/>
      <c r="D34" s="356"/>
      <c r="E34" s="338"/>
      <c r="F34" s="341"/>
      <c r="G34" s="338"/>
      <c r="H34" s="338"/>
    </row>
    <row r="35" spans="1:8" ht="15.75">
      <c r="A35" s="232"/>
      <c r="B35" s="335" t="s">
        <v>747</v>
      </c>
      <c r="C35" s="338"/>
      <c r="D35" s="356"/>
      <c r="E35" s="338"/>
      <c r="F35" s="341"/>
      <c r="G35" s="338"/>
      <c r="H35" s="338"/>
    </row>
    <row r="36" spans="1:8" ht="15.75">
      <c r="A36" s="232"/>
      <c r="B36" s="332"/>
      <c r="C36" s="338"/>
      <c r="D36" s="356"/>
      <c r="E36" s="338"/>
      <c r="F36" s="341"/>
      <c r="G36" s="338"/>
      <c r="H36" s="338"/>
    </row>
    <row r="37" spans="1:8" ht="15.75">
      <c r="A37" s="232"/>
      <c r="B37" s="333">
        <v>601</v>
      </c>
      <c r="C37" s="333" t="s">
        <v>218</v>
      </c>
      <c r="D37" s="355"/>
      <c r="E37" s="338"/>
      <c r="F37" s="342">
        <v>601</v>
      </c>
      <c r="G37" s="343" t="s">
        <v>218</v>
      </c>
      <c r="H37" s="338"/>
    </row>
    <row r="38" spans="1:8" ht="15.75">
      <c r="A38" s="232"/>
      <c r="B38" s="333">
        <v>602</v>
      </c>
      <c r="C38" s="333" t="s">
        <v>748</v>
      </c>
      <c r="D38" s="355"/>
      <c r="E38" s="338"/>
      <c r="F38" s="342">
        <v>601</v>
      </c>
      <c r="G38" s="343" t="s">
        <v>616</v>
      </c>
      <c r="H38" s="338"/>
    </row>
    <row r="39" spans="1:8" ht="15.75">
      <c r="A39" s="232"/>
      <c r="B39" s="333">
        <v>603</v>
      </c>
      <c r="C39" s="333" t="s">
        <v>749</v>
      </c>
      <c r="D39" s="355"/>
      <c r="E39" s="338"/>
      <c r="F39" s="342">
        <v>603</v>
      </c>
      <c r="G39" s="343" t="s">
        <v>617</v>
      </c>
      <c r="H39" s="338"/>
    </row>
    <row r="40" spans="1:8" ht="15.75">
      <c r="A40" s="232"/>
      <c r="B40" s="333">
        <v>604</v>
      </c>
      <c r="C40" s="333" t="s">
        <v>221</v>
      </c>
      <c r="D40" s="355"/>
      <c r="E40" s="338"/>
      <c r="F40" s="342">
        <v>604</v>
      </c>
      <c r="G40" s="343" t="s">
        <v>221</v>
      </c>
      <c r="H40" s="338"/>
    </row>
    <row r="41" spans="1:8" ht="15.75">
      <c r="A41" s="232"/>
      <c r="B41" s="333">
        <v>605</v>
      </c>
      <c r="C41" s="333" t="s">
        <v>592</v>
      </c>
      <c r="D41" s="355"/>
      <c r="E41" s="338"/>
      <c r="F41" s="342">
        <v>605</v>
      </c>
      <c r="G41" s="343" t="s">
        <v>592</v>
      </c>
      <c r="H41" s="338"/>
    </row>
    <row r="42" spans="1:8" ht="15.75">
      <c r="A42" s="232"/>
      <c r="B42" s="333">
        <v>607</v>
      </c>
      <c r="C42" s="333" t="s">
        <v>224</v>
      </c>
      <c r="D42" s="355"/>
      <c r="E42" s="338"/>
      <c r="F42" s="342">
        <v>607</v>
      </c>
      <c r="G42" s="343" t="s">
        <v>224</v>
      </c>
      <c r="H42" s="338"/>
    </row>
    <row r="43" spans="1:8" ht="15.75">
      <c r="A43" s="232"/>
      <c r="B43" s="333">
        <v>608</v>
      </c>
      <c r="C43" s="333" t="s">
        <v>225</v>
      </c>
      <c r="D43" s="355"/>
      <c r="E43" s="338"/>
      <c r="F43" s="342">
        <v>608</v>
      </c>
      <c r="G43" s="343" t="s">
        <v>225</v>
      </c>
      <c r="H43" s="338"/>
    </row>
    <row r="44" spans="1:8" ht="15.75">
      <c r="A44" s="232"/>
      <c r="B44" s="333">
        <v>610</v>
      </c>
      <c r="C44" s="333" t="s">
        <v>618</v>
      </c>
      <c r="D44" s="355"/>
      <c r="E44" s="338"/>
      <c r="F44" s="342">
        <v>610</v>
      </c>
      <c r="G44" s="343" t="s">
        <v>618</v>
      </c>
      <c r="H44" s="338"/>
    </row>
    <row r="45" spans="1:8" ht="15.75">
      <c r="A45" s="232"/>
      <c r="B45" s="333">
        <v>620</v>
      </c>
      <c r="C45" s="333" t="s">
        <v>750</v>
      </c>
      <c r="D45" s="355"/>
      <c r="E45" s="338"/>
      <c r="F45" s="342">
        <v>620</v>
      </c>
      <c r="G45" s="343" t="s">
        <v>619</v>
      </c>
      <c r="H45" s="338"/>
    </row>
    <row r="46" spans="1:8" ht="15.75">
      <c r="A46" s="232"/>
      <c r="B46" s="333">
        <v>625</v>
      </c>
      <c r="C46" s="333" t="s">
        <v>751</v>
      </c>
      <c r="D46" s="355"/>
      <c r="E46" s="338"/>
      <c r="F46" s="342">
        <v>625</v>
      </c>
      <c r="G46" s="343" t="s">
        <v>620</v>
      </c>
      <c r="H46" s="338"/>
    </row>
    <row r="47" spans="1:8" ht="15.75">
      <c r="A47" s="232"/>
      <c r="B47" s="333">
        <v>630</v>
      </c>
      <c r="C47" s="333" t="s">
        <v>752</v>
      </c>
      <c r="D47" s="355"/>
      <c r="E47" s="338"/>
      <c r="F47" s="342">
        <v>630</v>
      </c>
      <c r="G47" s="343" t="s">
        <v>621</v>
      </c>
      <c r="H47" s="338"/>
    </row>
    <row r="48" spans="1:8" ht="15.75">
      <c r="A48" s="232"/>
      <c r="B48" s="333">
        <v>631</v>
      </c>
      <c r="C48" s="333" t="s">
        <v>753</v>
      </c>
      <c r="D48" s="355"/>
      <c r="E48" s="338"/>
      <c r="F48" s="342">
        <v>631</v>
      </c>
      <c r="G48" s="343" t="s">
        <v>622</v>
      </c>
      <c r="H48" s="338"/>
    </row>
    <row r="49" spans="1:8" ht="15.75">
      <c r="A49" s="232"/>
      <c r="B49" s="333">
        <v>632</v>
      </c>
      <c r="C49" s="333" t="s">
        <v>754</v>
      </c>
      <c r="D49" s="355"/>
      <c r="E49" s="338"/>
      <c r="F49" s="342">
        <v>632</v>
      </c>
      <c r="G49" s="343" t="s">
        <v>623</v>
      </c>
      <c r="H49" s="338"/>
    </row>
    <row r="50" spans="1:8" ht="15.75">
      <c r="A50" s="232"/>
      <c r="B50" s="333">
        <v>633</v>
      </c>
      <c r="C50" s="333" t="s">
        <v>755</v>
      </c>
      <c r="D50" s="355"/>
      <c r="E50" s="338"/>
      <c r="F50" s="342">
        <v>633</v>
      </c>
      <c r="G50" s="343" t="s">
        <v>624</v>
      </c>
      <c r="H50" s="338"/>
    </row>
    <row r="51" spans="1:8" ht="15.75">
      <c r="A51" s="232"/>
      <c r="B51" s="333">
        <v>634</v>
      </c>
      <c r="C51" s="333" t="s">
        <v>756</v>
      </c>
      <c r="D51" s="355"/>
      <c r="E51" s="338"/>
      <c r="F51" s="342">
        <v>634</v>
      </c>
      <c r="G51" s="343" t="s">
        <v>625</v>
      </c>
      <c r="H51" s="338"/>
    </row>
    <row r="52" spans="1:8" ht="15.75">
      <c r="A52" s="232"/>
      <c r="B52" s="333">
        <v>635</v>
      </c>
      <c r="C52" s="333" t="s">
        <v>564</v>
      </c>
      <c r="D52" s="355"/>
      <c r="E52" s="338"/>
      <c r="F52" s="342">
        <v>635</v>
      </c>
      <c r="G52" s="343" t="s">
        <v>626</v>
      </c>
      <c r="H52" s="338"/>
    </row>
    <row r="53" spans="1:8" ht="15.75">
      <c r="A53" s="232"/>
      <c r="B53" s="333">
        <v>636</v>
      </c>
      <c r="C53" s="333" t="s">
        <v>627</v>
      </c>
      <c r="D53" s="355"/>
      <c r="E53" s="338"/>
      <c r="F53" s="342">
        <v>636</v>
      </c>
      <c r="G53" s="343" t="s">
        <v>627</v>
      </c>
      <c r="H53" s="338"/>
    </row>
    <row r="54" spans="1:8" ht="15.75">
      <c r="A54" s="232"/>
      <c r="B54" s="333">
        <v>637</v>
      </c>
      <c r="C54" s="333" t="s">
        <v>232</v>
      </c>
      <c r="D54" s="355"/>
      <c r="E54" s="338"/>
      <c r="F54" s="342">
        <v>637</v>
      </c>
      <c r="G54" s="343" t="s">
        <v>628</v>
      </c>
      <c r="H54" s="338"/>
    </row>
    <row r="55" spans="1:8" ht="15.75">
      <c r="A55" s="232"/>
      <c r="B55" s="333">
        <v>650</v>
      </c>
      <c r="C55" s="333" t="s">
        <v>229</v>
      </c>
      <c r="D55" s="355"/>
      <c r="E55" s="338"/>
      <c r="F55" s="342">
        <v>650</v>
      </c>
      <c r="G55" s="343" t="s">
        <v>229</v>
      </c>
      <c r="H55" s="338"/>
    </row>
    <row r="56" spans="1:8" ht="15.75">
      <c r="A56" s="232"/>
      <c r="B56" s="333">
        <v>655</v>
      </c>
      <c r="C56" s="333" t="s">
        <v>228</v>
      </c>
      <c r="D56" s="355"/>
      <c r="E56" s="338"/>
      <c r="F56" s="342">
        <v>655</v>
      </c>
      <c r="G56" s="343" t="s">
        <v>228</v>
      </c>
      <c r="H56" s="338"/>
    </row>
    <row r="57" spans="1:8" ht="15.75">
      <c r="A57" s="232"/>
      <c r="B57" s="333">
        <v>660</v>
      </c>
      <c r="C57" s="384" t="s">
        <v>662</v>
      </c>
      <c r="D57" s="355"/>
      <c r="E57" s="338"/>
      <c r="F57" s="342">
        <v>660</v>
      </c>
      <c r="G57" s="343" t="s">
        <v>662</v>
      </c>
      <c r="H57" s="338"/>
    </row>
    <row r="58" spans="1:8" ht="15.75">
      <c r="A58" s="232"/>
      <c r="B58" s="333">
        <v>661</v>
      </c>
      <c r="C58" s="384" t="s">
        <v>721</v>
      </c>
      <c r="D58" s="337" t="s">
        <v>770</v>
      </c>
      <c r="E58" s="338"/>
      <c r="F58" s="341"/>
      <c r="G58" s="338"/>
      <c r="H58" s="338"/>
    </row>
    <row r="59" spans="1:8" ht="15.75">
      <c r="A59" s="232"/>
      <c r="B59" s="333">
        <v>680</v>
      </c>
      <c r="C59" s="333" t="s">
        <v>274</v>
      </c>
      <c r="D59" s="357"/>
      <c r="E59" s="338"/>
      <c r="F59" s="342">
        <v>680</v>
      </c>
      <c r="G59" s="343" t="s">
        <v>274</v>
      </c>
      <c r="H59" s="338"/>
    </row>
    <row r="60" spans="1:8" ht="15.75">
      <c r="A60" s="232"/>
      <c r="B60" s="333">
        <v>690</v>
      </c>
      <c r="C60" s="333" t="s">
        <v>757</v>
      </c>
      <c r="D60" s="357"/>
      <c r="E60" s="338"/>
      <c r="F60" s="342">
        <v>690</v>
      </c>
      <c r="G60" s="343" t="s">
        <v>629</v>
      </c>
      <c r="H60" s="338"/>
    </row>
    <row r="61" spans="1:8" ht="15.75">
      <c r="A61" s="232"/>
      <c r="B61" s="332"/>
      <c r="C61" s="338"/>
      <c r="D61" s="356"/>
      <c r="E61" s="338"/>
      <c r="F61" s="341"/>
      <c r="G61" s="338"/>
      <c r="H61" s="338"/>
    </row>
    <row r="62" spans="1:8" ht="15.75">
      <c r="A62" s="232"/>
      <c r="B62" s="335" t="s">
        <v>758</v>
      </c>
      <c r="C62" s="338"/>
      <c r="D62" s="356"/>
      <c r="E62" s="338"/>
      <c r="F62" s="341"/>
      <c r="G62" s="338"/>
      <c r="H62" s="338"/>
    </row>
    <row r="63" spans="1:8" ht="15.75">
      <c r="A63" s="232"/>
      <c r="B63" s="332"/>
      <c r="C63" s="338"/>
      <c r="D63" s="356"/>
      <c r="E63" s="338"/>
      <c r="F63" s="341"/>
      <c r="G63" s="338"/>
      <c r="H63" s="338"/>
    </row>
    <row r="64" spans="1:8" ht="15.75">
      <c r="A64" s="232"/>
      <c r="B64" s="333">
        <v>710</v>
      </c>
      <c r="C64" s="333" t="s">
        <v>630</v>
      </c>
      <c r="D64" s="360" t="s">
        <v>774</v>
      </c>
      <c r="E64" s="338"/>
      <c r="F64" s="342">
        <v>710</v>
      </c>
      <c r="G64" s="343" t="s">
        <v>630</v>
      </c>
      <c r="H64" s="338"/>
    </row>
    <row r="65" spans="1:8" ht="15.75">
      <c r="A65" s="232"/>
      <c r="B65" s="333">
        <v>711</v>
      </c>
      <c r="C65" s="334" t="s">
        <v>759</v>
      </c>
      <c r="D65" s="336" t="s">
        <v>768</v>
      </c>
      <c r="E65" s="338"/>
      <c r="F65" s="350">
        <v>711</v>
      </c>
      <c r="G65" s="351" t="s">
        <v>663</v>
      </c>
      <c r="H65" s="339" t="s">
        <v>768</v>
      </c>
    </row>
    <row r="66" spans="1:8">
      <c r="A66" s="232"/>
      <c r="B66" s="338"/>
      <c r="C66" s="338"/>
      <c r="D66" s="356"/>
      <c r="E66" s="338"/>
      <c r="F66" s="350">
        <v>712</v>
      </c>
      <c r="G66" s="351" t="s">
        <v>664</v>
      </c>
      <c r="H66" s="339" t="s">
        <v>769</v>
      </c>
    </row>
    <row r="67" spans="1:8">
      <c r="A67" s="232"/>
      <c r="B67" s="338"/>
      <c r="C67" s="338"/>
      <c r="D67" s="356"/>
      <c r="E67" s="338"/>
      <c r="F67" s="350">
        <v>713</v>
      </c>
      <c r="G67" s="351" t="s">
        <v>665</v>
      </c>
      <c r="H67" s="339" t="s">
        <v>769</v>
      </c>
    </row>
    <row r="68" spans="1:8">
      <c r="A68" s="232"/>
      <c r="B68" s="338"/>
      <c r="C68" s="338"/>
      <c r="D68" s="356"/>
      <c r="E68" s="338"/>
      <c r="F68" s="350">
        <v>714</v>
      </c>
      <c r="G68" s="351" t="s">
        <v>666</v>
      </c>
      <c r="H68" s="339" t="s">
        <v>769</v>
      </c>
    </row>
    <row r="69" spans="1:8">
      <c r="A69" s="232"/>
      <c r="B69" s="338"/>
      <c r="C69" s="338"/>
      <c r="D69" s="356"/>
      <c r="E69" s="338"/>
      <c r="F69" s="350">
        <v>715</v>
      </c>
      <c r="G69" s="351" t="s">
        <v>667</v>
      </c>
      <c r="H69" s="339" t="s">
        <v>769</v>
      </c>
    </row>
    <row r="70" spans="1:8" ht="15.75">
      <c r="A70" s="232"/>
      <c r="B70" s="333">
        <v>716</v>
      </c>
      <c r="C70" s="334" t="s">
        <v>760</v>
      </c>
      <c r="D70" s="337" t="s">
        <v>770</v>
      </c>
      <c r="E70" s="338"/>
      <c r="F70" s="341"/>
      <c r="G70" s="338"/>
      <c r="H70" s="338"/>
    </row>
    <row r="71" spans="1:8" ht="15.75">
      <c r="A71" s="232"/>
      <c r="B71" s="333">
        <v>750</v>
      </c>
      <c r="C71" s="333" t="s">
        <v>631</v>
      </c>
      <c r="D71" s="360" t="s">
        <v>774</v>
      </c>
      <c r="E71" s="338"/>
      <c r="F71" s="342">
        <v>750</v>
      </c>
      <c r="G71" s="343" t="s">
        <v>631</v>
      </c>
      <c r="H71" s="338"/>
    </row>
    <row r="72" spans="1:8" ht="15.75">
      <c r="A72" s="232"/>
      <c r="B72" s="333">
        <v>751</v>
      </c>
      <c r="C72" s="334" t="s">
        <v>761</v>
      </c>
      <c r="D72" s="336" t="s">
        <v>768</v>
      </c>
      <c r="E72" s="338"/>
      <c r="F72" s="350">
        <v>751</v>
      </c>
      <c r="G72" s="351" t="s">
        <v>668</v>
      </c>
      <c r="H72" s="339" t="s">
        <v>768</v>
      </c>
    </row>
    <row r="73" spans="1:8">
      <c r="A73" s="232"/>
      <c r="B73" s="338"/>
      <c r="C73" s="338"/>
      <c r="D73" s="356"/>
      <c r="E73" s="338"/>
      <c r="F73" s="350">
        <v>752</v>
      </c>
      <c r="G73" s="351" t="s">
        <v>669</v>
      </c>
      <c r="H73" s="339" t="s">
        <v>769</v>
      </c>
    </row>
    <row r="74" spans="1:8">
      <c r="A74" s="232"/>
      <c r="B74" s="338"/>
      <c r="C74" s="338"/>
      <c r="D74" s="356"/>
      <c r="E74" s="338"/>
      <c r="F74" s="350">
        <v>753</v>
      </c>
      <c r="G74" s="351" t="s">
        <v>670</v>
      </c>
      <c r="H74" s="339" t="s">
        <v>769</v>
      </c>
    </row>
    <row r="75" spans="1:8">
      <c r="A75" s="232"/>
      <c r="B75" s="338"/>
      <c r="C75" s="338"/>
      <c r="D75" s="356"/>
      <c r="E75" s="338"/>
      <c r="F75" s="350">
        <v>754</v>
      </c>
      <c r="G75" s="351" t="s">
        <v>671</v>
      </c>
      <c r="H75" s="339" t="s">
        <v>769</v>
      </c>
    </row>
    <row r="76" spans="1:8" ht="15.75">
      <c r="A76" s="232"/>
      <c r="B76" s="333">
        <v>756</v>
      </c>
      <c r="C76" s="334" t="s">
        <v>762</v>
      </c>
      <c r="D76" s="337" t="s">
        <v>770</v>
      </c>
      <c r="E76" s="338"/>
      <c r="F76" s="341"/>
      <c r="G76" s="338"/>
      <c r="H76" s="339"/>
    </row>
    <row r="77" spans="1:8" ht="15.75">
      <c r="A77" s="232"/>
      <c r="B77" s="332"/>
      <c r="C77" s="338"/>
      <c r="D77" s="356"/>
      <c r="E77" s="338"/>
      <c r="F77" s="341"/>
      <c r="G77" s="338"/>
      <c r="H77" s="338"/>
    </row>
    <row r="78" spans="1:8" ht="15.75">
      <c r="A78" s="230"/>
      <c r="B78" s="335" t="s">
        <v>763</v>
      </c>
      <c r="C78" s="338"/>
      <c r="D78" s="356"/>
      <c r="E78" s="338"/>
      <c r="F78" s="341"/>
      <c r="G78" s="338"/>
      <c r="H78" s="338"/>
    </row>
    <row r="79" spans="1:8" ht="15.75">
      <c r="B79" s="332"/>
      <c r="C79" s="338"/>
      <c r="D79" s="356"/>
      <c r="E79" s="338"/>
      <c r="F79" s="341"/>
      <c r="G79" s="338"/>
      <c r="H79" s="338"/>
    </row>
    <row r="80" spans="1:8" ht="15.75">
      <c r="B80" s="333">
        <v>810</v>
      </c>
      <c r="C80" s="333" t="s">
        <v>646</v>
      </c>
      <c r="D80" s="355"/>
      <c r="E80" s="338"/>
      <c r="F80" s="342">
        <v>810</v>
      </c>
      <c r="G80" s="343" t="s">
        <v>646</v>
      </c>
      <c r="H80" s="338"/>
    </row>
    <row r="81" spans="2:8" ht="15.75">
      <c r="B81" s="333">
        <v>830</v>
      </c>
      <c r="C81" s="333" t="s">
        <v>554</v>
      </c>
      <c r="D81" s="355"/>
      <c r="E81" s="338"/>
      <c r="F81" s="342">
        <v>830</v>
      </c>
      <c r="G81" s="343" t="s">
        <v>632</v>
      </c>
      <c r="H81" s="338"/>
    </row>
    <row r="82" spans="2:8" ht="15.75">
      <c r="B82" s="333">
        <v>845</v>
      </c>
      <c r="C82" s="333" t="s">
        <v>562</v>
      </c>
      <c r="D82" s="355"/>
      <c r="E82" s="338"/>
      <c r="F82" s="342">
        <v>845</v>
      </c>
      <c r="G82" s="343" t="s">
        <v>562</v>
      </c>
      <c r="H82" s="338"/>
    </row>
    <row r="83" spans="2:8" ht="15.75">
      <c r="B83" s="333">
        <v>850</v>
      </c>
      <c r="C83" s="333" t="s">
        <v>555</v>
      </c>
      <c r="D83" s="355"/>
      <c r="E83" s="338"/>
      <c r="F83" s="342">
        <v>850</v>
      </c>
      <c r="G83" s="343" t="s">
        <v>633</v>
      </c>
      <c r="H83" s="338"/>
    </row>
    <row r="84" spans="2:8" ht="15.75">
      <c r="B84" s="333">
        <v>865</v>
      </c>
      <c r="C84" s="333" t="s">
        <v>556</v>
      </c>
      <c r="D84" s="355"/>
      <c r="E84" s="338"/>
      <c r="F84" s="342">
        <v>865</v>
      </c>
      <c r="G84" s="343" t="s">
        <v>556</v>
      </c>
      <c r="H84" s="338"/>
    </row>
    <row r="85" spans="2:8" ht="15.75">
      <c r="B85" s="333">
        <v>880</v>
      </c>
      <c r="C85" s="333" t="s">
        <v>634</v>
      </c>
      <c r="D85" s="355"/>
      <c r="E85" s="338"/>
      <c r="F85" s="342">
        <v>880</v>
      </c>
      <c r="G85" s="343" t="s">
        <v>634</v>
      </c>
      <c r="H85" s="338"/>
    </row>
    <row r="86" spans="2:8" ht="15.75">
      <c r="B86" s="333">
        <v>881</v>
      </c>
      <c r="C86" s="333" t="s">
        <v>635</v>
      </c>
      <c r="D86" s="355"/>
      <c r="E86" s="338"/>
      <c r="F86" s="342">
        <v>881</v>
      </c>
      <c r="G86" s="343" t="s">
        <v>635</v>
      </c>
      <c r="H86" s="338"/>
    </row>
    <row r="87" spans="2:8" ht="15.75">
      <c r="B87" s="333">
        <v>885</v>
      </c>
      <c r="C87" s="333" t="s">
        <v>636</v>
      </c>
      <c r="D87" s="355"/>
      <c r="E87" s="338"/>
      <c r="F87" s="342">
        <v>885</v>
      </c>
      <c r="G87" s="343" t="s">
        <v>636</v>
      </c>
      <c r="H87" s="338"/>
    </row>
    <row r="88" spans="2:8" ht="15.75">
      <c r="B88" s="332"/>
      <c r="C88" s="338"/>
      <c r="D88" s="356"/>
      <c r="E88" s="338"/>
      <c r="F88" s="341"/>
      <c r="G88" s="338"/>
      <c r="H88" s="338"/>
    </row>
    <row r="89" spans="2:8" ht="15.75">
      <c r="B89" s="335" t="s">
        <v>764</v>
      </c>
      <c r="C89" s="338"/>
      <c r="D89" s="356"/>
      <c r="E89" s="338"/>
      <c r="F89" s="341"/>
      <c r="G89" s="338"/>
      <c r="H89" s="338"/>
    </row>
    <row r="90" spans="2:8" ht="15.75">
      <c r="B90" s="332"/>
      <c r="C90" s="338"/>
      <c r="D90" s="356"/>
      <c r="E90" s="338"/>
      <c r="F90" s="341"/>
      <c r="G90" s="338"/>
      <c r="H90" s="338"/>
    </row>
    <row r="91" spans="2:8" ht="15.75">
      <c r="B91" s="333">
        <v>890</v>
      </c>
      <c r="C91" s="333" t="s">
        <v>637</v>
      </c>
      <c r="D91" s="355"/>
      <c r="E91" s="338"/>
      <c r="F91" s="342">
        <v>890</v>
      </c>
      <c r="G91" s="343" t="s">
        <v>637</v>
      </c>
      <c r="H91" s="338"/>
    </row>
    <row r="92" spans="2:8" ht="15.75">
      <c r="B92" s="333">
        <v>892</v>
      </c>
      <c r="C92" s="333" t="s">
        <v>672</v>
      </c>
      <c r="D92" s="355"/>
      <c r="E92" s="338"/>
      <c r="F92" s="342">
        <v>892</v>
      </c>
      <c r="G92" s="343" t="s">
        <v>672</v>
      </c>
      <c r="H92" s="338"/>
    </row>
    <row r="93" spans="2:8" ht="15.75">
      <c r="B93" s="333">
        <v>893</v>
      </c>
      <c r="C93" s="334" t="s">
        <v>765</v>
      </c>
      <c r="D93" s="337" t="s">
        <v>770</v>
      </c>
      <c r="E93" s="338"/>
      <c r="F93" s="341"/>
      <c r="G93" s="338"/>
      <c r="H93" s="338"/>
    </row>
    <row r="94" spans="2:8" ht="15.75">
      <c r="B94" s="332"/>
      <c r="C94" s="338"/>
      <c r="D94" s="359" t="s">
        <v>773</v>
      </c>
      <c r="E94" s="338"/>
      <c r="F94" s="342">
        <v>898</v>
      </c>
      <c r="G94" s="352" t="s">
        <v>673</v>
      </c>
      <c r="H94" s="340" t="s">
        <v>767</v>
      </c>
    </row>
    <row r="95" spans="2:8" s="233" customFormat="1" ht="15.75">
      <c r="B95" s="332"/>
      <c r="C95" s="338"/>
      <c r="D95" s="356"/>
      <c r="E95" s="338"/>
      <c r="F95" s="342"/>
      <c r="G95" s="343"/>
      <c r="H95" s="338"/>
    </row>
    <row r="96" spans="2:8" ht="15.75">
      <c r="B96" s="335" t="s">
        <v>766</v>
      </c>
      <c r="C96" s="338"/>
      <c r="D96" s="356"/>
      <c r="E96" s="338"/>
      <c r="F96" s="341"/>
      <c r="G96" s="338"/>
      <c r="H96" s="338"/>
    </row>
    <row r="97" spans="2:8" ht="15.75">
      <c r="B97" s="332"/>
      <c r="C97" s="338"/>
      <c r="D97" s="356"/>
      <c r="E97" s="338"/>
      <c r="F97" s="341"/>
      <c r="G97" s="338"/>
      <c r="H97" s="338"/>
    </row>
    <row r="98" spans="2:8" ht="15.75">
      <c r="B98" s="333">
        <v>900</v>
      </c>
      <c r="C98" s="333" t="s">
        <v>638</v>
      </c>
      <c r="D98" s="355"/>
      <c r="E98" s="338"/>
      <c r="F98" s="342">
        <v>900</v>
      </c>
      <c r="G98" s="343" t="s">
        <v>638</v>
      </c>
      <c r="H98" s="338"/>
    </row>
    <row r="99" spans="2:8" ht="15.75">
      <c r="B99" s="333">
        <v>960</v>
      </c>
      <c r="C99" s="333" t="s">
        <v>639</v>
      </c>
      <c r="D99" s="355"/>
      <c r="E99" s="338"/>
      <c r="F99" s="342">
        <v>960</v>
      </c>
      <c r="G99" s="343" t="s">
        <v>639</v>
      </c>
      <c r="H99" s="338"/>
    </row>
    <row r="100" spans="2:8" ht="15.75">
      <c r="B100" s="333">
        <v>965</v>
      </c>
      <c r="C100" s="333" t="s">
        <v>640</v>
      </c>
      <c r="D100" s="355"/>
      <c r="E100" s="338"/>
      <c r="F100" s="353">
        <v>965</v>
      </c>
      <c r="G100" s="354" t="s">
        <v>640</v>
      </c>
      <c r="H100" s="338"/>
    </row>
    <row r="101" spans="2:8" ht="15.75">
      <c r="B101" s="332"/>
      <c r="C101" s="338"/>
      <c r="D101" s="356"/>
      <c r="E101" s="338"/>
      <c r="F101" s="341"/>
      <c r="G101" s="338"/>
      <c r="H101" s="338"/>
    </row>
    <row r="102" spans="2:8">
      <c r="D102" s="358"/>
      <c r="F102" s="234"/>
    </row>
    <row r="103" spans="2:8">
      <c r="D103" s="358"/>
      <c r="F103" s="234"/>
    </row>
    <row r="104" spans="2:8">
      <c r="D104" s="358"/>
    </row>
    <row r="105" spans="2:8">
      <c r="D105" s="358"/>
    </row>
    <row r="106" spans="2:8">
      <c r="D106" s="358"/>
    </row>
    <row r="107" spans="2:8">
      <c r="D107" s="3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workbookViewId="0">
      <selection activeCell="A13" sqref="A13"/>
    </sheetView>
  </sheetViews>
  <sheetFormatPr defaultRowHeight="12.75"/>
  <cols>
    <col min="1" max="1" width="105.42578125" customWidth="1"/>
    <col min="2" max="2" width="11.140625" customWidth="1"/>
  </cols>
  <sheetData>
    <row r="2" spans="1:2" ht="25.5">
      <c r="A2" s="368" t="s">
        <v>806</v>
      </c>
    </row>
    <row r="3" spans="1:2" ht="15" customHeight="1">
      <c r="A3" s="320"/>
    </row>
    <row r="4" spans="1:2" ht="17.25">
      <c r="A4" s="371" t="s">
        <v>776</v>
      </c>
    </row>
    <row r="5" spans="1:2" ht="83.25" customHeight="1">
      <c r="A5" s="361" t="s">
        <v>807</v>
      </c>
    </row>
    <row r="6" spans="1:2" ht="17.25">
      <c r="A6" s="361"/>
    </row>
    <row r="7" spans="1:2" ht="17.25">
      <c r="A7" s="371" t="s">
        <v>777</v>
      </c>
    </row>
    <row r="8" spans="1:2" ht="111.75" customHeight="1">
      <c r="A8" s="361" t="s">
        <v>809</v>
      </c>
    </row>
    <row r="9" spans="1:2" ht="17.25">
      <c r="A9" s="370"/>
    </row>
    <row r="10" spans="1:2" ht="17.25">
      <c r="A10" s="371" t="s">
        <v>778</v>
      </c>
    </row>
    <row r="11" spans="1:2" ht="15">
      <c r="A11" s="362"/>
    </row>
    <row r="12" spans="1:2" s="230" customFormat="1" ht="115.5" customHeight="1">
      <c r="A12" s="361" t="s">
        <v>779</v>
      </c>
      <c r="B12"/>
    </row>
    <row r="13" spans="1:2" s="230" customFormat="1" ht="68.25" customHeight="1">
      <c r="A13" s="361" t="s">
        <v>784</v>
      </c>
      <c r="B13" s="369"/>
    </row>
    <row r="14" spans="1:2" s="230" customFormat="1" ht="54.75" customHeight="1">
      <c r="A14" s="361" t="s">
        <v>785</v>
      </c>
      <c r="B14"/>
    </row>
    <row r="15" spans="1:2" ht="27.75" customHeight="1">
      <c r="A15" s="396" t="s">
        <v>833</v>
      </c>
    </row>
    <row r="16" spans="1:2" ht="87" customHeight="1">
      <c r="A16" s="372" t="s">
        <v>808</v>
      </c>
    </row>
    <row r="17" spans="1:2" ht="109.5" customHeight="1">
      <c r="A17" s="361" t="s">
        <v>797</v>
      </c>
    </row>
    <row r="18" spans="1:2" s="233" customFormat="1" ht="51.75" customHeight="1">
      <c r="A18" s="361" t="s">
        <v>828</v>
      </c>
      <c r="B18" s="369"/>
    </row>
    <row r="19" spans="1:2" ht="17.25">
      <c r="A19" s="361"/>
    </row>
    <row r="20" spans="1:2" ht="30" customHeight="1">
      <c r="A20" s="371" t="s">
        <v>780</v>
      </c>
    </row>
    <row r="21" spans="1:2" s="233" customFormat="1" ht="57" customHeight="1">
      <c r="A21" s="361" t="s">
        <v>786</v>
      </c>
      <c r="B21"/>
    </row>
    <row r="22" spans="1:2" ht="52.5" customHeight="1">
      <c r="A22" s="370" t="s">
        <v>787</v>
      </c>
      <c r="B22" s="330"/>
    </row>
    <row r="23" spans="1:2" ht="5.25" customHeight="1">
      <c r="A23" s="361"/>
      <c r="B23" s="330"/>
    </row>
    <row r="24" spans="1:2" ht="105.75" customHeight="1">
      <c r="A24" s="361" t="s">
        <v>781</v>
      </c>
      <c r="B24" s="330"/>
    </row>
    <row r="25" spans="1:2" ht="6.75" customHeight="1">
      <c r="A25" s="361"/>
      <c r="B25" s="330"/>
    </row>
    <row r="26" spans="1:2" ht="24" customHeight="1">
      <c r="A26" s="371" t="s">
        <v>782</v>
      </c>
      <c r="B26" s="330"/>
    </row>
    <row r="27" spans="1:2" ht="64.5" customHeight="1">
      <c r="A27" s="361" t="s">
        <v>783</v>
      </c>
      <c r="B27" s="330"/>
    </row>
    <row r="28" spans="1:2" ht="15">
      <c r="A28" s="320"/>
      <c r="B28" s="330"/>
    </row>
    <row r="29" spans="1:2" ht="43.5" customHeight="1">
      <c r="A29" s="371" t="s">
        <v>823</v>
      </c>
      <c r="B29" s="330"/>
    </row>
    <row r="30" spans="1:2" s="233" customFormat="1" ht="3.75" customHeight="1" thickBot="1">
      <c r="A30" s="371"/>
      <c r="B30" s="330"/>
    </row>
    <row r="31" spans="1:2" s="233" customFormat="1" ht="17.25">
      <c r="A31" s="389" t="s">
        <v>830</v>
      </c>
      <c r="B31" s="330"/>
    </row>
    <row r="32" spans="1:2" s="233" customFormat="1" ht="17.25">
      <c r="A32" s="390" t="s">
        <v>829</v>
      </c>
    </row>
    <row r="33" spans="1:2" s="233" customFormat="1" ht="18" thickBot="1">
      <c r="A33" s="391" t="s">
        <v>831</v>
      </c>
      <c r="B33" s="330"/>
    </row>
    <row r="34" spans="1:2" s="233" customFormat="1" ht="2.25" customHeight="1" thickBot="1">
      <c r="A34" s="361"/>
      <c r="B34" s="330"/>
    </row>
    <row r="35" spans="1:2" s="233" customFormat="1" ht="18" thickBot="1">
      <c r="A35" s="392" t="s">
        <v>832</v>
      </c>
    </row>
    <row r="36" spans="1:2" s="233" customFormat="1" ht="12.75" customHeight="1" thickBot="1">
      <c r="A36" s="361"/>
      <c r="B36" s="330"/>
    </row>
    <row r="37" spans="1:2" ht="39" customHeight="1">
      <c r="A37" s="393" t="s">
        <v>816</v>
      </c>
    </row>
    <row r="38" spans="1:2" ht="54" customHeight="1">
      <c r="A38" s="394" t="s">
        <v>817</v>
      </c>
    </row>
    <row r="39" spans="1:2" ht="24.75" customHeight="1">
      <c r="A39" s="394" t="s">
        <v>818</v>
      </c>
    </row>
    <row r="40" spans="1:2" ht="39.75" customHeight="1">
      <c r="A40" s="394" t="s">
        <v>819</v>
      </c>
    </row>
    <row r="41" spans="1:2" ht="34.5" customHeight="1">
      <c r="A41" s="394" t="s">
        <v>821</v>
      </c>
    </row>
    <row r="42" spans="1:2" ht="34.5" customHeight="1">
      <c r="A42" s="394" t="s">
        <v>820</v>
      </c>
    </row>
    <row r="43" spans="1:2" s="233" customFormat="1" ht="26.25" customHeight="1" thickBot="1">
      <c r="A43" s="395" t="s">
        <v>822</v>
      </c>
    </row>
    <row r="44" spans="1:2" ht="3.75" customHeight="1" thickBot="1">
      <c r="A44" s="372"/>
    </row>
    <row r="45" spans="1:2" s="233" customFormat="1" ht="17.25">
      <c r="A45" s="387" t="s">
        <v>826</v>
      </c>
    </row>
    <row r="46" spans="1:2" s="233" customFormat="1" ht="33.75" thickBot="1">
      <c r="A46" s="388" t="s">
        <v>827</v>
      </c>
    </row>
    <row r="47" spans="1:2" ht="9" customHeight="1">
      <c r="A47" s="386"/>
    </row>
    <row r="48" spans="1:2" ht="24" customHeight="1">
      <c r="A48" s="397" t="s">
        <v>834</v>
      </c>
    </row>
    <row r="49" spans="1:1" ht="98.25" customHeight="1">
      <c r="A49" s="372" t="s">
        <v>824</v>
      </c>
    </row>
    <row r="50" spans="1:1" ht="71.25" customHeight="1">
      <c r="A50" s="372" t="s">
        <v>825</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G19" sqref="G19"/>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01" t="s">
        <v>361</v>
      </c>
      <c r="B1" s="401"/>
      <c r="C1" s="401"/>
      <c r="D1" s="401"/>
      <c r="E1" s="401"/>
      <c r="F1" s="401"/>
      <c r="G1" s="401"/>
    </row>
    <row r="2" spans="1:17">
      <c r="A2" s="181"/>
      <c r="B2" s="181"/>
      <c r="C2" s="181"/>
      <c r="D2" s="181"/>
      <c r="E2" s="181"/>
      <c r="F2" s="181"/>
      <c r="G2" s="181"/>
    </row>
    <row r="4" spans="1:17">
      <c r="A4" s="399" t="s">
        <v>838</v>
      </c>
      <c r="B4" s="399"/>
      <c r="C4" s="399"/>
      <c r="D4" s="399"/>
      <c r="E4" s="399"/>
      <c r="F4" s="399"/>
      <c r="G4" s="399"/>
      <c r="O4" s="182"/>
      <c r="P4" s="182"/>
      <c r="Q4" s="182"/>
    </row>
    <row r="5" spans="1:17">
      <c r="A5" s="401" t="s">
        <v>839</v>
      </c>
      <c r="B5" s="401"/>
      <c r="C5" s="401"/>
      <c r="D5" s="401"/>
      <c r="E5" s="401"/>
      <c r="F5" s="401"/>
      <c r="G5" s="401"/>
    </row>
    <row r="7" spans="1:17">
      <c r="A7" s="401" t="s">
        <v>360</v>
      </c>
      <c r="B7" s="401"/>
      <c r="C7" s="401"/>
      <c r="D7" s="401"/>
      <c r="E7" s="401"/>
      <c r="F7" s="401"/>
      <c r="G7" s="401"/>
      <c r="H7" s="183"/>
    </row>
    <row r="10" spans="1:17">
      <c r="A10" s="180" t="s">
        <v>362</v>
      </c>
      <c r="B10" s="184" t="s">
        <v>845</v>
      </c>
      <c r="C10" s="180" t="s">
        <v>363</v>
      </c>
      <c r="D10" s="184" t="s">
        <v>846</v>
      </c>
      <c r="E10" s="180" t="s">
        <v>364</v>
      </c>
      <c r="F10" s="398">
        <v>20</v>
      </c>
      <c r="G10" s="180" t="s">
        <v>365</v>
      </c>
    </row>
    <row r="15" spans="1:17" ht="21" customHeight="1">
      <c r="A15" s="180" t="s">
        <v>366</v>
      </c>
      <c r="B15" s="402" t="s">
        <v>847</v>
      </c>
      <c r="C15" s="402"/>
      <c r="D15" s="402"/>
      <c r="E15" s="402"/>
      <c r="F15" s="402"/>
    </row>
    <row r="16" spans="1:17" ht="21" customHeight="1">
      <c r="B16" s="400" t="s">
        <v>848</v>
      </c>
      <c r="C16" s="400"/>
      <c r="D16" s="400"/>
      <c r="E16" s="400"/>
      <c r="F16" s="400"/>
    </row>
    <row r="17" spans="1:6" ht="21" customHeight="1">
      <c r="B17" s="400"/>
      <c r="C17" s="400"/>
      <c r="D17" s="400"/>
      <c r="E17" s="400"/>
      <c r="F17" s="400"/>
    </row>
    <row r="19" spans="1:6" ht="21" customHeight="1">
      <c r="A19" s="180" t="s">
        <v>367</v>
      </c>
      <c r="B19" s="403" t="s">
        <v>849</v>
      </c>
      <c r="C19" s="402"/>
      <c r="D19" s="402"/>
      <c r="E19" s="402"/>
      <c r="F19" s="402"/>
    </row>
    <row r="24" spans="1:6">
      <c r="A24" s="180" t="s">
        <v>368</v>
      </c>
    </row>
    <row r="25" spans="1:6" ht="21" customHeight="1">
      <c r="A25" s="185" t="s">
        <v>369</v>
      </c>
      <c r="B25" s="402" t="s">
        <v>850</v>
      </c>
      <c r="C25" s="402"/>
      <c r="D25" s="402"/>
      <c r="E25" s="402"/>
      <c r="F25" s="402"/>
    </row>
    <row r="26" spans="1:6" ht="21" customHeight="1">
      <c r="A26" s="185" t="s">
        <v>370</v>
      </c>
      <c r="B26" s="400" t="s">
        <v>851</v>
      </c>
      <c r="C26" s="400"/>
      <c r="D26" s="400"/>
      <c r="E26" s="400"/>
      <c r="F26" s="400"/>
    </row>
    <row r="27" spans="1:6" ht="21" customHeight="1">
      <c r="A27" s="185" t="s">
        <v>371</v>
      </c>
      <c r="B27" s="404" t="s">
        <v>852</v>
      </c>
      <c r="C27" s="400"/>
      <c r="D27" s="400"/>
      <c r="E27" s="400"/>
      <c r="F27" s="400"/>
    </row>
    <row r="30" spans="1:6">
      <c r="A30" s="185" t="s">
        <v>372</v>
      </c>
      <c r="B30" s="402"/>
      <c r="C30" s="402"/>
      <c r="D30" s="402"/>
      <c r="E30" s="402"/>
      <c r="F30" s="402"/>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0"/>
  <sheetViews>
    <sheetView topLeftCell="A85" zoomScaleNormal="100" zoomScaleSheetLayoutView="100" workbookViewId="0">
      <selection activeCell="D107" sqref="D107"/>
    </sheetView>
  </sheetViews>
  <sheetFormatPr defaultColWidth="8.85546875" defaultRowHeight="12.75"/>
  <cols>
    <col min="1" max="1" width="35.85546875" style="260" customWidth="1"/>
    <col min="2" max="2" width="5.28515625" style="268" customWidth="1"/>
    <col min="3" max="3" width="3" style="268" customWidth="1"/>
    <col min="4" max="6" width="18.7109375" style="260" customWidth="1"/>
    <col min="7" max="7" width="18.7109375" style="260" hidden="1" customWidth="1"/>
    <col min="8" max="8" width="12.28515625" style="260" hidden="1" customWidth="1"/>
    <col min="9" max="9" width="18.7109375" style="260" customWidth="1"/>
    <col min="10" max="10" width="3.5703125" style="260" customWidth="1"/>
    <col min="11" max="11" width="9.85546875" style="260" bestFit="1" customWidth="1"/>
    <col min="12" max="12" width="2.42578125" style="260" customWidth="1"/>
    <col min="13" max="13" width="35.5703125" style="260" customWidth="1"/>
    <col min="14" max="14" width="13.5703125" style="260" bestFit="1" customWidth="1"/>
    <col min="15" max="16384" width="8.85546875" style="260"/>
  </cols>
  <sheetData>
    <row r="1" spans="1:17">
      <c r="A1" s="407" t="str">
        <f>+'CERTIFICATION-COVER'!A4:G4</f>
        <v>Educational Service District #171</v>
      </c>
      <c r="B1" s="407"/>
      <c r="C1" s="407"/>
      <c r="D1" s="407"/>
      <c r="E1" s="407"/>
      <c r="F1" s="407"/>
      <c r="G1" s="407"/>
      <c r="H1" s="407"/>
      <c r="I1" s="407"/>
      <c r="J1" s="363"/>
      <c r="M1" s="405" t="s">
        <v>388</v>
      </c>
      <c r="N1" s="405"/>
      <c r="O1" s="405"/>
      <c r="P1" s="405"/>
      <c r="Q1" s="405"/>
    </row>
    <row r="2" spans="1:17">
      <c r="A2" s="408" t="s">
        <v>373</v>
      </c>
      <c r="B2" s="408"/>
      <c r="C2" s="408"/>
      <c r="D2" s="408"/>
      <c r="E2" s="408"/>
      <c r="F2" s="408"/>
      <c r="G2" s="408"/>
      <c r="H2" s="408"/>
      <c r="I2" s="408"/>
      <c r="J2" s="363"/>
      <c r="M2" s="405"/>
      <c r="N2" s="405"/>
      <c r="O2" s="405"/>
      <c r="P2" s="405"/>
      <c r="Q2" s="405"/>
    </row>
    <row r="3" spans="1:17">
      <c r="A3" s="409" t="s">
        <v>842</v>
      </c>
      <c r="B3" s="409"/>
      <c r="C3" s="409"/>
      <c r="D3" s="409"/>
      <c r="E3" s="409"/>
      <c r="F3" s="409"/>
      <c r="G3" s="409"/>
      <c r="H3" s="409"/>
      <c r="I3" s="409"/>
      <c r="J3" s="363"/>
      <c r="M3" s="405"/>
      <c r="N3" s="405"/>
      <c r="O3" s="405"/>
      <c r="P3" s="405"/>
      <c r="Q3" s="405"/>
    </row>
    <row r="4" spans="1:17" ht="8.25" customHeight="1">
      <c r="A4" s="275"/>
      <c r="B4" s="276"/>
      <c r="C4" s="276"/>
      <c r="D4" s="275"/>
      <c r="E4" s="410"/>
      <c r="F4" s="410"/>
      <c r="G4" s="410"/>
      <c r="H4" s="410"/>
      <c r="I4" s="410"/>
      <c r="J4" s="363"/>
      <c r="M4" s="405"/>
      <c r="N4" s="405"/>
      <c r="O4" s="405"/>
      <c r="P4" s="405"/>
      <c r="Q4" s="405"/>
    </row>
    <row r="5" spans="1:17" ht="42" customHeight="1">
      <c r="A5" s="275"/>
      <c r="B5" s="406" t="s">
        <v>250</v>
      </c>
      <c r="C5" s="406"/>
      <c r="D5" s="263" t="s">
        <v>251</v>
      </c>
      <c r="E5" s="277" t="s">
        <v>283</v>
      </c>
      <c r="F5" s="277" t="s">
        <v>282</v>
      </c>
      <c r="G5" s="279" t="s">
        <v>680</v>
      </c>
      <c r="H5" s="278" t="s">
        <v>681</v>
      </c>
      <c r="I5" s="277" t="s">
        <v>387</v>
      </c>
      <c r="J5" s="363"/>
      <c r="K5" s="406" t="s">
        <v>250</v>
      </c>
      <c r="L5" s="406"/>
    </row>
    <row r="6" spans="1:17" ht="15">
      <c r="A6" s="315" t="s">
        <v>10</v>
      </c>
      <c r="B6" s="237"/>
      <c r="C6" s="237"/>
      <c r="D6" s="237"/>
      <c r="E6" s="237"/>
      <c r="F6" s="237"/>
      <c r="G6" s="237"/>
      <c r="H6" s="237"/>
      <c r="I6" s="237"/>
      <c r="J6" s="363"/>
      <c r="K6" s="237"/>
      <c r="L6" s="237"/>
    </row>
    <row r="7" spans="1:17" s="268" customFormat="1" ht="15">
      <c r="A7" s="319" t="s">
        <v>252</v>
      </c>
      <c r="B7" s="236"/>
      <c r="C7" s="236"/>
      <c r="D7" s="238"/>
      <c r="E7" s="238"/>
      <c r="F7" s="238"/>
      <c r="G7" s="238"/>
      <c r="H7" s="238"/>
      <c r="I7" s="238"/>
      <c r="J7" s="363"/>
      <c r="K7" s="236"/>
      <c r="L7" s="236"/>
    </row>
    <row r="8" spans="1:17">
      <c r="A8" s="239" t="s">
        <v>197</v>
      </c>
      <c r="B8" s="238"/>
      <c r="C8" s="238"/>
      <c r="D8" s="240">
        <v>19165.03</v>
      </c>
      <c r="E8" s="240">
        <f>420000+407771.57-251530.46</f>
        <v>576241.1100000001</v>
      </c>
      <c r="F8" s="240">
        <v>14494.67</v>
      </c>
      <c r="G8" s="240"/>
      <c r="H8" s="240"/>
      <c r="I8" s="249">
        <f t="shared" ref="I8:I20" si="0">SUM(D8:H8)</f>
        <v>609900.81000000017</v>
      </c>
      <c r="J8" s="363"/>
      <c r="K8" s="238" t="s">
        <v>356</v>
      </c>
      <c r="L8" s="238"/>
      <c r="M8" s="260" t="s">
        <v>390</v>
      </c>
    </row>
    <row r="9" spans="1:17">
      <c r="A9" s="241" t="s">
        <v>645</v>
      </c>
      <c r="B9" s="238"/>
      <c r="C9" s="238"/>
      <c r="D9" s="240"/>
      <c r="E9" s="240"/>
      <c r="F9" s="240"/>
      <c r="G9" s="240"/>
      <c r="H9" s="240"/>
      <c r="I9" s="249">
        <f t="shared" si="0"/>
        <v>0</v>
      </c>
      <c r="J9" s="363"/>
      <c r="K9" s="238"/>
      <c r="L9" s="238"/>
    </row>
    <row r="10" spans="1:17">
      <c r="A10" s="241" t="s">
        <v>199</v>
      </c>
      <c r="B10" s="238"/>
      <c r="C10" s="238"/>
      <c r="D10" s="240">
        <v>2114669.84</v>
      </c>
      <c r="E10" s="240">
        <v>11022752.32</v>
      </c>
      <c r="F10" s="240">
        <v>2118416.54</v>
      </c>
      <c r="G10" s="240"/>
      <c r="H10" s="240"/>
      <c r="I10" s="238">
        <f t="shared" si="0"/>
        <v>15255838.699999999</v>
      </c>
      <c r="J10" s="363"/>
      <c r="K10" s="238" t="s">
        <v>716</v>
      </c>
      <c r="L10" s="238"/>
    </row>
    <row r="11" spans="1:17" ht="25.5">
      <c r="A11" s="241" t="s">
        <v>254</v>
      </c>
      <c r="B11" s="238"/>
      <c r="C11" s="238"/>
      <c r="D11" s="240">
        <v>2425493.71</v>
      </c>
      <c r="E11" s="240"/>
      <c r="F11" s="240"/>
      <c r="G11" s="240"/>
      <c r="H11" s="240"/>
      <c r="I11" s="238">
        <f t="shared" si="0"/>
        <v>2425493.71</v>
      </c>
      <c r="J11" s="363"/>
      <c r="K11" s="238" t="s">
        <v>356</v>
      </c>
      <c r="L11" s="238"/>
    </row>
    <row r="12" spans="1:17">
      <c r="A12" s="241" t="s">
        <v>256</v>
      </c>
      <c r="B12" s="238"/>
      <c r="C12" s="238"/>
      <c r="D12" s="240"/>
      <c r="E12" s="240"/>
      <c r="F12" s="240"/>
      <c r="G12" s="240"/>
      <c r="H12" s="240"/>
      <c r="I12" s="238">
        <f t="shared" si="0"/>
        <v>0</v>
      </c>
      <c r="J12" s="363"/>
      <c r="K12" s="238" t="s">
        <v>379</v>
      </c>
      <c r="L12" s="238"/>
    </row>
    <row r="13" spans="1:17">
      <c r="A13" s="241" t="s">
        <v>260</v>
      </c>
      <c r="B13" s="238"/>
      <c r="C13" s="238"/>
      <c r="D13" s="240"/>
      <c r="E13" s="240">
        <v>207344.34</v>
      </c>
      <c r="F13" s="240">
        <v>36808.720000000001</v>
      </c>
      <c r="G13" s="240"/>
      <c r="H13" s="240"/>
      <c r="I13" s="238">
        <f t="shared" si="0"/>
        <v>244153.06</v>
      </c>
      <c r="J13" s="363"/>
      <c r="K13" s="238"/>
      <c r="L13" s="238"/>
    </row>
    <row r="14" spans="1:17">
      <c r="A14" s="241" t="s">
        <v>261</v>
      </c>
      <c r="B14" s="238"/>
      <c r="C14" s="238"/>
      <c r="D14" s="240"/>
      <c r="E14" s="240"/>
      <c r="F14" s="240"/>
      <c r="G14" s="240"/>
      <c r="H14" s="240"/>
      <c r="I14" s="238">
        <f t="shared" si="0"/>
        <v>0</v>
      </c>
      <c r="J14" s="363"/>
      <c r="K14" s="238"/>
      <c r="L14" s="238"/>
    </row>
    <row r="15" spans="1:17">
      <c r="A15" s="241" t="s">
        <v>262</v>
      </c>
      <c r="B15" s="238"/>
      <c r="C15" s="238"/>
      <c r="D15" s="240"/>
      <c r="E15" s="240"/>
      <c r="F15" s="240"/>
      <c r="G15" s="240"/>
      <c r="H15" s="240"/>
      <c r="I15" s="238">
        <f t="shared" si="0"/>
        <v>0</v>
      </c>
      <c r="J15" s="363"/>
      <c r="K15" s="238" t="s">
        <v>379</v>
      </c>
      <c r="L15" s="238"/>
    </row>
    <row r="16" spans="1:17">
      <c r="A16" s="241" t="s">
        <v>257</v>
      </c>
      <c r="B16" s="238"/>
      <c r="C16" s="238"/>
      <c r="D16" s="240"/>
      <c r="E16" s="240"/>
      <c r="F16" s="240"/>
      <c r="G16" s="240"/>
      <c r="H16" s="240"/>
      <c r="I16" s="238">
        <f t="shared" si="0"/>
        <v>0</v>
      </c>
      <c r="J16" s="363"/>
      <c r="K16" s="238" t="s">
        <v>356</v>
      </c>
      <c r="L16" s="238"/>
    </row>
    <row r="17" spans="1:12">
      <c r="A17" s="241" t="s">
        <v>258</v>
      </c>
      <c r="B17" s="238"/>
      <c r="C17" s="238"/>
      <c r="D17" s="240"/>
      <c r="E17" s="240"/>
      <c r="F17" s="240"/>
      <c r="G17" s="240"/>
      <c r="H17" s="240"/>
      <c r="I17" s="238">
        <f t="shared" si="0"/>
        <v>0</v>
      </c>
      <c r="J17" s="363"/>
      <c r="K17" s="238" t="s">
        <v>356</v>
      </c>
      <c r="L17" s="238"/>
    </row>
    <row r="18" spans="1:12">
      <c r="A18" s="241" t="s">
        <v>259</v>
      </c>
      <c r="B18" s="238"/>
      <c r="C18" s="238"/>
      <c r="D18" s="240">
        <v>509799.76</v>
      </c>
      <c r="E18" s="240">
        <v>13382.5</v>
      </c>
      <c r="F18" s="240"/>
      <c r="G18" s="240"/>
      <c r="H18" s="240"/>
      <c r="I18" s="238">
        <f t="shared" si="0"/>
        <v>523182.26</v>
      </c>
      <c r="J18" s="363"/>
      <c r="K18" s="238" t="s">
        <v>356</v>
      </c>
      <c r="L18" s="238"/>
    </row>
    <row r="19" spans="1:12">
      <c r="A19" s="241" t="s">
        <v>200</v>
      </c>
      <c r="B19" s="238"/>
      <c r="C19" s="238"/>
      <c r="D19" s="240"/>
      <c r="E19" s="240"/>
      <c r="F19" s="240"/>
      <c r="G19" s="240"/>
      <c r="H19" s="240"/>
      <c r="I19" s="238">
        <f t="shared" si="0"/>
        <v>0</v>
      </c>
      <c r="J19" s="363"/>
      <c r="K19" s="238" t="s">
        <v>356</v>
      </c>
      <c r="L19" s="238"/>
    </row>
    <row r="20" spans="1:12">
      <c r="A20" s="241" t="s">
        <v>717</v>
      </c>
      <c r="B20" s="238"/>
      <c r="C20" s="238"/>
      <c r="D20" s="240"/>
      <c r="E20" s="240"/>
      <c r="F20" s="240"/>
      <c r="G20" s="240"/>
      <c r="H20" s="240"/>
      <c r="I20" s="238">
        <f t="shared" si="0"/>
        <v>0</v>
      </c>
      <c r="J20" s="363"/>
      <c r="K20" s="238" t="s">
        <v>356</v>
      </c>
      <c r="L20" s="238"/>
    </row>
    <row r="21" spans="1:12" ht="15.75" thickBot="1">
      <c r="A21" s="316" t="s">
        <v>253</v>
      </c>
      <c r="B21" s="238"/>
      <c r="C21" s="238"/>
      <c r="D21" s="243">
        <f t="shared" ref="D21:I21" si="1">SUM(D8:D20)</f>
        <v>5069128.34</v>
      </c>
      <c r="E21" s="243">
        <f t="shared" si="1"/>
        <v>11819720.27</v>
      </c>
      <c r="F21" s="243">
        <f t="shared" si="1"/>
        <v>2169719.9300000002</v>
      </c>
      <c r="G21" s="243">
        <f t="shared" si="1"/>
        <v>0</v>
      </c>
      <c r="H21" s="243">
        <f t="shared" si="1"/>
        <v>0</v>
      </c>
      <c r="I21" s="243">
        <f t="shared" si="1"/>
        <v>19058568.539999999</v>
      </c>
      <c r="J21" s="363"/>
      <c r="K21" s="238"/>
      <c r="L21" s="238"/>
    </row>
    <row r="22" spans="1:12" ht="13.5" thickTop="1">
      <c r="A22" s="245"/>
      <c r="B22" s="238"/>
      <c r="C22" s="238"/>
      <c r="D22" s="244"/>
      <c r="E22" s="244"/>
      <c r="F22" s="244"/>
      <c r="G22" s="244"/>
      <c r="H22" s="244"/>
      <c r="I22" s="238"/>
      <c r="J22" s="363"/>
      <c r="K22" s="238"/>
      <c r="L22" s="238"/>
    </row>
    <row r="23" spans="1:12" s="268" customFormat="1" ht="15">
      <c r="A23" s="316" t="s">
        <v>263</v>
      </c>
      <c r="B23" s="238"/>
      <c r="C23" s="238"/>
      <c r="D23" s="246"/>
      <c r="E23" s="246"/>
      <c r="F23" s="246"/>
      <c r="G23" s="246"/>
      <c r="H23" s="246"/>
      <c r="I23" s="238"/>
      <c r="J23" s="363"/>
      <c r="K23" s="238"/>
      <c r="L23" s="238"/>
    </row>
    <row r="24" spans="1:12">
      <c r="A24" s="241" t="s">
        <v>706</v>
      </c>
      <c r="B24" s="238"/>
      <c r="C24" s="238"/>
      <c r="D24" s="240"/>
      <c r="E24" s="240"/>
      <c r="F24" s="240"/>
      <c r="G24" s="240"/>
      <c r="H24" s="240"/>
      <c r="I24" s="238">
        <f>SUM(D24:H24)</f>
        <v>0</v>
      </c>
      <c r="J24" s="363"/>
      <c r="K24" s="238" t="s">
        <v>378</v>
      </c>
      <c r="L24" s="238"/>
    </row>
    <row r="25" spans="1:12">
      <c r="A25" s="241" t="s">
        <v>264</v>
      </c>
      <c r="B25" s="238"/>
      <c r="C25" s="238"/>
      <c r="D25" s="240"/>
      <c r="E25" s="240"/>
      <c r="F25" s="240"/>
      <c r="G25" s="240"/>
      <c r="H25" s="240"/>
      <c r="I25" s="238"/>
      <c r="J25" s="363"/>
      <c r="K25" s="238" t="s">
        <v>357</v>
      </c>
      <c r="L25" s="238"/>
    </row>
    <row r="26" spans="1:12">
      <c r="A26" s="241" t="s">
        <v>718</v>
      </c>
      <c r="B26" s="238"/>
      <c r="C26" s="238"/>
      <c r="D26" s="240">
        <v>1277756</v>
      </c>
      <c r="E26" s="240"/>
      <c r="F26" s="240"/>
      <c r="G26" s="240"/>
      <c r="H26" s="240"/>
      <c r="I26" s="238">
        <f t="shared" ref="I26:I27" si="2">SUM(D26:H26)</f>
        <v>1277756</v>
      </c>
      <c r="J26" s="363"/>
      <c r="K26" s="238"/>
      <c r="L26" s="238"/>
    </row>
    <row r="27" spans="1:12">
      <c r="A27" s="241" t="s">
        <v>212</v>
      </c>
      <c r="B27" s="238"/>
      <c r="C27" s="238"/>
      <c r="D27" s="240">
        <v>995214.76</v>
      </c>
      <c r="E27" s="240"/>
      <c r="F27" s="240"/>
      <c r="G27" s="240"/>
      <c r="H27" s="240"/>
      <c r="I27" s="249">
        <f t="shared" si="2"/>
        <v>995214.76</v>
      </c>
      <c r="J27" s="363"/>
      <c r="K27" s="238"/>
      <c r="L27" s="238"/>
    </row>
    <row r="28" spans="1:12">
      <c r="A28" s="241" t="s">
        <v>265</v>
      </c>
      <c r="B28" s="238"/>
      <c r="C28" s="238"/>
      <c r="D28" s="240">
        <v>4048201.91</v>
      </c>
      <c r="E28" s="240"/>
      <c r="F28" s="240"/>
      <c r="G28" s="240"/>
      <c r="H28" s="240"/>
      <c r="I28" s="249">
        <f>SUM(D28:H28)</f>
        <v>4048201.91</v>
      </c>
      <c r="J28" s="363"/>
      <c r="K28" s="238"/>
      <c r="L28" s="238"/>
    </row>
    <row r="29" spans="1:12">
      <c r="A29" s="241" t="s">
        <v>209</v>
      </c>
      <c r="B29" s="238"/>
      <c r="C29" s="238"/>
      <c r="D29" s="240"/>
      <c r="E29" s="240"/>
      <c r="F29" s="240"/>
      <c r="G29" s="240"/>
      <c r="H29" s="240"/>
      <c r="I29" s="249">
        <f>SUM(D29:H29)</f>
        <v>0</v>
      </c>
      <c r="J29" s="363"/>
      <c r="K29" s="238"/>
      <c r="L29" s="238"/>
    </row>
    <row r="30" spans="1:12">
      <c r="A30" s="241" t="s">
        <v>267</v>
      </c>
      <c r="B30" s="238"/>
      <c r="C30" s="238"/>
      <c r="D30" s="247">
        <v>-2453287</v>
      </c>
      <c r="E30" s="247"/>
      <c r="F30" s="247"/>
      <c r="G30" s="247"/>
      <c r="H30" s="247"/>
      <c r="I30" s="249">
        <f>SUM(D30:H30)</f>
        <v>-2453287</v>
      </c>
      <c r="J30" s="363"/>
      <c r="K30" s="238"/>
      <c r="L30" s="238"/>
    </row>
    <row r="31" spans="1:12">
      <c r="A31" s="241" t="s">
        <v>266</v>
      </c>
      <c r="B31" s="238"/>
      <c r="C31" s="238"/>
      <c r="D31" s="248">
        <f t="shared" ref="D31:F31" si="3">SUM(D26:D30)</f>
        <v>3867885.67</v>
      </c>
      <c r="E31" s="248">
        <f t="shared" si="3"/>
        <v>0</v>
      </c>
      <c r="F31" s="248">
        <f t="shared" si="3"/>
        <v>0</v>
      </c>
      <c r="G31" s="248">
        <f t="shared" ref="G31:H31" si="4">SUM(G26:G30)</f>
        <v>0</v>
      </c>
      <c r="H31" s="248">
        <f t="shared" si="4"/>
        <v>0</v>
      </c>
      <c r="I31" s="248">
        <f>SUM(I26:I30)</f>
        <v>3867885.67</v>
      </c>
      <c r="J31" s="363"/>
      <c r="K31" s="238"/>
      <c r="L31" s="238"/>
    </row>
    <row r="32" spans="1:12">
      <c r="A32" s="241"/>
      <c r="B32" s="238"/>
      <c r="C32" s="238"/>
      <c r="D32" s="240"/>
      <c r="E32" s="240"/>
      <c r="F32" s="240"/>
      <c r="G32" s="240"/>
      <c r="H32" s="240"/>
      <c r="I32" s="240"/>
      <c r="J32" s="363"/>
      <c r="K32" s="238"/>
      <c r="L32" s="238"/>
    </row>
    <row r="33" spans="1:14" ht="25.5">
      <c r="A33" s="241" t="s">
        <v>648</v>
      </c>
      <c r="B33" s="238"/>
      <c r="C33" s="238"/>
      <c r="D33" s="240">
        <v>452026.5</v>
      </c>
      <c r="E33" s="240"/>
      <c r="F33" s="240"/>
      <c r="G33" s="240"/>
      <c r="H33" s="240"/>
      <c r="I33" s="249">
        <f>SUM(D33:H33)</f>
        <v>452026.5</v>
      </c>
      <c r="J33" s="363"/>
      <c r="K33" s="238"/>
      <c r="L33" s="238"/>
    </row>
    <row r="34" spans="1:14" ht="25.5">
      <c r="A34" s="241" t="s">
        <v>647</v>
      </c>
      <c r="B34" s="249"/>
      <c r="C34" s="249"/>
      <c r="D34" s="240"/>
      <c r="E34" s="240"/>
      <c r="F34" s="240"/>
      <c r="G34" s="240"/>
      <c r="H34" s="240"/>
      <c r="I34" s="249">
        <f>SUM(D34:H34)</f>
        <v>0</v>
      </c>
      <c r="J34" s="363"/>
      <c r="K34" s="249"/>
      <c r="L34" s="249"/>
    </row>
    <row r="35" spans="1:14">
      <c r="A35" s="241" t="s">
        <v>351</v>
      </c>
      <c r="B35" s="238"/>
      <c r="C35" s="238"/>
      <c r="D35" s="240">
        <v>-92915</v>
      </c>
      <c r="E35" s="240"/>
      <c r="F35" s="240"/>
      <c r="G35" s="240"/>
      <c r="H35" s="240"/>
      <c r="I35" s="249">
        <f>SUM(D35:H35)</f>
        <v>-92915</v>
      </c>
      <c r="J35" s="363"/>
      <c r="K35" s="238" t="s">
        <v>380</v>
      </c>
      <c r="L35" s="238"/>
    </row>
    <row r="36" spans="1:14">
      <c r="A36" s="241" t="s">
        <v>255</v>
      </c>
      <c r="B36" s="238"/>
      <c r="C36" s="238"/>
      <c r="D36" s="240"/>
      <c r="E36" s="240"/>
      <c r="F36" s="240"/>
      <c r="G36" s="240"/>
      <c r="H36" s="240"/>
      <c r="I36" s="249">
        <f>SUM(D36:H36)</f>
        <v>0</v>
      </c>
      <c r="J36" s="363"/>
      <c r="K36" s="238" t="s">
        <v>356</v>
      </c>
      <c r="L36" s="238"/>
    </row>
    <row r="37" spans="1:14">
      <c r="A37" s="241" t="s">
        <v>719</v>
      </c>
      <c r="B37" s="238"/>
      <c r="C37" s="238"/>
      <c r="D37" s="240"/>
      <c r="E37" s="240"/>
      <c r="F37" s="240"/>
      <c r="G37" s="240"/>
      <c r="H37" s="240"/>
      <c r="I37" s="249">
        <f>SUM(D37:H37)</f>
        <v>0</v>
      </c>
      <c r="J37" s="363"/>
      <c r="K37" s="238"/>
      <c r="L37" s="238"/>
    </row>
    <row r="38" spans="1:14" ht="15.75" thickBot="1">
      <c r="A38" s="316" t="s">
        <v>272</v>
      </c>
      <c r="B38" s="249"/>
      <c r="C38" s="249"/>
      <c r="D38" s="243">
        <f>D24+D31+D33+D34+D35+D36+D37</f>
        <v>4226997.17</v>
      </c>
      <c r="E38" s="243">
        <f t="shared" ref="E38:I38" si="5">E24+E31+E33+E34+E35+E36+E37</f>
        <v>0</v>
      </c>
      <c r="F38" s="243">
        <f t="shared" si="5"/>
        <v>0</v>
      </c>
      <c r="G38" s="243">
        <f t="shared" si="5"/>
        <v>0</v>
      </c>
      <c r="H38" s="243">
        <f t="shared" si="5"/>
        <v>0</v>
      </c>
      <c r="I38" s="243">
        <f t="shared" si="5"/>
        <v>4226997.17</v>
      </c>
      <c r="J38" s="363"/>
      <c r="K38" s="249"/>
      <c r="L38" s="249"/>
    </row>
    <row r="39" spans="1:14" ht="13.5" thickTop="1">
      <c r="A39" s="241"/>
      <c r="B39" s="238"/>
      <c r="C39" s="238"/>
      <c r="D39" s="240"/>
      <c r="E39" s="240"/>
      <c r="F39" s="240"/>
      <c r="G39" s="240"/>
      <c r="H39" s="240"/>
      <c r="I39" s="249"/>
      <c r="J39" s="363"/>
      <c r="K39" s="238"/>
      <c r="L39" s="238"/>
    </row>
    <row r="40" spans="1:14" ht="15.75" thickBot="1">
      <c r="A40" s="316" t="s">
        <v>213</v>
      </c>
      <c r="B40" s="237"/>
      <c r="C40" s="237"/>
      <c r="D40" s="250">
        <f t="shared" ref="D40:I40" si="6">D21+D38</f>
        <v>9296125.5099999998</v>
      </c>
      <c r="E40" s="250">
        <f t="shared" si="6"/>
        <v>11819720.27</v>
      </c>
      <c r="F40" s="250">
        <f t="shared" si="6"/>
        <v>2169719.9300000002</v>
      </c>
      <c r="G40" s="250">
        <f t="shared" si="6"/>
        <v>0</v>
      </c>
      <c r="H40" s="250">
        <f t="shared" si="6"/>
        <v>0</v>
      </c>
      <c r="I40" s="250">
        <f t="shared" si="6"/>
        <v>23285565.710000001</v>
      </c>
      <c r="J40" s="363"/>
      <c r="K40" s="237"/>
      <c r="L40" s="237"/>
    </row>
    <row r="41" spans="1:14">
      <c r="A41" s="245"/>
      <c r="B41" s="238"/>
      <c r="C41" s="238"/>
      <c r="D41" s="240"/>
      <c r="E41" s="240"/>
      <c r="F41" s="240"/>
      <c r="G41" s="240"/>
      <c r="H41" s="240"/>
      <c r="I41" s="249"/>
      <c r="J41" s="363"/>
      <c r="K41" s="238"/>
      <c r="L41" s="238"/>
    </row>
    <row r="42" spans="1:14" ht="15">
      <c r="A42" s="316" t="s">
        <v>375</v>
      </c>
      <c r="B42" s="237"/>
      <c r="C42" s="237"/>
      <c r="D42" s="252"/>
      <c r="E42" s="252"/>
      <c r="F42" s="252"/>
      <c r="G42" s="252"/>
      <c r="H42" s="252"/>
      <c r="I42" s="237"/>
      <c r="J42" s="363"/>
      <c r="K42" s="237"/>
      <c r="L42" s="237"/>
    </row>
    <row r="43" spans="1:14">
      <c r="A43" s="376" t="s">
        <v>812</v>
      </c>
      <c r="B43" s="238"/>
      <c r="C43" s="238"/>
      <c r="D43" s="240"/>
      <c r="E43" s="240"/>
      <c r="F43" s="240"/>
      <c r="G43" s="240"/>
      <c r="H43" s="240"/>
      <c r="I43" s="249">
        <f t="shared" ref="I43:I46" si="7">SUM(D43:H43)</f>
        <v>0</v>
      </c>
      <c r="J43" s="363"/>
      <c r="K43" s="238"/>
      <c r="L43" s="238"/>
      <c r="M43" s="364" t="s">
        <v>695</v>
      </c>
      <c r="N43" s="260" t="s">
        <v>790</v>
      </c>
    </row>
    <row r="44" spans="1:14">
      <c r="A44" s="376" t="s">
        <v>836</v>
      </c>
      <c r="B44" s="238"/>
      <c r="C44" s="238"/>
      <c r="D44" s="240">
        <f>512464+129914+148157+182927</f>
        <v>973462</v>
      </c>
      <c r="E44" s="240"/>
      <c r="F44" s="240"/>
      <c r="G44" s="240"/>
      <c r="H44" s="240"/>
      <c r="I44" s="249">
        <f t="shared" ref="I44" si="8">SUM(D44:H44)</f>
        <v>973462</v>
      </c>
      <c r="J44" s="363"/>
      <c r="K44" s="238"/>
      <c r="L44" s="238"/>
      <c r="M44" s="364" t="s">
        <v>694</v>
      </c>
      <c r="N44" s="260" t="s">
        <v>790</v>
      </c>
    </row>
    <row r="45" spans="1:14">
      <c r="A45" s="376" t="s">
        <v>837</v>
      </c>
      <c r="B45" s="238"/>
      <c r="C45" s="238"/>
      <c r="D45" s="240">
        <v>834793</v>
      </c>
      <c r="E45" s="240"/>
      <c r="F45" s="240"/>
      <c r="G45" s="240"/>
      <c r="H45" s="240"/>
      <c r="I45" s="249">
        <f t="shared" si="7"/>
        <v>834793</v>
      </c>
      <c r="J45" s="363"/>
      <c r="K45" s="238"/>
      <c r="L45" s="238"/>
      <c r="M45" s="364" t="s">
        <v>720</v>
      </c>
      <c r="N45" s="260" t="s">
        <v>790</v>
      </c>
    </row>
    <row r="46" spans="1:14" ht="26.25" thickBot="1">
      <c r="A46" s="245" t="s">
        <v>674</v>
      </c>
      <c r="B46" s="237"/>
      <c r="C46" s="237"/>
      <c r="D46" s="250">
        <f>SUM(D43:D45)</f>
        <v>1808255</v>
      </c>
      <c r="E46" s="250">
        <f>SUM(E43:E45)</f>
        <v>0</v>
      </c>
      <c r="F46" s="250">
        <f>SUM(F43:F45)</f>
        <v>0</v>
      </c>
      <c r="G46" s="250">
        <f>SUM(G43:G45)</f>
        <v>0</v>
      </c>
      <c r="H46" s="250">
        <f>SUM(H43:H45)</f>
        <v>0</v>
      </c>
      <c r="I46" s="250">
        <f t="shared" si="7"/>
        <v>1808255</v>
      </c>
      <c r="J46" s="363"/>
      <c r="K46" s="237" t="s">
        <v>356</v>
      </c>
      <c r="L46" s="237"/>
    </row>
    <row r="47" spans="1:14">
      <c r="A47" s="245"/>
      <c r="B47" s="238"/>
      <c r="C47" s="238"/>
      <c r="D47" s="240"/>
      <c r="E47" s="240"/>
      <c r="F47" s="240"/>
      <c r="G47" s="240"/>
      <c r="H47" s="240"/>
      <c r="I47" s="249"/>
      <c r="J47" s="363"/>
      <c r="K47" s="238"/>
      <c r="L47" s="238"/>
    </row>
    <row r="48" spans="1:14" ht="15">
      <c r="A48" s="316" t="s">
        <v>4</v>
      </c>
      <c r="B48" s="251"/>
      <c r="C48" s="251"/>
      <c r="D48" s="251"/>
      <c r="E48" s="251"/>
      <c r="F48" s="251"/>
      <c r="G48" s="251"/>
      <c r="H48" s="251"/>
      <c r="I48" s="237"/>
      <c r="J48" s="363"/>
      <c r="K48" s="251"/>
      <c r="L48" s="251"/>
    </row>
    <row r="49" spans="1:14" s="268" customFormat="1" ht="15">
      <c r="A49" s="316" t="s">
        <v>268</v>
      </c>
      <c r="B49" s="238"/>
      <c r="C49" s="238"/>
      <c r="D49" s="246"/>
      <c r="E49" s="246"/>
      <c r="F49" s="246"/>
      <c r="G49" s="246"/>
      <c r="H49" s="246"/>
      <c r="I49" s="238"/>
      <c r="J49" s="363"/>
      <c r="K49" s="238"/>
      <c r="L49" s="238"/>
    </row>
    <row r="50" spans="1:14">
      <c r="A50" s="241" t="s">
        <v>218</v>
      </c>
      <c r="B50" s="238"/>
      <c r="C50" s="238"/>
      <c r="D50" s="240">
        <v>749668.7</v>
      </c>
      <c r="E50" s="240">
        <v>266390.99</v>
      </c>
      <c r="F50" s="240">
        <v>43108.31</v>
      </c>
      <c r="G50" s="240"/>
      <c r="H50" s="240"/>
      <c r="I50" s="249">
        <f t="shared" ref="I50:I66" si="9">SUM(D50:H50)</f>
        <v>1059168</v>
      </c>
      <c r="J50" s="363"/>
      <c r="K50" s="238" t="s">
        <v>356</v>
      </c>
      <c r="L50" s="238"/>
    </row>
    <row r="51" spans="1:14">
      <c r="A51" s="241" t="s">
        <v>657</v>
      </c>
      <c r="B51" s="238"/>
      <c r="C51" s="238"/>
      <c r="D51" s="240"/>
      <c r="E51" s="240"/>
      <c r="F51" s="240"/>
      <c r="G51" s="240"/>
      <c r="H51" s="240"/>
      <c r="I51" s="249">
        <f t="shared" si="9"/>
        <v>0</v>
      </c>
      <c r="J51" s="363"/>
      <c r="K51" s="238"/>
      <c r="L51" s="238"/>
    </row>
    <row r="52" spans="1:14">
      <c r="A52" s="241" t="s">
        <v>561</v>
      </c>
      <c r="B52" s="238"/>
      <c r="C52" s="238"/>
      <c r="D52" s="240"/>
      <c r="E52" s="240"/>
      <c r="F52" s="240"/>
      <c r="G52" s="240"/>
      <c r="H52" s="240"/>
      <c r="I52" s="238">
        <f t="shared" si="9"/>
        <v>0</v>
      </c>
      <c r="J52" s="363"/>
      <c r="K52" s="238" t="s">
        <v>381</v>
      </c>
      <c r="L52" s="238"/>
    </row>
    <row r="53" spans="1:14">
      <c r="A53" s="241" t="s">
        <v>221</v>
      </c>
      <c r="B53" s="238"/>
      <c r="C53" s="238"/>
      <c r="D53" s="240">
        <v>138856.54</v>
      </c>
      <c r="E53" s="240"/>
      <c r="F53" s="240"/>
      <c r="G53" s="240"/>
      <c r="H53" s="240"/>
      <c r="I53" s="238">
        <f t="shared" si="9"/>
        <v>138856.54</v>
      </c>
      <c r="J53" s="363"/>
      <c r="K53" s="238" t="s">
        <v>381</v>
      </c>
      <c r="L53" s="238"/>
    </row>
    <row r="54" spans="1:14">
      <c r="A54" s="241" t="s">
        <v>592</v>
      </c>
      <c r="B54" s="238"/>
      <c r="C54" s="238"/>
      <c r="D54" s="240">
        <v>30741.11</v>
      </c>
      <c r="E54" s="240"/>
      <c r="F54" s="240"/>
      <c r="G54" s="240"/>
      <c r="H54" s="240"/>
      <c r="I54" s="238">
        <f t="shared" si="9"/>
        <v>30741.11</v>
      </c>
      <c r="J54" s="363"/>
      <c r="K54" s="238" t="s">
        <v>356</v>
      </c>
      <c r="L54" s="238"/>
    </row>
    <row r="55" spans="1:14">
      <c r="A55" s="241" t="s">
        <v>223</v>
      </c>
      <c r="B55" s="238"/>
      <c r="C55" s="238"/>
      <c r="D55" s="240">
        <f>40407.93-33880</f>
        <v>6527.93</v>
      </c>
      <c r="E55" s="240"/>
      <c r="F55" s="240"/>
      <c r="G55" s="240"/>
      <c r="H55" s="240"/>
      <c r="I55" s="238">
        <f t="shared" si="9"/>
        <v>6527.93</v>
      </c>
      <c r="J55" s="363"/>
      <c r="K55" s="238" t="s">
        <v>356</v>
      </c>
      <c r="L55" s="238"/>
    </row>
    <row r="56" spans="1:14">
      <c r="A56" s="241" t="s">
        <v>658</v>
      </c>
      <c r="B56" s="238"/>
      <c r="C56" s="238"/>
      <c r="D56" s="240"/>
      <c r="E56" s="240"/>
      <c r="F56" s="240"/>
      <c r="G56" s="240"/>
      <c r="H56" s="240"/>
      <c r="I56" s="238">
        <f t="shared" si="9"/>
        <v>0</v>
      </c>
      <c r="J56" s="363"/>
      <c r="K56" s="238"/>
      <c r="L56" s="238"/>
    </row>
    <row r="57" spans="1:14">
      <c r="A57" s="241" t="s">
        <v>593</v>
      </c>
      <c r="B57" s="238"/>
      <c r="C57" s="238"/>
      <c r="D57" s="240"/>
      <c r="E57" s="240"/>
      <c r="F57" s="240"/>
      <c r="G57" s="240"/>
      <c r="H57" s="240"/>
      <c r="I57" s="238">
        <f t="shared" si="9"/>
        <v>0</v>
      </c>
      <c r="J57" s="363"/>
      <c r="K57" s="238"/>
      <c r="L57" s="238"/>
    </row>
    <row r="58" spans="1:14">
      <c r="A58" s="241" t="s">
        <v>273</v>
      </c>
      <c r="B58" s="238"/>
      <c r="C58" s="238"/>
      <c r="D58" s="240">
        <v>87560.4</v>
      </c>
      <c r="E58" s="240"/>
      <c r="F58" s="240"/>
      <c r="G58" s="240"/>
      <c r="H58" s="240"/>
      <c r="I58" s="238">
        <f t="shared" si="9"/>
        <v>87560.4</v>
      </c>
      <c r="J58" s="363"/>
      <c r="K58" s="238" t="s">
        <v>356</v>
      </c>
      <c r="L58" s="238"/>
    </row>
    <row r="59" spans="1:14">
      <c r="A59" s="241" t="s">
        <v>788</v>
      </c>
      <c r="B59" s="238"/>
      <c r="C59" s="238"/>
      <c r="D59" s="240"/>
      <c r="E59" s="240"/>
      <c r="F59" s="240"/>
      <c r="G59" s="240"/>
      <c r="H59" s="240"/>
      <c r="I59" s="238"/>
      <c r="J59" s="363"/>
      <c r="K59" s="238"/>
      <c r="L59" s="238"/>
      <c r="M59" s="364" t="s">
        <v>788</v>
      </c>
      <c r="N59" s="260" t="s">
        <v>789</v>
      </c>
    </row>
    <row r="60" spans="1:14">
      <c r="A60" s="241" t="s">
        <v>274</v>
      </c>
      <c r="B60" s="238"/>
      <c r="C60" s="238"/>
      <c r="D60" s="240">
        <v>304726.87</v>
      </c>
      <c r="E60" s="240"/>
      <c r="F60" s="240"/>
      <c r="G60" s="240"/>
      <c r="H60" s="240"/>
      <c r="I60" s="238">
        <f t="shared" si="9"/>
        <v>304726.87</v>
      </c>
      <c r="J60" s="363"/>
      <c r="K60" s="238" t="s">
        <v>381</v>
      </c>
      <c r="L60" s="238"/>
    </row>
    <row r="61" spans="1:14">
      <c r="A61" s="241" t="s">
        <v>275</v>
      </c>
      <c r="B61" s="238"/>
      <c r="C61" s="238"/>
      <c r="D61" s="240"/>
      <c r="E61" s="240"/>
      <c r="F61" s="240"/>
      <c r="G61" s="240"/>
      <c r="H61" s="240"/>
      <c r="I61" s="238">
        <f t="shared" si="9"/>
        <v>0</v>
      </c>
      <c r="J61" s="363"/>
      <c r="K61" s="238" t="s">
        <v>381</v>
      </c>
      <c r="L61" s="238"/>
    </row>
    <row r="62" spans="1:14">
      <c r="A62" s="241" t="s">
        <v>277</v>
      </c>
      <c r="B62" s="238"/>
      <c r="C62" s="238"/>
      <c r="D62" s="240"/>
      <c r="E62" s="240"/>
      <c r="F62" s="240"/>
      <c r="G62" s="240"/>
      <c r="H62" s="240"/>
      <c r="I62" s="238"/>
      <c r="J62" s="363"/>
      <c r="K62" s="238" t="s">
        <v>379</v>
      </c>
      <c r="L62" s="238"/>
    </row>
    <row r="63" spans="1:14">
      <c r="A63" s="325" t="s">
        <v>278</v>
      </c>
      <c r="B63" s="238"/>
      <c r="C63" s="238"/>
      <c r="D63" s="240"/>
      <c r="E63" s="240">
        <v>559092</v>
      </c>
      <c r="F63" s="240">
        <v>45379.35</v>
      </c>
      <c r="G63" s="240"/>
      <c r="H63" s="240"/>
      <c r="I63" s="238">
        <f t="shared" si="9"/>
        <v>604471.35</v>
      </c>
      <c r="J63" s="363"/>
      <c r="K63" s="238"/>
      <c r="L63" s="238"/>
    </row>
    <row r="64" spans="1:14">
      <c r="A64" s="325" t="s">
        <v>279</v>
      </c>
      <c r="B64" s="238"/>
      <c r="C64" s="238"/>
      <c r="D64" s="240"/>
      <c r="E64" s="240">
        <v>522963</v>
      </c>
      <c r="F64" s="240"/>
      <c r="G64" s="240"/>
      <c r="H64" s="240"/>
      <c r="I64" s="238">
        <f t="shared" si="9"/>
        <v>522963</v>
      </c>
      <c r="J64" s="363"/>
      <c r="K64" s="238"/>
      <c r="L64" s="238"/>
    </row>
    <row r="65" spans="1:13">
      <c r="A65" s="325" t="s">
        <v>280</v>
      </c>
      <c r="B65" s="238"/>
      <c r="C65" s="238"/>
      <c r="D65" s="240"/>
      <c r="E65" s="240">
        <v>186000</v>
      </c>
      <c r="F65" s="240"/>
      <c r="G65" s="240"/>
      <c r="H65" s="240"/>
      <c r="I65" s="238">
        <f t="shared" si="9"/>
        <v>186000</v>
      </c>
      <c r="J65" s="363"/>
      <c r="K65" s="238"/>
      <c r="L65" s="238"/>
    </row>
    <row r="66" spans="1:13">
      <c r="A66" s="325" t="s">
        <v>564</v>
      </c>
      <c r="B66" s="238"/>
      <c r="C66" s="238"/>
      <c r="D66" s="240"/>
      <c r="E66" s="240"/>
      <c r="F66" s="240"/>
      <c r="G66" s="240"/>
      <c r="H66" s="240"/>
      <c r="I66" s="238">
        <f t="shared" si="9"/>
        <v>0</v>
      </c>
      <c r="J66" s="363"/>
      <c r="K66" s="238"/>
      <c r="L66" s="238"/>
    </row>
    <row r="67" spans="1:13">
      <c r="A67" s="241" t="s">
        <v>229</v>
      </c>
      <c r="B67" s="238"/>
      <c r="C67" s="238"/>
      <c r="D67" s="240">
        <v>523.67999999999995</v>
      </c>
      <c r="E67" s="240"/>
      <c r="F67" s="240"/>
      <c r="G67" s="240"/>
      <c r="H67" s="240"/>
      <c r="I67" s="238">
        <f>SUM(D67:H67)</f>
        <v>523.67999999999995</v>
      </c>
      <c r="J67" s="363"/>
      <c r="K67" s="238" t="s">
        <v>356</v>
      </c>
      <c r="L67" s="238"/>
    </row>
    <row r="68" spans="1:13">
      <c r="A68" s="241" t="s">
        <v>228</v>
      </c>
      <c r="B68" s="238"/>
      <c r="C68" s="238"/>
      <c r="D68" s="240"/>
      <c r="E68" s="240"/>
      <c r="F68" s="240"/>
      <c r="G68" s="240"/>
      <c r="H68" s="240"/>
      <c r="I68" s="238">
        <f>SUM(D68:H68)</f>
        <v>0</v>
      </c>
      <c r="J68" s="363"/>
      <c r="K68" s="238" t="s">
        <v>356</v>
      </c>
      <c r="L68" s="238"/>
    </row>
    <row r="69" spans="1:13" ht="25.5">
      <c r="A69" s="241" t="s">
        <v>281</v>
      </c>
      <c r="B69" s="238"/>
      <c r="C69" s="238"/>
      <c r="D69" s="240"/>
      <c r="E69" s="240"/>
      <c r="F69" s="240"/>
      <c r="G69" s="240"/>
      <c r="H69" s="240"/>
      <c r="I69" s="238">
        <f>SUM(D69:H69)</f>
        <v>0</v>
      </c>
      <c r="J69" s="363"/>
      <c r="K69" s="238" t="s">
        <v>379</v>
      </c>
      <c r="L69" s="238"/>
    </row>
    <row r="70" spans="1:13">
      <c r="A70" s="241" t="s">
        <v>698</v>
      </c>
      <c r="B70" s="238"/>
      <c r="C70" s="238"/>
      <c r="D70" s="240"/>
      <c r="E70" s="240"/>
      <c r="F70" s="240"/>
      <c r="G70" s="240"/>
      <c r="H70" s="240"/>
      <c r="I70" s="238">
        <f>SUM(D70:H70)</f>
        <v>0</v>
      </c>
      <c r="J70" s="363"/>
      <c r="K70" s="238" t="s">
        <v>356</v>
      </c>
      <c r="L70" s="238"/>
    </row>
    <row r="71" spans="1:13" ht="15.75" thickBot="1">
      <c r="A71" s="316" t="s">
        <v>269</v>
      </c>
      <c r="B71" s="238"/>
      <c r="C71" s="238"/>
      <c r="D71" s="243">
        <f t="shared" ref="D71:I71" si="10">SUM(D50:D70)</f>
        <v>1318605.23</v>
      </c>
      <c r="E71" s="243">
        <f t="shared" si="10"/>
        <v>1534445.99</v>
      </c>
      <c r="F71" s="243">
        <f t="shared" si="10"/>
        <v>88487.66</v>
      </c>
      <c r="G71" s="243">
        <f t="shared" si="10"/>
        <v>0</v>
      </c>
      <c r="H71" s="243">
        <f t="shared" si="10"/>
        <v>0</v>
      </c>
      <c r="I71" s="243">
        <f t="shared" si="10"/>
        <v>2941538.8800000004</v>
      </c>
      <c r="J71" s="363"/>
      <c r="K71" s="238"/>
      <c r="L71" s="238"/>
    </row>
    <row r="72" spans="1:13" ht="13.5" thickTop="1">
      <c r="A72" s="245"/>
      <c r="B72" s="238"/>
      <c r="C72" s="238"/>
      <c r="D72" s="246"/>
      <c r="E72" s="246"/>
      <c r="F72" s="246"/>
      <c r="G72" s="246"/>
      <c r="H72" s="246"/>
      <c r="I72" s="238"/>
      <c r="J72" s="363"/>
      <c r="K72" s="238"/>
      <c r="L72" s="238"/>
    </row>
    <row r="73" spans="1:13" s="268" customFormat="1" ht="15">
      <c r="A73" s="316" t="s">
        <v>270</v>
      </c>
      <c r="B73" s="238"/>
      <c r="C73" s="238"/>
      <c r="D73" s="246"/>
      <c r="E73" s="246"/>
      <c r="F73" s="246"/>
      <c r="G73" s="246"/>
      <c r="H73" s="246"/>
      <c r="I73" s="238"/>
      <c r="J73" s="363"/>
      <c r="K73" s="238"/>
      <c r="L73" s="238"/>
    </row>
    <row r="74" spans="1:13">
      <c r="A74" s="241" t="s">
        <v>714</v>
      </c>
      <c r="B74" s="238"/>
      <c r="C74" s="238"/>
      <c r="D74" s="240">
        <f>476758-87560.4-1</f>
        <v>389196.6</v>
      </c>
      <c r="E74" s="240"/>
      <c r="F74" s="240"/>
      <c r="G74" s="240"/>
      <c r="H74" s="240"/>
      <c r="I74" s="238">
        <f t="shared" ref="I74:I86" si="11">SUM(D74:H74)</f>
        <v>389196.6</v>
      </c>
      <c r="J74" s="363"/>
      <c r="K74" s="238" t="s">
        <v>356</v>
      </c>
      <c r="L74" s="238"/>
      <c r="M74" s="260" t="s">
        <v>795</v>
      </c>
    </row>
    <row r="75" spans="1:13">
      <c r="A75" s="241" t="s">
        <v>794</v>
      </c>
      <c r="B75" s="238"/>
      <c r="C75" s="238"/>
      <c r="D75" s="240"/>
      <c r="E75" s="240"/>
      <c r="F75" s="240"/>
      <c r="G75" s="240"/>
      <c r="H75" s="240"/>
      <c r="I75" s="238">
        <f t="shared" si="11"/>
        <v>0</v>
      </c>
      <c r="J75" s="363"/>
      <c r="K75" s="238"/>
      <c r="L75" s="238"/>
    </row>
    <row r="76" spans="1:13">
      <c r="A76" s="241" t="s">
        <v>707</v>
      </c>
      <c r="B76" s="238"/>
      <c r="C76" s="238"/>
      <c r="D76" s="240"/>
      <c r="E76" s="240"/>
      <c r="F76" s="240"/>
      <c r="G76" s="240"/>
      <c r="H76" s="240"/>
      <c r="I76" s="238">
        <f t="shared" si="11"/>
        <v>0</v>
      </c>
      <c r="J76" s="363"/>
      <c r="K76" s="238" t="s">
        <v>381</v>
      </c>
      <c r="L76" s="238"/>
    </row>
    <row r="77" spans="1:13">
      <c r="A77" s="241" t="s">
        <v>715</v>
      </c>
      <c r="B77" s="238"/>
      <c r="C77" s="238"/>
      <c r="D77" s="240"/>
      <c r="E77" s="240"/>
      <c r="F77" s="240"/>
      <c r="G77" s="240"/>
      <c r="H77" s="240"/>
      <c r="I77" s="331"/>
      <c r="J77" s="363"/>
      <c r="K77" s="238" t="s">
        <v>379</v>
      </c>
      <c r="L77" s="238"/>
    </row>
    <row r="78" spans="1:13">
      <c r="A78" s="325" t="s">
        <v>708</v>
      </c>
      <c r="B78" s="238"/>
      <c r="C78" s="238"/>
      <c r="D78" s="240"/>
      <c r="E78" s="240">
        <v>1079009</v>
      </c>
      <c r="F78" s="240"/>
      <c r="G78" s="240"/>
      <c r="H78" s="240"/>
      <c r="I78" s="238">
        <f t="shared" si="11"/>
        <v>1079009</v>
      </c>
      <c r="J78" s="363"/>
      <c r="K78" s="238"/>
      <c r="L78" s="238"/>
    </row>
    <row r="79" spans="1:13">
      <c r="A79" s="325" t="s">
        <v>709</v>
      </c>
      <c r="B79" s="238"/>
      <c r="C79" s="238"/>
      <c r="D79" s="240"/>
      <c r="E79" s="240">
        <v>490290</v>
      </c>
      <c r="F79" s="240"/>
      <c r="G79" s="240"/>
      <c r="H79" s="240"/>
      <c r="I79" s="238">
        <f t="shared" si="11"/>
        <v>490290</v>
      </c>
      <c r="J79" s="363"/>
      <c r="K79" s="238"/>
      <c r="L79" s="238"/>
    </row>
    <row r="80" spans="1:13">
      <c r="A80" s="325" t="s">
        <v>710</v>
      </c>
      <c r="B80" s="238"/>
      <c r="C80" s="238"/>
      <c r="D80" s="240"/>
      <c r="E80" s="240">
        <v>338382</v>
      </c>
      <c r="F80" s="240"/>
      <c r="G80" s="240"/>
      <c r="H80" s="240"/>
      <c r="I80" s="238">
        <f t="shared" si="11"/>
        <v>338382</v>
      </c>
      <c r="J80" s="363"/>
      <c r="K80" s="238"/>
      <c r="L80" s="238"/>
    </row>
    <row r="81" spans="1:14">
      <c r="A81" s="325" t="s">
        <v>711</v>
      </c>
      <c r="B81" s="238"/>
      <c r="C81" s="238"/>
      <c r="D81" s="240"/>
      <c r="E81" s="240"/>
      <c r="F81" s="240"/>
      <c r="G81" s="240"/>
      <c r="H81" s="240"/>
      <c r="I81" s="238">
        <f t="shared" si="11"/>
        <v>0</v>
      </c>
      <c r="J81" s="363"/>
      <c r="K81" s="238"/>
      <c r="L81" s="238"/>
    </row>
    <row r="82" spans="1:14">
      <c r="A82" s="241" t="s">
        <v>815</v>
      </c>
      <c r="B82" s="238"/>
      <c r="C82" s="238"/>
      <c r="D82" s="240">
        <v>3369219</v>
      </c>
      <c r="E82" s="240"/>
      <c r="F82" s="240"/>
      <c r="G82" s="240"/>
      <c r="H82" s="240"/>
      <c r="I82" s="238">
        <f t="shared" si="11"/>
        <v>3369219</v>
      </c>
      <c r="J82" s="363"/>
      <c r="K82" s="238" t="s">
        <v>722</v>
      </c>
      <c r="L82" s="238"/>
      <c r="M82" s="364" t="s">
        <v>662</v>
      </c>
      <c r="N82" s="260" t="s">
        <v>790</v>
      </c>
    </row>
    <row r="83" spans="1:14">
      <c r="A83" s="241" t="s">
        <v>791</v>
      </c>
      <c r="B83" s="238"/>
      <c r="C83" s="238"/>
      <c r="D83" s="240">
        <v>4314331</v>
      </c>
      <c r="E83" s="240"/>
      <c r="F83" s="240"/>
      <c r="G83" s="240"/>
      <c r="H83" s="240"/>
      <c r="I83" s="238">
        <f t="shared" ref="I83" si="12">SUM(D83:H83)</f>
        <v>4314331</v>
      </c>
      <c r="J83" s="363"/>
      <c r="K83" s="238" t="s">
        <v>723</v>
      </c>
      <c r="L83" s="238"/>
      <c r="M83" s="364" t="s">
        <v>775</v>
      </c>
      <c r="N83" s="260" t="s">
        <v>792</v>
      </c>
    </row>
    <row r="84" spans="1:14">
      <c r="A84" s="241" t="s">
        <v>712</v>
      </c>
      <c r="B84" s="238"/>
      <c r="C84" s="238"/>
      <c r="D84" s="240">
        <v>3403517.39</v>
      </c>
      <c r="E84" s="240"/>
      <c r="F84" s="240"/>
      <c r="G84" s="240"/>
      <c r="H84" s="240"/>
      <c r="I84" s="238">
        <f t="shared" si="11"/>
        <v>3403517.39</v>
      </c>
      <c r="J84" s="363"/>
      <c r="K84" s="238" t="s">
        <v>381</v>
      </c>
      <c r="L84" s="238"/>
    </row>
    <row r="85" spans="1:14">
      <c r="A85" s="241" t="s">
        <v>713</v>
      </c>
      <c r="B85" s="238"/>
      <c r="C85" s="238"/>
      <c r="D85" s="240"/>
      <c r="E85" s="240"/>
      <c r="F85" s="240"/>
      <c r="G85" s="240"/>
      <c r="H85" s="240"/>
      <c r="I85" s="238">
        <f t="shared" ref="I85" si="13">SUM(D85:H85)</f>
        <v>0</v>
      </c>
      <c r="J85" s="363"/>
      <c r="K85" s="238" t="s">
        <v>381</v>
      </c>
      <c r="L85" s="238"/>
    </row>
    <row r="86" spans="1:14">
      <c r="A86" s="241" t="s">
        <v>793</v>
      </c>
      <c r="B86" s="238"/>
      <c r="C86" s="238"/>
      <c r="D86" s="240"/>
      <c r="E86" s="240"/>
      <c r="F86" s="240"/>
      <c r="G86" s="240"/>
      <c r="H86" s="240"/>
      <c r="I86" s="238">
        <f t="shared" si="11"/>
        <v>0</v>
      </c>
      <c r="J86" s="363"/>
      <c r="K86" s="238" t="s">
        <v>724</v>
      </c>
      <c r="L86" s="238"/>
    </row>
    <row r="87" spans="1:14" ht="15.75" thickBot="1">
      <c r="A87" s="316" t="s">
        <v>271</v>
      </c>
      <c r="B87" s="238"/>
      <c r="C87" s="238"/>
      <c r="D87" s="243">
        <f t="shared" ref="D87:I87" si="14">SUM(D74:D86)</f>
        <v>11476263.99</v>
      </c>
      <c r="E87" s="243">
        <f t="shared" si="14"/>
        <v>1907681</v>
      </c>
      <c r="F87" s="243">
        <f t="shared" si="14"/>
        <v>0</v>
      </c>
      <c r="G87" s="243">
        <f t="shared" si="14"/>
        <v>0</v>
      </c>
      <c r="H87" s="243">
        <f t="shared" si="14"/>
        <v>0</v>
      </c>
      <c r="I87" s="243">
        <f t="shared" si="14"/>
        <v>13383944.99</v>
      </c>
      <c r="J87" s="363"/>
      <c r="K87" s="238"/>
      <c r="L87" s="238"/>
    </row>
    <row r="88" spans="1:14" ht="13.5" thickTop="1">
      <c r="A88" s="245"/>
      <c r="B88" s="238"/>
      <c r="C88" s="238"/>
      <c r="D88" s="246"/>
      <c r="E88" s="246"/>
      <c r="F88" s="246"/>
      <c r="G88" s="246"/>
      <c r="H88" s="246"/>
      <c r="I88" s="249"/>
      <c r="J88" s="363"/>
      <c r="K88" s="238"/>
      <c r="L88" s="238"/>
    </row>
    <row r="89" spans="1:14" ht="15.75" thickBot="1">
      <c r="A89" s="316" t="s">
        <v>233</v>
      </c>
      <c r="B89" s="237"/>
      <c r="C89" s="237"/>
      <c r="D89" s="250">
        <f t="shared" ref="D89:I89" si="15">D71+D87</f>
        <v>12794869.220000001</v>
      </c>
      <c r="E89" s="250">
        <f t="shared" si="15"/>
        <v>3442126.99</v>
      </c>
      <c r="F89" s="250">
        <f t="shared" si="15"/>
        <v>88487.66</v>
      </c>
      <c r="G89" s="250">
        <f t="shared" si="15"/>
        <v>0</v>
      </c>
      <c r="H89" s="250">
        <f t="shared" si="15"/>
        <v>0</v>
      </c>
      <c r="I89" s="250">
        <f t="shared" si="15"/>
        <v>16325483.870000001</v>
      </c>
      <c r="J89" s="363"/>
      <c r="K89" s="237"/>
      <c r="L89" s="237"/>
    </row>
    <row r="90" spans="1:14">
      <c r="A90" s="245"/>
      <c r="B90" s="238"/>
      <c r="C90" s="238"/>
      <c r="D90" s="246"/>
      <c r="E90" s="246"/>
      <c r="F90" s="246"/>
      <c r="G90" s="246"/>
      <c r="H90" s="246"/>
      <c r="I90" s="249"/>
      <c r="J90" s="363"/>
      <c r="K90" s="238"/>
      <c r="L90" s="238"/>
    </row>
    <row r="91" spans="1:14" ht="15">
      <c r="A91" s="316" t="s">
        <v>376</v>
      </c>
      <c r="B91" s="237"/>
      <c r="C91" s="237"/>
      <c r="D91" s="251"/>
      <c r="E91" s="251"/>
      <c r="F91" s="251"/>
      <c r="G91" s="251"/>
      <c r="H91" s="251"/>
      <c r="I91" s="237"/>
      <c r="J91" s="363"/>
      <c r="K91" s="237" t="s">
        <v>356</v>
      </c>
      <c r="L91" s="237"/>
    </row>
    <row r="92" spans="1:14">
      <c r="A92" s="376" t="s">
        <v>812</v>
      </c>
      <c r="B92" s="238"/>
      <c r="C92" s="238"/>
      <c r="D92" s="246"/>
      <c r="E92" s="246"/>
      <c r="F92" s="246"/>
      <c r="G92" s="246"/>
      <c r="H92" s="246"/>
      <c r="I92" s="249">
        <f t="shared" ref="I92:I95" si="16">SUM(D92:H92)</f>
        <v>0</v>
      </c>
      <c r="J92" s="363"/>
      <c r="K92" s="238"/>
      <c r="L92" s="238"/>
      <c r="M92" s="364" t="s">
        <v>696</v>
      </c>
      <c r="N92" s="260" t="s">
        <v>790</v>
      </c>
    </row>
    <row r="93" spans="1:14">
      <c r="A93" s="376" t="s">
        <v>813</v>
      </c>
      <c r="B93" s="238"/>
      <c r="C93" s="238"/>
      <c r="D93" s="246">
        <f>853736+9844+189451+215240</f>
        <v>1268271</v>
      </c>
      <c r="E93" s="246"/>
      <c r="F93" s="246"/>
      <c r="G93" s="246"/>
      <c r="H93" s="246"/>
      <c r="I93" s="249">
        <f t="shared" ref="I93" si="17">SUM(D93:H93)</f>
        <v>1268271</v>
      </c>
      <c r="J93" s="363"/>
      <c r="K93" s="238" t="s">
        <v>722</v>
      </c>
      <c r="L93" s="238"/>
      <c r="M93" s="364" t="s">
        <v>835</v>
      </c>
      <c r="N93" s="260" t="s">
        <v>790</v>
      </c>
    </row>
    <row r="94" spans="1:14">
      <c r="A94" s="376" t="s">
        <v>814</v>
      </c>
      <c r="B94" s="238"/>
      <c r="C94" s="238"/>
      <c r="D94" s="246">
        <v>197079</v>
      </c>
      <c r="E94" s="246"/>
      <c r="F94" s="246"/>
      <c r="G94" s="246"/>
      <c r="H94" s="246"/>
      <c r="I94" s="249">
        <f t="shared" si="16"/>
        <v>197079</v>
      </c>
      <c r="J94" s="363"/>
      <c r="K94" s="238" t="s">
        <v>723</v>
      </c>
      <c r="L94" s="238"/>
      <c r="M94" s="364" t="s">
        <v>725</v>
      </c>
      <c r="N94" s="260" t="s">
        <v>790</v>
      </c>
    </row>
    <row r="95" spans="1:14" ht="30.75" thickBot="1">
      <c r="A95" s="316" t="s">
        <v>675</v>
      </c>
      <c r="B95" s="237"/>
      <c r="C95" s="237"/>
      <c r="D95" s="250">
        <f>SUM(D92:D94)</f>
        <v>1465350</v>
      </c>
      <c r="E95" s="250">
        <f>SUM(E92:E94)</f>
        <v>0</v>
      </c>
      <c r="F95" s="250">
        <f>SUM(F92:F94)</f>
        <v>0</v>
      </c>
      <c r="G95" s="250">
        <f>SUM(G92:G94)</f>
        <v>0</v>
      </c>
      <c r="H95" s="250">
        <f>SUM(H92:H94)</f>
        <v>0</v>
      </c>
      <c r="I95" s="250">
        <f t="shared" si="16"/>
        <v>1465350</v>
      </c>
      <c r="J95" s="363"/>
      <c r="K95" s="237"/>
      <c r="L95" s="237"/>
    </row>
    <row r="96" spans="1:14">
      <c r="A96" s="245"/>
      <c r="B96" s="238"/>
      <c r="C96" s="238"/>
      <c r="D96" s="240"/>
      <c r="E96" s="240"/>
      <c r="F96" s="240"/>
      <c r="G96" s="240"/>
      <c r="H96" s="240"/>
      <c r="I96" s="249"/>
      <c r="J96" s="363"/>
      <c r="K96" s="238"/>
      <c r="L96" s="238"/>
    </row>
    <row r="97" spans="1:12" ht="15">
      <c r="A97" s="316" t="s">
        <v>374</v>
      </c>
      <c r="B97" s="237"/>
      <c r="C97" s="237"/>
      <c r="D97" s="252"/>
      <c r="E97" s="251"/>
      <c r="F97" s="251"/>
      <c r="G97" s="251"/>
      <c r="H97" s="251"/>
      <c r="I97" s="237"/>
      <c r="J97" s="363"/>
      <c r="K97" s="237"/>
      <c r="L97" s="237"/>
    </row>
    <row r="98" spans="1:12">
      <c r="A98" s="245" t="s">
        <v>646</v>
      </c>
      <c r="B98" s="249"/>
      <c r="C98" s="249"/>
      <c r="D98" s="240">
        <v>159641</v>
      </c>
      <c r="E98" s="240">
        <f>E31</f>
        <v>0</v>
      </c>
      <c r="F98" s="240">
        <f>F31</f>
        <v>0</v>
      </c>
      <c r="G98" s="240">
        <f>G31</f>
        <v>0</v>
      </c>
      <c r="H98" s="240">
        <f>H31</f>
        <v>0</v>
      </c>
      <c r="I98" s="249">
        <f t="shared" ref="I98:I104" si="18">SUM(D98:H98)</f>
        <v>159641</v>
      </c>
      <c r="J98" s="363"/>
      <c r="K98" s="249"/>
      <c r="L98" s="249"/>
    </row>
    <row r="99" spans="1:12">
      <c r="A99" s="245" t="s">
        <v>554</v>
      </c>
      <c r="B99" s="238"/>
      <c r="C99" s="238"/>
      <c r="D99" s="240">
        <v>0</v>
      </c>
      <c r="E99" s="240"/>
      <c r="F99" s="240"/>
      <c r="G99" s="240"/>
      <c r="H99" s="240"/>
      <c r="I99" s="249">
        <f t="shared" si="18"/>
        <v>0</v>
      </c>
      <c r="J99" s="363"/>
      <c r="K99" s="238" t="s">
        <v>382</v>
      </c>
      <c r="L99" s="238"/>
    </row>
    <row r="100" spans="1:12">
      <c r="A100" s="245" t="s">
        <v>555</v>
      </c>
      <c r="B100" s="238"/>
      <c r="C100" s="238"/>
      <c r="D100" s="240">
        <v>0</v>
      </c>
      <c r="E100" s="240"/>
      <c r="F100" s="240"/>
      <c r="G100" s="240"/>
      <c r="H100" s="240"/>
      <c r="I100" s="249">
        <f t="shared" si="18"/>
        <v>0</v>
      </c>
      <c r="J100" s="363"/>
      <c r="K100" s="238" t="s">
        <v>382</v>
      </c>
      <c r="L100" s="238"/>
    </row>
    <row r="101" spans="1:12">
      <c r="A101" s="245" t="s">
        <v>276</v>
      </c>
      <c r="B101" s="238"/>
      <c r="C101" s="238"/>
      <c r="D101" s="240">
        <v>0</v>
      </c>
      <c r="E101" s="240"/>
      <c r="F101" s="240"/>
      <c r="G101" s="240"/>
      <c r="H101" s="240"/>
      <c r="I101" s="249">
        <f t="shared" si="18"/>
        <v>0</v>
      </c>
      <c r="J101" s="363"/>
      <c r="K101" s="238" t="s">
        <v>382</v>
      </c>
      <c r="L101" s="238"/>
    </row>
    <row r="102" spans="1:12" s="268" customFormat="1">
      <c r="A102" s="245" t="s">
        <v>562</v>
      </c>
      <c r="B102" s="238"/>
      <c r="C102" s="238"/>
      <c r="D102" s="240"/>
      <c r="E102" s="240"/>
      <c r="F102" s="240">
        <v>2081232.27</v>
      </c>
      <c r="G102" s="240"/>
      <c r="H102" s="240"/>
      <c r="I102" s="249">
        <f t="shared" si="18"/>
        <v>2081232.27</v>
      </c>
      <c r="J102" s="363"/>
      <c r="K102" s="238"/>
      <c r="L102" s="238"/>
    </row>
    <row r="103" spans="1:12">
      <c r="A103" s="245" t="s">
        <v>556</v>
      </c>
      <c r="B103" s="238"/>
      <c r="C103" s="238"/>
      <c r="D103" s="240"/>
      <c r="E103" s="240"/>
      <c r="F103" s="240"/>
      <c r="G103" s="240"/>
      <c r="H103" s="240"/>
      <c r="I103" s="249">
        <f t="shared" si="18"/>
        <v>0</v>
      </c>
      <c r="J103" s="363"/>
      <c r="K103" s="238"/>
      <c r="L103" s="238"/>
    </row>
    <row r="104" spans="1:12">
      <c r="A104" s="245" t="s">
        <v>352</v>
      </c>
      <c r="B104" s="238"/>
      <c r="C104" s="238"/>
      <c r="D104" s="240">
        <f>D35</f>
        <v>-92915</v>
      </c>
      <c r="E104" s="240">
        <f>E35</f>
        <v>0</v>
      </c>
      <c r="F104" s="240">
        <f>F35</f>
        <v>0</v>
      </c>
      <c r="G104" s="240">
        <f>G35</f>
        <v>0</v>
      </c>
      <c r="H104" s="240">
        <f>H35</f>
        <v>0</v>
      </c>
      <c r="I104" s="249">
        <f t="shared" si="18"/>
        <v>-92915</v>
      </c>
      <c r="J104" s="363"/>
      <c r="K104" s="238" t="s">
        <v>380</v>
      </c>
      <c r="L104" s="238"/>
    </row>
    <row r="105" spans="1:12">
      <c r="A105" s="242" t="s">
        <v>0</v>
      </c>
      <c r="B105" s="238"/>
      <c r="C105" s="238"/>
      <c r="D105" s="240">
        <f>D40+D46-D89-D95-D98-D99-D100-D101-D102-D103-D104</f>
        <v>-3222564.7100000009</v>
      </c>
      <c r="E105" s="240">
        <f>E40+E46-E89-E95-E98-E101-E104</f>
        <v>8377593.2799999993</v>
      </c>
      <c r="F105" s="240">
        <v>0</v>
      </c>
      <c r="G105" s="240">
        <f>G40+G46-G89-G95-G98-G101-G104</f>
        <v>0</v>
      </c>
      <c r="H105" s="240">
        <f>H40+H46-H89-H95-H98-H101-H104</f>
        <v>0</v>
      </c>
      <c r="I105" s="249">
        <f>SUM(D105:H105)</f>
        <v>5155028.5699999984</v>
      </c>
      <c r="J105" s="363"/>
      <c r="K105" s="238"/>
      <c r="L105" s="238"/>
    </row>
    <row r="106" spans="1:12" ht="15.75" thickBot="1">
      <c r="A106" s="317" t="s">
        <v>377</v>
      </c>
      <c r="B106" s="237"/>
      <c r="C106" s="237"/>
      <c r="D106" s="318">
        <f t="shared" ref="D106:I106" si="19">SUM(D98:D105)</f>
        <v>-3155838.7100000009</v>
      </c>
      <c r="E106" s="318">
        <f t="shared" si="19"/>
        <v>8377593.2799999993</v>
      </c>
      <c r="F106" s="318">
        <f t="shared" si="19"/>
        <v>2081232.27</v>
      </c>
      <c r="G106" s="318">
        <f t="shared" si="19"/>
        <v>0</v>
      </c>
      <c r="H106" s="318">
        <f t="shared" si="19"/>
        <v>0</v>
      </c>
      <c r="I106" s="318">
        <f t="shared" si="19"/>
        <v>7302986.839999998</v>
      </c>
      <c r="J106" s="363"/>
      <c r="K106" s="237"/>
      <c r="L106" s="237"/>
    </row>
    <row r="107" spans="1:12">
      <c r="A107" s="242"/>
      <c r="B107" s="238"/>
      <c r="C107" s="238"/>
      <c r="D107" s="249"/>
      <c r="E107" s="249"/>
      <c r="F107" s="249"/>
      <c r="G107" s="249"/>
      <c r="H107" s="249"/>
      <c r="I107" s="249"/>
      <c r="J107" s="363"/>
      <c r="K107" s="238"/>
      <c r="L107" s="238"/>
    </row>
    <row r="108" spans="1:12">
      <c r="A108" s="254" t="s">
        <v>389</v>
      </c>
      <c r="B108" s="255"/>
      <c r="C108" s="255"/>
      <c r="D108" s="255">
        <f>D40+D46-D89-D95-D106</f>
        <v>0</v>
      </c>
      <c r="E108" s="255">
        <f t="shared" ref="E108:I108" si="20">E40+E46-E89-E95-E106</f>
        <v>0</v>
      </c>
      <c r="F108" s="255">
        <f t="shared" si="20"/>
        <v>0</v>
      </c>
      <c r="G108" s="255">
        <f t="shared" si="20"/>
        <v>0</v>
      </c>
      <c r="H108" s="255">
        <f t="shared" si="20"/>
        <v>0</v>
      </c>
      <c r="I108" s="255">
        <f t="shared" si="20"/>
        <v>0</v>
      </c>
      <c r="J108" s="363"/>
      <c r="K108" s="255"/>
      <c r="L108" s="255"/>
    </row>
    <row r="109" spans="1:12">
      <c r="A109" s="256"/>
      <c r="B109" s="238"/>
      <c r="C109" s="238"/>
      <c r="D109" s="249"/>
      <c r="E109" s="249"/>
      <c r="F109" s="249"/>
      <c r="G109" s="249"/>
      <c r="H109" s="249"/>
      <c r="I109" s="249"/>
      <c r="J109" s="363"/>
      <c r="K109" s="238"/>
      <c r="L109" s="238"/>
    </row>
    <row r="110" spans="1:12">
      <c r="A110" s="256"/>
      <c r="B110" s="238"/>
      <c r="C110" s="238"/>
      <c r="D110" s="249"/>
      <c r="E110" s="249"/>
      <c r="F110" s="249"/>
      <c r="G110" s="249"/>
      <c r="H110" s="249"/>
      <c r="I110" s="249"/>
      <c r="J110" s="363"/>
      <c r="K110" s="238"/>
      <c r="L110" s="238"/>
    </row>
    <row r="111" spans="1:12" ht="12.75" customHeight="1">
      <c r="A111" s="253" t="s">
        <v>727</v>
      </c>
      <c r="B111"/>
      <c r="C111"/>
      <c r="D111" s="313">
        <v>0</v>
      </c>
      <c r="J111" s="363"/>
      <c r="K111" s="233"/>
      <c r="L111" s="233"/>
    </row>
    <row r="112" spans="1:12" ht="12.75" customHeight="1">
      <c r="A112" s="253" t="s">
        <v>726</v>
      </c>
      <c r="B112" s="233"/>
      <c r="C112" s="233"/>
      <c r="D112" s="313">
        <v>0</v>
      </c>
      <c r="J112" s="363"/>
      <c r="K112" s="233"/>
      <c r="L112" s="233"/>
    </row>
    <row r="113" spans="1:12">
      <c r="A113" s="253" t="s">
        <v>660</v>
      </c>
      <c r="B113"/>
      <c r="C113"/>
      <c r="D113" s="313">
        <v>0</v>
      </c>
      <c r="J113" s="363"/>
      <c r="K113" s="233"/>
      <c r="L113" s="233"/>
    </row>
    <row r="114" spans="1:12" ht="13.5" thickBot="1">
      <c r="A114" s="253" t="s">
        <v>661</v>
      </c>
      <c r="B114"/>
      <c r="C114"/>
      <c r="D114" s="311">
        <f>SUM(D111:D113)</f>
        <v>0</v>
      </c>
      <c r="E114" s="249"/>
      <c r="F114" s="249"/>
      <c r="G114" s="249"/>
      <c r="H114" s="249"/>
      <c r="I114" s="249"/>
      <c r="J114" s="363"/>
      <c r="K114" s="233"/>
      <c r="L114" s="233"/>
    </row>
    <row r="115" spans="1:12" ht="13.5" thickTop="1">
      <c r="A115" s="235"/>
      <c r="B115"/>
      <c r="C115"/>
      <c r="D115" s="314"/>
      <c r="E115" s="249"/>
      <c r="F115" s="249"/>
      <c r="G115" s="249"/>
      <c r="H115" s="249"/>
      <c r="I115" s="249"/>
      <c r="J115" s="363"/>
      <c r="K115" s="233"/>
      <c r="L115" s="233"/>
    </row>
    <row r="116" spans="1:12" ht="13.5" thickBot="1">
      <c r="A116" s="253" t="s">
        <v>697</v>
      </c>
      <c r="B116"/>
      <c r="C116"/>
      <c r="D116" s="311">
        <f>+D105</f>
        <v>-3222564.7100000009</v>
      </c>
      <c r="E116" s="249"/>
      <c r="F116" s="249"/>
      <c r="G116" s="249"/>
      <c r="H116" s="249"/>
      <c r="I116" s="249"/>
      <c r="J116" s="363"/>
      <c r="K116" s="233"/>
      <c r="L116" s="233"/>
    </row>
    <row r="117" spans="1:12" ht="13.5" thickTop="1">
      <c r="A117" s="280" t="s">
        <v>389</v>
      </c>
      <c r="B117"/>
      <c r="C117"/>
      <c r="D117" s="312">
        <f>+D114-D116</f>
        <v>3222564.7100000009</v>
      </c>
      <c r="E117" s="249"/>
      <c r="F117" s="249"/>
      <c r="G117" s="249"/>
      <c r="H117" s="249"/>
      <c r="I117" s="249"/>
      <c r="J117" s="363"/>
      <c r="K117" s="233"/>
      <c r="L117" s="233"/>
    </row>
    <row r="118" spans="1:12">
      <c r="B118"/>
      <c r="C118"/>
      <c r="J118" s="363"/>
      <c r="K118" s="233"/>
      <c r="L118" s="233"/>
    </row>
    <row r="119" spans="1:12">
      <c r="K119" s="268"/>
      <c r="L119" s="268"/>
    </row>
    <row r="120" spans="1:12">
      <c r="K120" s="268"/>
      <c r="L120" s="268"/>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topLeftCell="A25" zoomScaleNormal="100" zoomScaleSheetLayoutView="100" workbookViewId="0">
      <selection activeCell="D21" sqref="D21"/>
    </sheetView>
  </sheetViews>
  <sheetFormatPr defaultColWidth="8.85546875" defaultRowHeight="12.75"/>
  <cols>
    <col min="1" max="1" width="39.85546875" style="260" customWidth="1"/>
    <col min="2" max="3" width="18.85546875" style="260" hidden="1" customWidth="1"/>
    <col min="4" max="4" width="20" style="268" customWidth="1"/>
    <col min="5" max="6" width="18.7109375" style="268" customWidth="1"/>
    <col min="7" max="7" width="18.7109375" style="268" hidden="1" customWidth="1"/>
    <col min="8" max="8" width="14.7109375" style="268" hidden="1" customWidth="1"/>
    <col min="9" max="9" width="18.7109375" style="268" customWidth="1"/>
    <col min="10" max="10" width="8.85546875" style="260"/>
    <col min="11" max="11" width="46.42578125" style="260" bestFit="1" customWidth="1"/>
    <col min="12" max="16384" width="8.85546875" style="260"/>
  </cols>
  <sheetData>
    <row r="1" spans="1:9">
      <c r="A1" s="407" t="str">
        <f>+'NET POSITION'!A1:I1</f>
        <v>Educational Service District #171</v>
      </c>
      <c r="B1" s="407"/>
      <c r="C1" s="407"/>
      <c r="D1" s="407"/>
      <c r="E1" s="407"/>
      <c r="F1" s="407"/>
      <c r="G1" s="407"/>
      <c r="H1" s="407"/>
      <c r="I1" s="407"/>
    </row>
    <row r="2" spans="1:9">
      <c r="A2" s="408" t="s">
        <v>383</v>
      </c>
      <c r="B2" s="408"/>
      <c r="C2" s="408"/>
      <c r="D2" s="408"/>
      <c r="E2" s="408"/>
      <c r="F2" s="408"/>
      <c r="G2" s="408"/>
      <c r="H2" s="408"/>
      <c r="I2" s="408"/>
    </row>
    <row r="3" spans="1:9">
      <c r="A3" s="408" t="s">
        <v>840</v>
      </c>
      <c r="B3" s="408"/>
      <c r="C3" s="408"/>
      <c r="D3" s="408"/>
      <c r="E3" s="408"/>
      <c r="F3" s="408"/>
      <c r="G3" s="408"/>
      <c r="H3" s="408"/>
      <c r="I3" s="408"/>
    </row>
    <row r="4" spans="1:9" ht="7.5" customHeight="1">
      <c r="A4" s="275"/>
      <c r="B4" s="275"/>
      <c r="C4" s="275"/>
      <c r="D4" s="411"/>
      <c r="E4" s="411"/>
      <c r="F4" s="411"/>
      <c r="G4" s="411"/>
      <c r="H4" s="411"/>
      <c r="I4" s="411"/>
    </row>
    <row r="5" spans="1:9" ht="25.5">
      <c r="D5" s="263" t="s">
        <v>251</v>
      </c>
      <c r="E5" s="277" t="s">
        <v>283</v>
      </c>
      <c r="F5" s="277" t="s">
        <v>282</v>
      </c>
      <c r="G5" s="279" t="s">
        <v>680</v>
      </c>
      <c r="H5" s="278" t="s">
        <v>681</v>
      </c>
      <c r="I5" s="277" t="s">
        <v>387</v>
      </c>
    </row>
    <row r="6" spans="1:9">
      <c r="A6" s="273" t="s">
        <v>1</v>
      </c>
      <c r="B6" s="273"/>
      <c r="C6" s="273"/>
      <c r="D6" s="272"/>
      <c r="E6" s="272"/>
      <c r="F6" s="272"/>
      <c r="G6" s="272"/>
      <c r="H6" s="272"/>
      <c r="I6" s="272"/>
    </row>
    <row r="7" spans="1:9">
      <c r="A7" s="271" t="s">
        <v>243</v>
      </c>
      <c r="B7" s="271"/>
      <c r="C7" s="271"/>
      <c r="D7" s="270">
        <f>REVENUE!F19-D40-D42-D46</f>
        <v>717847.0199999999</v>
      </c>
      <c r="E7" s="270"/>
      <c r="F7" s="270"/>
      <c r="G7" s="270"/>
      <c r="H7" s="270"/>
      <c r="I7" s="268">
        <f>SUM(D7:H7)</f>
        <v>717847.0199999999</v>
      </c>
    </row>
    <row r="8" spans="1:9">
      <c r="A8" s="271" t="s">
        <v>285</v>
      </c>
      <c r="B8" s="271"/>
      <c r="C8" s="271"/>
      <c r="D8" s="270">
        <f>REVENUE!F35-D9</f>
        <v>2204408.5699999998</v>
      </c>
      <c r="E8" s="270"/>
      <c r="F8" s="270"/>
      <c r="G8" s="270"/>
      <c r="H8" s="270"/>
      <c r="I8" s="268">
        <f t="shared" ref="I8:I15" si="0">SUM(D8:H8)</f>
        <v>2204408.5699999998</v>
      </c>
    </row>
    <row r="9" spans="1:9">
      <c r="A9" s="262" t="s">
        <v>286</v>
      </c>
      <c r="B9" s="262"/>
      <c r="C9" s="262"/>
      <c r="D9" s="270">
        <f>REVENUE!E22</f>
        <v>793165.19</v>
      </c>
      <c r="E9" s="270"/>
      <c r="F9" s="270"/>
      <c r="G9" s="270"/>
      <c r="H9" s="270"/>
      <c r="I9" s="268">
        <f t="shared" si="0"/>
        <v>793165.19</v>
      </c>
    </row>
    <row r="10" spans="1:9">
      <c r="A10" s="271" t="s">
        <v>287</v>
      </c>
      <c r="B10" s="271"/>
      <c r="C10" s="271"/>
      <c r="D10" s="270">
        <f>REVENUE!F49</f>
        <v>2161116.0199999996</v>
      </c>
      <c r="E10" s="270"/>
      <c r="F10" s="270"/>
      <c r="G10" s="270"/>
      <c r="H10" s="270"/>
      <c r="I10" s="268">
        <f t="shared" si="0"/>
        <v>2161116.0199999996</v>
      </c>
    </row>
    <row r="11" spans="1:9">
      <c r="A11" s="271" t="s">
        <v>288</v>
      </c>
      <c r="B11" s="271"/>
      <c r="C11" s="271"/>
      <c r="D11" s="270">
        <f>REVENUE!F55</f>
        <v>2416023.5699999998</v>
      </c>
      <c r="E11" s="270"/>
      <c r="F11" s="270"/>
      <c r="G11" s="270"/>
      <c r="H11" s="270"/>
      <c r="I11" s="268">
        <f t="shared" si="0"/>
        <v>2416023.5699999998</v>
      </c>
    </row>
    <row r="12" spans="1:9">
      <c r="A12" s="271" t="s">
        <v>289</v>
      </c>
      <c r="B12" s="271"/>
      <c r="C12" s="271"/>
      <c r="D12" s="270">
        <f>REVENUE!F61</f>
        <v>10292899.290000001</v>
      </c>
      <c r="E12" s="270"/>
      <c r="F12" s="270"/>
      <c r="G12" s="270"/>
      <c r="H12" s="270"/>
      <c r="I12" s="268">
        <f t="shared" si="0"/>
        <v>10292899.290000001</v>
      </c>
    </row>
    <row r="13" spans="1:9">
      <c r="A13" s="271" t="s">
        <v>260</v>
      </c>
      <c r="B13" s="271"/>
      <c r="C13" s="271"/>
      <c r="D13" s="270"/>
      <c r="E13" s="270">
        <v>4405030.6900000004</v>
      </c>
      <c r="F13" s="270">
        <v>509259.9</v>
      </c>
      <c r="G13" s="270"/>
      <c r="H13" s="270"/>
      <c r="I13" s="268">
        <f t="shared" si="0"/>
        <v>4914290.5900000008</v>
      </c>
    </row>
    <row r="14" spans="1:9">
      <c r="A14" s="271" t="s">
        <v>65</v>
      </c>
      <c r="B14" s="271"/>
      <c r="C14" s="271"/>
      <c r="D14" s="270"/>
      <c r="E14" s="270"/>
      <c r="F14" s="270"/>
      <c r="G14" s="270"/>
      <c r="H14" s="270"/>
      <c r="I14" s="268">
        <f t="shared" si="0"/>
        <v>0</v>
      </c>
    </row>
    <row r="15" spans="1:9">
      <c r="A15" s="271" t="s">
        <v>66</v>
      </c>
      <c r="B15" s="271"/>
      <c r="C15" s="271"/>
      <c r="D15" s="270"/>
      <c r="E15" s="270"/>
      <c r="F15" s="270"/>
      <c r="G15" s="270"/>
      <c r="H15" s="270"/>
      <c r="I15" s="268">
        <f t="shared" si="0"/>
        <v>0</v>
      </c>
    </row>
    <row r="16" spans="1:9" ht="13.5" thickBot="1">
      <c r="A16" s="267" t="s">
        <v>290</v>
      </c>
      <c r="B16" s="267"/>
      <c r="C16" s="267"/>
      <c r="D16" s="257">
        <f>SUM(D7:D15)</f>
        <v>18585459.66</v>
      </c>
      <c r="E16" s="257">
        <f t="shared" ref="E16:I16" si="1">SUM(E7:E15)</f>
        <v>4405030.6900000004</v>
      </c>
      <c r="F16" s="257">
        <f t="shared" si="1"/>
        <v>509259.9</v>
      </c>
      <c r="G16" s="257">
        <f t="shared" si="1"/>
        <v>0</v>
      </c>
      <c r="H16" s="257">
        <f t="shared" ref="H16" si="2">SUM(H7:H15)</f>
        <v>0</v>
      </c>
      <c r="I16" s="257">
        <f t="shared" si="1"/>
        <v>23499750.25</v>
      </c>
    </row>
    <row r="17" spans="1:11" ht="13.5" thickTop="1">
      <c r="A17" s="267"/>
      <c r="B17" s="267"/>
      <c r="C17" s="267"/>
      <c r="D17" s="258"/>
      <c r="E17" s="258"/>
      <c r="F17" s="258"/>
      <c r="G17" s="258"/>
      <c r="H17" s="258"/>
    </row>
    <row r="18" spans="1:11">
      <c r="A18" s="264" t="s">
        <v>2</v>
      </c>
      <c r="B18" s="264"/>
      <c r="C18" s="264"/>
      <c r="D18" s="259"/>
      <c r="E18" s="259"/>
      <c r="F18" s="259"/>
      <c r="G18" s="259"/>
      <c r="H18" s="259"/>
      <c r="I18" s="273"/>
    </row>
    <row r="19" spans="1:11">
      <c r="A19" s="271" t="s">
        <v>300</v>
      </c>
      <c r="B19" s="271"/>
      <c r="C19" s="271"/>
      <c r="D19" s="270">
        <f>'Expenditure Matrix'!E10-'REVENUE EXPENSES'!D31-'REVENUE EXPENSES'!D33-'REVENUE EXPENSES'!D34+'REVENUE EXPENSES'!D41+'REVENUE EXPENSES'!D47</f>
        <v>1928374.7499999995</v>
      </c>
      <c r="E19" s="270"/>
      <c r="F19" s="270"/>
      <c r="G19" s="270"/>
      <c r="H19" s="270"/>
      <c r="I19" s="268">
        <f t="shared" ref="I19:I34" si="3">SUM(D19:H19)</f>
        <v>1928374.7499999995</v>
      </c>
    </row>
    <row r="20" spans="1:11">
      <c r="A20" s="271" t="s">
        <v>558</v>
      </c>
      <c r="B20" s="271"/>
      <c r="C20" s="271"/>
      <c r="D20" s="270">
        <f>'Expenditure Matrix'!E43+174</f>
        <v>12055300.499999998</v>
      </c>
      <c r="E20" s="270"/>
      <c r="F20" s="270"/>
      <c r="G20" s="270"/>
      <c r="H20" s="270"/>
      <c r="I20" s="268">
        <f t="shared" si="3"/>
        <v>12055300.499999998</v>
      </c>
    </row>
    <row r="21" spans="1:11">
      <c r="A21" s="271" t="s">
        <v>291</v>
      </c>
      <c r="B21" s="271"/>
      <c r="C21" s="271"/>
      <c r="D21" s="270">
        <f>'Expenditure Matrix'!E60</f>
        <v>3503667.81</v>
      </c>
      <c r="E21" s="270"/>
      <c r="F21" s="270"/>
      <c r="G21" s="270"/>
      <c r="H21" s="270"/>
      <c r="I21" s="268">
        <f t="shared" si="3"/>
        <v>3503667.81</v>
      </c>
    </row>
    <row r="22" spans="1:11">
      <c r="A22" s="269" t="s">
        <v>294</v>
      </c>
      <c r="B22" s="269"/>
      <c r="C22" s="269"/>
      <c r="D22" s="270"/>
      <c r="E22" s="270"/>
      <c r="F22" s="270"/>
      <c r="G22" s="270"/>
      <c r="H22" s="270"/>
      <c r="I22" s="331"/>
      <c r="J22" s="268"/>
    </row>
    <row r="23" spans="1:11">
      <c r="A23" s="287" t="s">
        <v>295</v>
      </c>
      <c r="B23" s="287"/>
      <c r="C23" s="287"/>
      <c r="D23" s="270"/>
      <c r="E23" s="270">
        <v>1700538.34</v>
      </c>
      <c r="F23" s="270">
        <v>182419.76</v>
      </c>
      <c r="G23" s="270"/>
      <c r="H23" s="270"/>
      <c r="I23" s="268">
        <f t="shared" si="3"/>
        <v>1882958.1</v>
      </c>
      <c r="J23" s="268"/>
    </row>
    <row r="24" spans="1:11">
      <c r="A24" s="287" t="s">
        <v>296</v>
      </c>
      <c r="B24" s="287"/>
      <c r="C24" s="287"/>
      <c r="D24" s="270"/>
      <c r="E24" s="270">
        <v>-283</v>
      </c>
      <c r="F24" s="270">
        <v>-31636.880000000001</v>
      </c>
      <c r="G24" s="270"/>
      <c r="H24" s="270"/>
      <c r="I24" s="268">
        <f t="shared" si="3"/>
        <v>-31919.88</v>
      </c>
      <c r="J24" s="268"/>
    </row>
    <row r="25" spans="1:11">
      <c r="A25" s="269" t="s">
        <v>280</v>
      </c>
      <c r="B25" s="269"/>
      <c r="C25" s="269"/>
      <c r="D25" s="270"/>
      <c r="E25" s="270"/>
      <c r="F25" s="270"/>
      <c r="G25" s="270"/>
      <c r="H25" s="270"/>
      <c r="I25" s="331"/>
      <c r="J25" s="268"/>
    </row>
    <row r="26" spans="1:11">
      <c r="A26" s="287" t="s">
        <v>297</v>
      </c>
      <c r="B26" s="287"/>
      <c r="C26" s="287"/>
      <c r="D26" s="270"/>
      <c r="E26" s="270"/>
      <c r="F26" s="270"/>
      <c r="G26" s="270"/>
      <c r="H26" s="270"/>
      <c r="I26" s="268">
        <f t="shared" si="3"/>
        <v>0</v>
      </c>
      <c r="J26" s="268"/>
    </row>
    <row r="27" spans="1:11">
      <c r="A27" s="287" t="s">
        <v>298</v>
      </c>
      <c r="B27" s="287"/>
      <c r="C27" s="287"/>
      <c r="D27" s="270"/>
      <c r="E27" s="270"/>
      <c r="F27" s="270"/>
      <c r="G27" s="270"/>
      <c r="H27" s="270"/>
      <c r="I27" s="268">
        <f t="shared" si="3"/>
        <v>0</v>
      </c>
      <c r="J27" s="268"/>
    </row>
    <row r="28" spans="1:11">
      <c r="A28" s="271" t="s">
        <v>299</v>
      </c>
      <c r="B28" s="271"/>
      <c r="C28" s="271"/>
      <c r="D28" s="270"/>
      <c r="E28" s="270">
        <v>134265</v>
      </c>
      <c r="F28" s="270"/>
      <c r="G28" s="270"/>
      <c r="H28" s="270"/>
      <c r="I28" s="268">
        <f t="shared" si="3"/>
        <v>134265</v>
      </c>
    </row>
    <row r="29" spans="1:11">
      <c r="A29" s="271" t="s">
        <v>67</v>
      </c>
      <c r="B29" s="271"/>
      <c r="C29" s="271"/>
      <c r="D29" s="270"/>
      <c r="E29" s="270">
        <f>40518.17+181082.11</f>
        <v>221600.27999999997</v>
      </c>
      <c r="F29" s="270">
        <f>6822.99+27081.2</f>
        <v>33904.19</v>
      </c>
      <c r="G29" s="270"/>
      <c r="H29" s="270"/>
      <c r="I29" s="268">
        <f t="shared" si="3"/>
        <v>255504.46999999997</v>
      </c>
    </row>
    <row r="30" spans="1:11">
      <c r="A30" s="271" t="s">
        <v>301</v>
      </c>
      <c r="B30" s="271"/>
      <c r="C30" s="271"/>
      <c r="D30" s="270"/>
      <c r="E30" s="270">
        <f>1213006.29+975</f>
        <v>1213981.29</v>
      </c>
      <c r="F30" s="270"/>
      <c r="G30" s="270"/>
      <c r="H30" s="270"/>
      <c r="I30" s="268">
        <f t="shared" si="3"/>
        <v>1213981.29</v>
      </c>
    </row>
    <row r="31" spans="1:11">
      <c r="A31" s="271" t="s">
        <v>292</v>
      </c>
      <c r="B31" s="271"/>
      <c r="C31" s="271"/>
      <c r="D31" s="270">
        <f>'Expenditure Matrix'!L34</f>
        <v>131180</v>
      </c>
      <c r="E31" s="270"/>
      <c r="F31" s="270"/>
      <c r="G31" s="270"/>
      <c r="H31" s="270"/>
      <c r="I31" s="268">
        <f t="shared" si="3"/>
        <v>131180</v>
      </c>
    </row>
    <row r="32" spans="1:11">
      <c r="A32" s="271" t="s">
        <v>293</v>
      </c>
      <c r="B32" s="271"/>
      <c r="C32" s="271"/>
      <c r="D32" s="270"/>
      <c r="E32" s="270">
        <v>590609.61</v>
      </c>
      <c r="F32" s="270">
        <v>75810.880000000005</v>
      </c>
      <c r="G32" s="270"/>
      <c r="H32" s="270"/>
      <c r="I32" s="268">
        <f t="shared" si="3"/>
        <v>666420.49</v>
      </c>
      <c r="K32" s="374" t="s">
        <v>810</v>
      </c>
    </row>
    <row r="33" spans="1:11">
      <c r="A33" s="375" t="s">
        <v>798</v>
      </c>
      <c r="B33" s="269"/>
      <c r="C33" s="269"/>
      <c r="D33" s="270">
        <v>-588977</v>
      </c>
      <c r="E33" s="270"/>
      <c r="F33" s="270"/>
      <c r="G33" s="270"/>
      <c r="H33" s="270"/>
      <c r="I33" s="268">
        <f t="shared" ref="I33" si="4">SUM(D33:H33)</f>
        <v>-588977</v>
      </c>
      <c r="K33" s="365" t="s">
        <v>691</v>
      </c>
    </row>
    <row r="34" spans="1:11">
      <c r="A34" s="375" t="s">
        <v>799</v>
      </c>
      <c r="B34" s="269"/>
      <c r="C34" s="269"/>
      <c r="D34" s="270">
        <v>376082</v>
      </c>
      <c r="E34" s="270"/>
      <c r="F34" s="270"/>
      <c r="G34" s="270"/>
      <c r="H34" s="270"/>
      <c r="I34" s="268">
        <f t="shared" si="3"/>
        <v>376082</v>
      </c>
      <c r="K34" s="365" t="s">
        <v>728</v>
      </c>
    </row>
    <row r="35" spans="1:11" ht="13.5" thickBot="1">
      <c r="A35" s="267" t="s">
        <v>13</v>
      </c>
      <c r="B35" s="267"/>
      <c r="C35" s="267"/>
      <c r="D35" s="257">
        <f>SUM(D19:D34)</f>
        <v>17405628.059999999</v>
      </c>
      <c r="E35" s="257">
        <f t="shared" ref="E35:H35" si="5">SUM(E19:E34)</f>
        <v>3860711.52</v>
      </c>
      <c r="F35" s="257">
        <f t="shared" si="5"/>
        <v>260497.95</v>
      </c>
      <c r="G35" s="257">
        <f t="shared" si="5"/>
        <v>0</v>
      </c>
      <c r="H35" s="257">
        <f t="shared" si="5"/>
        <v>0</v>
      </c>
      <c r="I35" s="257">
        <f>SUM(I19:I34)</f>
        <v>21526837.529999997</v>
      </c>
    </row>
    <row r="36" spans="1:11" ht="13.5" thickTop="1">
      <c r="A36" s="262"/>
      <c r="B36" s="262"/>
      <c r="C36" s="262"/>
      <c r="D36" s="270"/>
      <c r="E36" s="270"/>
      <c r="F36" s="270"/>
      <c r="G36" s="270"/>
      <c r="H36" s="270"/>
    </row>
    <row r="37" spans="1:11" ht="13.5" thickBot="1">
      <c r="A37" s="267" t="s">
        <v>11</v>
      </c>
      <c r="B37" s="267"/>
      <c r="C37" s="267"/>
      <c r="D37" s="261">
        <f>D16-D35</f>
        <v>1179831.6000000015</v>
      </c>
      <c r="E37" s="261">
        <f t="shared" ref="E37:I37" si="6">E16-E35</f>
        <v>544319.17000000039</v>
      </c>
      <c r="F37" s="261">
        <f t="shared" si="6"/>
        <v>248761.95</v>
      </c>
      <c r="G37" s="261">
        <f t="shared" si="6"/>
        <v>0</v>
      </c>
      <c r="H37" s="261">
        <f t="shared" ref="H37" si="7">H16-H35</f>
        <v>0</v>
      </c>
      <c r="I37" s="261">
        <f t="shared" si="6"/>
        <v>1972912.7200000025</v>
      </c>
    </row>
    <row r="38" spans="1:11">
      <c r="A38" s="267"/>
      <c r="B38" s="267"/>
      <c r="C38" s="267"/>
      <c r="D38" s="270"/>
      <c r="E38" s="270"/>
      <c r="F38" s="270"/>
      <c r="G38" s="270"/>
      <c r="H38" s="270"/>
    </row>
    <row r="39" spans="1:11">
      <c r="A39" s="264" t="s">
        <v>302</v>
      </c>
      <c r="B39" s="264"/>
      <c r="C39" s="264"/>
      <c r="D39" s="259"/>
      <c r="E39" s="259"/>
      <c r="F39" s="259"/>
      <c r="G39" s="259"/>
      <c r="H39" s="259"/>
      <c r="I39" s="273"/>
    </row>
    <row r="40" spans="1:11">
      <c r="A40" s="271" t="s">
        <v>303</v>
      </c>
      <c r="B40" s="271"/>
      <c r="C40" s="271"/>
      <c r="D40" s="270">
        <f>49766.21+3049.4</f>
        <v>52815.61</v>
      </c>
      <c r="E40" s="270">
        <v>259343.46</v>
      </c>
      <c r="F40" s="270">
        <v>46814.04</v>
      </c>
      <c r="G40" s="270"/>
      <c r="H40" s="270"/>
      <c r="I40" s="268">
        <f t="shared" ref="I40:I47" si="8">SUM(D40:H40)</f>
        <v>358973.11</v>
      </c>
    </row>
    <row r="41" spans="1:11">
      <c r="A41" s="271" t="s">
        <v>304</v>
      </c>
      <c r="B41" s="271"/>
      <c r="C41" s="271"/>
      <c r="D41" s="270">
        <f>-'Expenditure Matrix'!L32</f>
        <v>-138856.97</v>
      </c>
      <c r="E41" s="270"/>
      <c r="F41" s="270"/>
      <c r="G41" s="270"/>
      <c r="H41" s="270"/>
      <c r="I41" s="268">
        <f t="shared" si="8"/>
        <v>-138856.97</v>
      </c>
    </row>
    <row r="42" spans="1:11">
      <c r="A42" s="271" t="s">
        <v>305</v>
      </c>
      <c r="B42" s="271"/>
      <c r="C42" s="271"/>
      <c r="D42" s="270">
        <v>28891.06</v>
      </c>
      <c r="E42" s="270"/>
      <c r="F42" s="270"/>
      <c r="G42" s="270"/>
      <c r="H42" s="270"/>
      <c r="I42" s="268">
        <f t="shared" si="8"/>
        <v>28891.06</v>
      </c>
    </row>
    <row r="43" spans="1:11">
      <c r="A43" s="271" t="s">
        <v>306</v>
      </c>
      <c r="B43" s="271"/>
      <c r="C43" s="271"/>
      <c r="D43" s="270"/>
      <c r="E43" s="270"/>
      <c r="F43" s="270"/>
      <c r="G43" s="270"/>
      <c r="H43" s="270"/>
      <c r="I43" s="268">
        <f t="shared" si="8"/>
        <v>0</v>
      </c>
    </row>
    <row r="44" spans="1:11">
      <c r="A44" s="271" t="s">
        <v>353</v>
      </c>
      <c r="B44" s="271"/>
      <c r="C44" s="271"/>
      <c r="D44" s="270">
        <v>8776</v>
      </c>
      <c r="E44" s="270"/>
      <c r="F44" s="270"/>
      <c r="G44" s="270"/>
      <c r="H44" s="270"/>
      <c r="I44" s="268">
        <f t="shared" si="8"/>
        <v>8776</v>
      </c>
    </row>
    <row r="45" spans="1:11">
      <c r="A45" s="269" t="s">
        <v>594</v>
      </c>
      <c r="B45" s="269"/>
      <c r="C45" s="269"/>
      <c r="D45" s="270"/>
      <c r="E45" s="270"/>
      <c r="F45" s="270"/>
      <c r="G45" s="270"/>
      <c r="H45" s="270"/>
      <c r="I45" s="268">
        <f t="shared" si="8"/>
        <v>0</v>
      </c>
    </row>
    <row r="46" spans="1:11">
      <c r="A46" s="271" t="s">
        <v>307</v>
      </c>
      <c r="B46" s="271"/>
      <c r="C46" s="271"/>
      <c r="D46" s="270">
        <v>10160.51</v>
      </c>
      <c r="E46" s="270"/>
      <c r="F46" s="270"/>
      <c r="G46" s="270"/>
      <c r="H46" s="270"/>
      <c r="I46" s="268">
        <f t="shared" si="8"/>
        <v>10160.51</v>
      </c>
    </row>
    <row r="47" spans="1:11">
      <c r="A47" s="271" t="s">
        <v>308</v>
      </c>
      <c r="B47" s="271"/>
      <c r="C47" s="271"/>
      <c r="D47" s="270">
        <f>110157.61-100</f>
        <v>110057.61</v>
      </c>
      <c r="E47" s="270"/>
      <c r="F47" s="270"/>
      <c r="G47" s="270"/>
      <c r="H47" s="270"/>
      <c r="I47" s="268">
        <f t="shared" si="8"/>
        <v>110057.61</v>
      </c>
    </row>
    <row r="48" spans="1:11" ht="13.5" thickBot="1">
      <c r="A48" s="267" t="s">
        <v>309</v>
      </c>
      <c r="B48" s="267"/>
      <c r="C48" s="267"/>
      <c r="D48" s="257">
        <f t="shared" ref="D48:I48" si="9">SUM(D40:D47)</f>
        <v>71843.820000000007</v>
      </c>
      <c r="E48" s="257">
        <f t="shared" si="9"/>
        <v>259343.46</v>
      </c>
      <c r="F48" s="257">
        <f t="shared" si="9"/>
        <v>46814.04</v>
      </c>
      <c r="G48" s="257">
        <f t="shared" si="9"/>
        <v>0</v>
      </c>
      <c r="H48" s="257">
        <f t="shared" si="9"/>
        <v>0</v>
      </c>
      <c r="I48" s="257">
        <f t="shared" si="9"/>
        <v>378001.31999999995</v>
      </c>
    </row>
    <row r="49" spans="1:9" ht="13.5" thickTop="1">
      <c r="A49" s="267"/>
      <c r="B49" s="267"/>
      <c r="C49" s="267"/>
      <c r="D49" s="266"/>
      <c r="E49" s="266"/>
      <c r="F49" s="266"/>
      <c r="G49" s="266"/>
      <c r="H49" s="266"/>
    </row>
    <row r="50" spans="1:9" ht="13.5" thickBot="1">
      <c r="A50" s="267" t="s">
        <v>310</v>
      </c>
      <c r="B50" s="267"/>
      <c r="C50" s="267"/>
      <c r="D50" s="261">
        <f t="shared" ref="D50:I50" si="10">D37+D48</f>
        <v>1251675.4200000016</v>
      </c>
      <c r="E50" s="261">
        <f t="shared" si="10"/>
        <v>803662.63000000035</v>
      </c>
      <c r="F50" s="261">
        <f t="shared" si="10"/>
        <v>295575.99</v>
      </c>
      <c r="G50" s="261">
        <f t="shared" si="10"/>
        <v>0</v>
      </c>
      <c r="H50" s="261">
        <f t="shared" si="10"/>
        <v>0</v>
      </c>
      <c r="I50" s="261">
        <f t="shared" si="10"/>
        <v>2350914.0400000024</v>
      </c>
    </row>
    <row r="51" spans="1:9">
      <c r="A51" s="267"/>
      <c r="B51" s="267"/>
      <c r="C51" s="267"/>
      <c r="D51" s="270"/>
      <c r="E51" s="270"/>
      <c r="F51" s="270"/>
      <c r="G51" s="270"/>
      <c r="H51" s="270"/>
    </row>
    <row r="52" spans="1:9">
      <c r="A52" s="271" t="s">
        <v>311</v>
      </c>
      <c r="B52" s="271"/>
      <c r="C52" s="271"/>
      <c r="D52" s="270"/>
      <c r="E52" s="270"/>
      <c r="F52" s="270"/>
      <c r="G52" s="270"/>
      <c r="H52" s="270"/>
      <c r="I52" s="268">
        <f t="shared" ref="I52:I53" si="11">SUM(D52:H52)</f>
        <v>0</v>
      </c>
    </row>
    <row r="53" spans="1:9">
      <c r="A53" s="271" t="s">
        <v>312</v>
      </c>
      <c r="B53" s="271"/>
      <c r="C53" s="271"/>
      <c r="D53" s="270"/>
      <c r="E53" s="270"/>
      <c r="F53" s="270"/>
      <c r="G53" s="270"/>
      <c r="H53" s="270"/>
      <c r="I53" s="268">
        <f t="shared" si="11"/>
        <v>0</v>
      </c>
    </row>
    <row r="54" spans="1:9" ht="13.5" thickBot="1">
      <c r="A54" s="267" t="s">
        <v>386</v>
      </c>
      <c r="B54" s="267"/>
      <c r="C54" s="267"/>
      <c r="D54" s="261">
        <f>D50+D52+D53</f>
        <v>1251675.4200000016</v>
      </c>
      <c r="E54" s="261">
        <f t="shared" ref="E54:I54" si="12">E50+E52+E53</f>
        <v>803662.63000000035</v>
      </c>
      <c r="F54" s="261">
        <f t="shared" si="12"/>
        <v>295575.99</v>
      </c>
      <c r="G54" s="261">
        <f t="shared" si="12"/>
        <v>0</v>
      </c>
      <c r="H54" s="261">
        <f t="shared" ref="H54" si="13">H50+H52+H53</f>
        <v>0</v>
      </c>
      <c r="I54" s="261">
        <f t="shared" si="12"/>
        <v>2350914.0400000024</v>
      </c>
    </row>
    <row r="55" spans="1:9">
      <c r="A55" s="267"/>
      <c r="B55" s="267"/>
      <c r="C55" s="267"/>
      <c r="D55" s="266"/>
      <c r="E55" s="266"/>
      <c r="F55" s="266"/>
      <c r="G55" s="266"/>
      <c r="H55" s="266"/>
    </row>
    <row r="56" spans="1:9">
      <c r="A56" s="267" t="s">
        <v>384</v>
      </c>
      <c r="B56" s="267"/>
      <c r="C56" s="267"/>
      <c r="D56" s="266">
        <v>-4407514.13</v>
      </c>
      <c r="E56" s="266">
        <v>7573930.6500000004</v>
      </c>
      <c r="F56" s="266">
        <v>1785656.28</v>
      </c>
      <c r="G56" s="266"/>
      <c r="H56" s="266"/>
      <c r="I56" s="268">
        <f t="shared" ref="I56:I58" si="14">SUM(D56:H56)</f>
        <v>4952072.8000000007</v>
      </c>
    </row>
    <row r="57" spans="1:9">
      <c r="A57" s="267" t="s">
        <v>678</v>
      </c>
      <c r="B57" s="267"/>
      <c r="C57" s="267"/>
      <c r="D57" s="266"/>
      <c r="E57" s="266"/>
      <c r="F57" s="266"/>
      <c r="G57" s="266"/>
      <c r="H57" s="266"/>
      <c r="I57" s="268">
        <f t="shared" si="14"/>
        <v>0</v>
      </c>
    </row>
    <row r="58" spans="1:9">
      <c r="A58" s="258" t="s">
        <v>596</v>
      </c>
      <c r="B58" s="258"/>
      <c r="C58" s="258"/>
      <c r="D58" s="266"/>
      <c r="E58" s="266"/>
      <c r="F58" s="266"/>
      <c r="G58" s="266"/>
      <c r="H58" s="266"/>
      <c r="I58" s="268">
        <f t="shared" si="14"/>
        <v>0</v>
      </c>
    </row>
    <row r="59" spans="1:9">
      <c r="A59" s="267"/>
      <c r="B59" s="267"/>
      <c r="C59" s="267"/>
      <c r="D59" s="266"/>
      <c r="E59" s="266"/>
      <c r="F59" s="266"/>
      <c r="G59" s="266"/>
      <c r="H59" s="266"/>
    </row>
    <row r="60" spans="1:9" ht="13.5" thickBot="1">
      <c r="A60" s="267" t="s">
        <v>385</v>
      </c>
      <c r="B60" s="267"/>
      <c r="C60" s="267"/>
      <c r="D60" s="265">
        <f>D54+D56+D57+D58</f>
        <v>-3155838.7099999981</v>
      </c>
      <c r="E60" s="265">
        <f t="shared" ref="E60:I60" si="15">E54+E56+E57+E58</f>
        <v>8377593.2800000012</v>
      </c>
      <c r="F60" s="265">
        <f t="shared" si="15"/>
        <v>2081232.27</v>
      </c>
      <c r="G60" s="265">
        <f t="shared" si="15"/>
        <v>0</v>
      </c>
      <c r="H60" s="265">
        <f t="shared" ref="H60" si="16">H54+H56+H57+H58</f>
        <v>0</v>
      </c>
      <c r="I60" s="265">
        <f t="shared" si="15"/>
        <v>7302986.8400000036</v>
      </c>
    </row>
    <row r="61" spans="1:9">
      <c r="A61" s="267"/>
      <c r="B61" s="267"/>
      <c r="C61" s="267"/>
    </row>
    <row r="62" spans="1:9">
      <c r="A62" s="274" t="s">
        <v>389</v>
      </c>
      <c r="B62" s="274"/>
      <c r="C62" s="274"/>
      <c r="D62" s="268">
        <f>'NET POSITION'!D106-D60</f>
        <v>0</v>
      </c>
      <c r="E62" s="268">
        <f>'NET POSITION'!E106-E60</f>
        <v>0</v>
      </c>
      <c r="F62" s="268">
        <f>'NET POSITION'!F106-F60</f>
        <v>0</v>
      </c>
      <c r="G62" s="268">
        <f>'NET POSITION'!G106-G60</f>
        <v>0</v>
      </c>
      <c r="H62" s="268">
        <f>'NET POSITION'!H106-H60</f>
        <v>0</v>
      </c>
      <c r="I62" s="268">
        <f>'NET POSITION'!I106-I60</f>
        <v>0</v>
      </c>
    </row>
  </sheetData>
  <mergeCells count="4">
    <mergeCell ref="A1:I1"/>
    <mergeCell ref="A2:I2"/>
    <mergeCell ref="A3:I3"/>
    <mergeCell ref="D4:I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89"/>
  <sheetViews>
    <sheetView zoomScaleNormal="100" zoomScaleSheetLayoutView="100" workbookViewId="0">
      <selection activeCell="D11" sqref="D11"/>
    </sheetView>
  </sheetViews>
  <sheetFormatPr defaultColWidth="8.85546875" defaultRowHeight="12.75"/>
  <cols>
    <col min="1" max="1" width="44.5703125" style="260" customWidth="1"/>
    <col min="2" max="3" width="0.140625" style="260" customWidth="1"/>
    <col min="4" max="4" width="18.7109375" style="260" customWidth="1"/>
    <col min="5" max="5" width="17.7109375" style="260" customWidth="1"/>
    <col min="6" max="6" width="18" style="260" customWidth="1"/>
    <col min="7" max="7" width="17" style="260" hidden="1" customWidth="1"/>
    <col min="8" max="8" width="14.7109375" style="260" hidden="1" customWidth="1"/>
    <col min="9" max="9" width="18.7109375" style="260" customWidth="1"/>
    <col min="10" max="10" width="8.85546875" style="260"/>
    <col min="11" max="11" width="12" style="260" bestFit="1" customWidth="1"/>
    <col min="12" max="12" width="14.85546875" style="260" customWidth="1"/>
    <col min="13" max="16384" width="8.85546875" style="260"/>
  </cols>
  <sheetData>
    <row r="1" spans="1:12">
      <c r="A1" s="407" t="str">
        <f>+'NET POSITION'!A1:I1</f>
        <v>Educational Service District #171</v>
      </c>
      <c r="B1" s="407"/>
      <c r="C1" s="407"/>
      <c r="D1" s="407"/>
      <c r="E1" s="407"/>
      <c r="F1" s="407"/>
      <c r="G1" s="407"/>
      <c r="H1" s="407"/>
      <c r="I1" s="407"/>
    </row>
    <row r="2" spans="1:12">
      <c r="A2" s="408" t="s">
        <v>15</v>
      </c>
      <c r="B2" s="408"/>
      <c r="C2" s="408"/>
      <c r="D2" s="408"/>
      <c r="E2" s="408"/>
      <c r="F2" s="408"/>
      <c r="G2" s="408"/>
      <c r="H2" s="408"/>
      <c r="I2" s="408"/>
    </row>
    <row r="3" spans="1:12">
      <c r="A3" s="408" t="s">
        <v>840</v>
      </c>
      <c r="B3" s="408"/>
      <c r="C3" s="408"/>
      <c r="D3" s="408"/>
      <c r="E3" s="408"/>
      <c r="F3" s="408"/>
      <c r="G3" s="408"/>
      <c r="H3" s="408"/>
      <c r="I3" s="408"/>
    </row>
    <row r="4" spans="1:12" ht="9" customHeight="1">
      <c r="A4" s="275"/>
      <c r="B4" s="275"/>
      <c r="C4" s="275"/>
      <c r="D4" s="410"/>
      <c r="E4" s="410"/>
      <c r="F4" s="410"/>
      <c r="G4" s="410"/>
      <c r="H4" s="410"/>
      <c r="I4" s="410"/>
    </row>
    <row r="5" spans="1:12" ht="48.75" customHeight="1">
      <c r="D5" s="263" t="s">
        <v>251</v>
      </c>
      <c r="E5" s="277" t="s">
        <v>283</v>
      </c>
      <c r="F5" s="277" t="s">
        <v>282</v>
      </c>
      <c r="G5" s="279" t="s">
        <v>680</v>
      </c>
      <c r="H5" s="278" t="s">
        <v>681</v>
      </c>
      <c r="I5" s="277" t="s">
        <v>387</v>
      </c>
    </row>
    <row r="6" spans="1:12">
      <c r="A6" s="378" t="s">
        <v>313</v>
      </c>
      <c r="B6" s="273"/>
      <c r="C6" s="273"/>
      <c r="D6" s="272"/>
      <c r="E6" s="272"/>
      <c r="F6" s="272"/>
      <c r="G6" s="272"/>
      <c r="H6" s="272"/>
      <c r="I6" s="272"/>
    </row>
    <row r="7" spans="1:12">
      <c r="A7" s="239" t="s">
        <v>319</v>
      </c>
      <c r="B7" s="271"/>
      <c r="C7" s="271"/>
      <c r="D7" s="270">
        <v>13802566.93</v>
      </c>
      <c r="E7" s="270"/>
      <c r="F7" s="270"/>
      <c r="G7" s="270"/>
      <c r="H7" s="270"/>
      <c r="I7" s="268">
        <f t="shared" ref="I7:I18" si="0">SUM(D7:H7)</f>
        <v>13802566.93</v>
      </c>
    </row>
    <row r="8" spans="1:12">
      <c r="A8" s="239" t="s">
        <v>344</v>
      </c>
      <c r="B8" s="271"/>
      <c r="C8" s="271"/>
      <c r="D8" s="270">
        <f>2923111.95+2136536.83</f>
        <v>5059648.78</v>
      </c>
      <c r="E8" s="270"/>
      <c r="F8" s="270"/>
      <c r="G8" s="270"/>
      <c r="H8" s="270"/>
      <c r="I8" s="260">
        <f t="shared" si="0"/>
        <v>5059648.78</v>
      </c>
    </row>
    <row r="9" spans="1:12">
      <c r="A9" s="239" t="s">
        <v>316</v>
      </c>
      <c r="B9" s="271"/>
      <c r="C9" s="271"/>
      <c r="D9" s="270"/>
      <c r="E9" s="270">
        <v>4481878.2</v>
      </c>
      <c r="F9" s="270">
        <v>509803.93</v>
      </c>
      <c r="G9" s="270"/>
      <c r="H9" s="270"/>
      <c r="I9" s="260">
        <f t="shared" si="0"/>
        <v>4991682.13</v>
      </c>
    </row>
    <row r="10" spans="1:12">
      <c r="A10" s="239" t="s">
        <v>317</v>
      </c>
      <c r="B10" s="271"/>
      <c r="C10" s="271"/>
      <c r="D10" s="270">
        <f>-7548035.26-D30+9652.24</f>
        <v>-6473806.3499999996</v>
      </c>
      <c r="E10" s="270"/>
      <c r="F10" s="270"/>
      <c r="G10" s="270"/>
      <c r="H10" s="270"/>
      <c r="I10" s="260">
        <f t="shared" si="0"/>
        <v>-6473806.3499999996</v>
      </c>
    </row>
    <row r="11" spans="1:12">
      <c r="A11" s="239" t="s">
        <v>318</v>
      </c>
      <c r="B11" s="271"/>
      <c r="C11" s="271"/>
      <c r="D11" s="270">
        <f>-6184256.42</f>
        <v>-6184256.4199999999</v>
      </c>
      <c r="E11" s="270"/>
      <c r="F11" s="270"/>
      <c r="G11" s="270"/>
      <c r="H11" s="270"/>
      <c r="I11" s="260">
        <f t="shared" si="0"/>
        <v>-6184256.4199999999</v>
      </c>
    </row>
    <row r="12" spans="1:12">
      <c r="A12" s="239" t="s">
        <v>68</v>
      </c>
      <c r="B12" s="271"/>
      <c r="C12" s="271"/>
      <c r="D12" s="270">
        <v>-5339531.84</v>
      </c>
      <c r="E12" s="270">
        <v>-1735408.21</v>
      </c>
      <c r="F12" s="270">
        <v>-170283.51999999999</v>
      </c>
      <c r="G12" s="270"/>
      <c r="H12" s="270"/>
      <c r="I12" s="260">
        <f t="shared" si="0"/>
        <v>-7245223.5699999994</v>
      </c>
      <c r="L12" s="260">
        <v>9503086.0600000005</v>
      </c>
    </row>
    <row r="13" spans="1:12">
      <c r="A13" s="239" t="s">
        <v>314</v>
      </c>
      <c r="B13" s="271"/>
      <c r="C13" s="271"/>
      <c r="D13" s="270"/>
      <c r="E13" s="270"/>
      <c r="F13" s="270"/>
      <c r="G13" s="270"/>
      <c r="H13" s="270"/>
      <c r="I13" s="260">
        <f t="shared" si="0"/>
        <v>0</v>
      </c>
    </row>
    <row r="14" spans="1:12">
      <c r="A14" s="239" t="s">
        <v>69</v>
      </c>
      <c r="B14" s="271"/>
      <c r="C14" s="271"/>
      <c r="D14" s="270"/>
      <c r="E14" s="270">
        <v>-8788</v>
      </c>
      <c r="F14" s="270"/>
      <c r="G14" s="270"/>
      <c r="H14" s="270"/>
      <c r="I14" s="260">
        <f t="shared" si="0"/>
        <v>-8788</v>
      </c>
    </row>
    <row r="15" spans="1:12">
      <c r="A15" s="239" t="s">
        <v>320</v>
      </c>
      <c r="B15" s="271"/>
      <c r="C15" s="271"/>
      <c r="D15" s="270"/>
      <c r="E15" s="270">
        <v>-1208050.5900000001</v>
      </c>
      <c r="F15" s="270"/>
      <c r="G15" s="270"/>
      <c r="H15" s="270"/>
      <c r="I15" s="260">
        <f t="shared" si="0"/>
        <v>-1208050.5900000001</v>
      </c>
    </row>
    <row r="16" spans="1:12">
      <c r="A16" s="241" t="s">
        <v>597</v>
      </c>
      <c r="B16" s="269"/>
      <c r="C16" s="269"/>
      <c r="D16" s="270"/>
      <c r="E16" s="270">
        <f>-36859.63-181082.11</f>
        <v>-217941.74</v>
      </c>
      <c r="F16" s="270">
        <f>-33827.66-6822.99</f>
        <v>-40650.65</v>
      </c>
      <c r="G16" s="270"/>
      <c r="H16" s="270"/>
      <c r="I16" s="260">
        <f t="shared" si="0"/>
        <v>-258592.38999999998</v>
      </c>
    </row>
    <row r="17" spans="1:9">
      <c r="A17" s="241" t="s">
        <v>598</v>
      </c>
      <c r="B17" s="269"/>
      <c r="C17" s="269"/>
      <c r="D17" s="270"/>
      <c r="E17" s="270">
        <v>-634316.31000000006</v>
      </c>
      <c r="F17" s="270">
        <v>-80781.929999999993</v>
      </c>
      <c r="G17" s="270"/>
      <c r="H17" s="270"/>
      <c r="I17" s="260">
        <f t="shared" si="0"/>
        <v>-715098.24</v>
      </c>
    </row>
    <row r="18" spans="1:9">
      <c r="A18" s="239" t="s">
        <v>315</v>
      </c>
      <c r="B18" s="271"/>
      <c r="C18" s="271"/>
      <c r="D18" s="270"/>
      <c r="E18" s="270"/>
      <c r="F18" s="270"/>
      <c r="G18" s="270"/>
      <c r="H18" s="270"/>
      <c r="I18" s="260">
        <f t="shared" si="0"/>
        <v>0</v>
      </c>
    </row>
    <row r="19" spans="1:9" ht="13.5" thickBot="1">
      <c r="A19" s="239" t="s">
        <v>14</v>
      </c>
      <c r="B19" s="289"/>
      <c r="C19" s="289"/>
      <c r="D19" s="257">
        <f>SUM(D7:D18)</f>
        <v>864621.10000000149</v>
      </c>
      <c r="E19" s="257">
        <f t="shared" ref="E19:H19" si="1">SUM(E7:E18)</f>
        <v>677373.35000000009</v>
      </c>
      <c r="F19" s="257">
        <f t="shared" si="1"/>
        <v>218087.83000000002</v>
      </c>
      <c r="G19" s="257">
        <f t="shared" ref="G19" si="2">SUM(G7:G18)</f>
        <v>0</v>
      </c>
      <c r="H19" s="257">
        <f t="shared" si="1"/>
        <v>0</v>
      </c>
      <c r="I19" s="257">
        <f>SUM(I7:I18)</f>
        <v>1760082.2800000028</v>
      </c>
    </row>
    <row r="20" spans="1:9" ht="6" customHeight="1" thickTop="1">
      <c r="A20" s="239"/>
      <c r="B20" s="267"/>
      <c r="C20" s="267"/>
      <c r="D20" s="258"/>
      <c r="E20" s="258"/>
      <c r="F20" s="258"/>
      <c r="G20" s="258"/>
      <c r="H20" s="258"/>
    </row>
    <row r="21" spans="1:9" ht="25.5">
      <c r="A21" s="373" t="s">
        <v>8</v>
      </c>
      <c r="B21" s="264"/>
      <c r="C21" s="264"/>
      <c r="D21" s="259"/>
      <c r="E21" s="259"/>
      <c r="F21" s="259"/>
      <c r="G21" s="259"/>
      <c r="H21" s="259"/>
      <c r="I21" s="273"/>
    </row>
    <row r="22" spans="1:9">
      <c r="A22" s="239" t="s">
        <v>12</v>
      </c>
      <c r="B22" s="271"/>
      <c r="C22" s="271"/>
      <c r="D22" s="270"/>
      <c r="E22" s="270"/>
      <c r="F22" s="270"/>
      <c r="G22" s="270"/>
      <c r="H22" s="270"/>
      <c r="I22" s="260">
        <f>SUM(D22:H22)</f>
        <v>0</v>
      </c>
    </row>
    <row r="23" spans="1:9">
      <c r="A23" s="239" t="s">
        <v>321</v>
      </c>
      <c r="B23" s="271"/>
      <c r="C23" s="271"/>
      <c r="D23" s="270"/>
      <c r="E23" s="270"/>
      <c r="F23" s="270"/>
      <c r="G23" s="270"/>
      <c r="H23" s="270"/>
      <c r="I23" s="260">
        <f>SUM(D23:H23)</f>
        <v>0</v>
      </c>
    </row>
    <row r="24" spans="1:9">
      <c r="A24" s="239" t="s">
        <v>322</v>
      </c>
      <c r="B24" s="271"/>
      <c r="C24" s="271"/>
      <c r="D24" s="270"/>
      <c r="E24" s="270"/>
      <c r="F24" s="270"/>
      <c r="G24" s="270"/>
      <c r="H24" s="270"/>
      <c r="I24" s="260">
        <f>SUM(D24:H24)</f>
        <v>0</v>
      </c>
    </row>
    <row r="25" spans="1:9">
      <c r="A25" s="239" t="s">
        <v>330</v>
      </c>
      <c r="B25" s="271"/>
      <c r="C25" s="271"/>
      <c r="D25" s="270"/>
      <c r="E25" s="270"/>
      <c r="F25" s="270"/>
      <c r="G25" s="270"/>
      <c r="H25" s="270"/>
      <c r="I25" s="260">
        <f>SUM(D25:H25)</f>
        <v>0</v>
      </c>
    </row>
    <row r="26" spans="1:9">
      <c r="A26" s="239" t="s">
        <v>560</v>
      </c>
      <c r="B26" s="271"/>
      <c r="C26" s="271"/>
      <c r="D26" s="270"/>
      <c r="E26" s="270"/>
      <c r="F26" s="270"/>
      <c r="G26" s="270"/>
      <c r="H26" s="270"/>
      <c r="I26" s="260">
        <f>SUM(D26:H26)</f>
        <v>0</v>
      </c>
    </row>
    <row r="27" spans="1:9" ht="27" customHeight="1" thickBot="1">
      <c r="A27" s="239" t="s">
        <v>323</v>
      </c>
      <c r="B27" s="289"/>
      <c r="C27" s="289"/>
      <c r="D27" s="257">
        <f>SUM(D22:D26)</f>
        <v>0</v>
      </c>
      <c r="E27" s="257">
        <f t="shared" ref="E27:I27" si="3">SUM(E22:E26)</f>
        <v>0</v>
      </c>
      <c r="F27" s="257">
        <f t="shared" si="3"/>
        <v>0</v>
      </c>
      <c r="G27" s="257">
        <f t="shared" ref="G27" si="4">SUM(G22:G26)</f>
        <v>0</v>
      </c>
      <c r="H27" s="257">
        <f t="shared" si="3"/>
        <v>0</v>
      </c>
      <c r="I27" s="257">
        <f t="shared" si="3"/>
        <v>0</v>
      </c>
    </row>
    <row r="28" spans="1:9" ht="6" customHeight="1" thickTop="1">
      <c r="A28" s="239"/>
      <c r="B28" s="262"/>
      <c r="C28" s="262"/>
      <c r="D28" s="270"/>
      <c r="E28" s="270"/>
      <c r="F28" s="270"/>
      <c r="G28" s="270"/>
      <c r="H28" s="270"/>
    </row>
    <row r="29" spans="1:9" ht="26.25" customHeight="1">
      <c r="A29" s="373" t="s">
        <v>3</v>
      </c>
      <c r="B29" s="264"/>
      <c r="C29" s="264"/>
      <c r="D29" s="259"/>
      <c r="E29" s="259"/>
      <c r="F29" s="259"/>
      <c r="G29" s="259"/>
      <c r="H29" s="259"/>
      <c r="I29" s="273"/>
    </row>
    <row r="30" spans="1:9">
      <c r="A30" s="239" t="s">
        <v>324</v>
      </c>
      <c r="B30" s="271"/>
      <c r="C30" s="271"/>
      <c r="D30" s="270">
        <f>-995214.76-69361.91</f>
        <v>-1064576.67</v>
      </c>
      <c r="E30" s="270"/>
      <c r="F30" s="270"/>
      <c r="G30" s="270"/>
      <c r="H30" s="270"/>
      <c r="I30" s="260">
        <f>SUM(D30:H30)</f>
        <v>-1064576.67</v>
      </c>
    </row>
    <row r="31" spans="1:9">
      <c r="A31" s="239" t="s">
        <v>325</v>
      </c>
      <c r="B31" s="271"/>
      <c r="C31" s="271"/>
      <c r="D31" s="270">
        <v>833500</v>
      </c>
      <c r="E31" s="270"/>
      <c r="F31" s="270"/>
      <c r="G31" s="270"/>
      <c r="H31" s="270"/>
      <c r="I31" s="260">
        <f>SUM(D31:H31)</f>
        <v>833500</v>
      </c>
    </row>
    <row r="32" spans="1:9">
      <c r="A32" s="239" t="s">
        <v>331</v>
      </c>
      <c r="B32" s="271"/>
      <c r="C32" s="271"/>
      <c r="D32" s="270">
        <v>-330497.71000000002</v>
      </c>
      <c r="E32" s="270"/>
      <c r="F32" s="270"/>
      <c r="G32" s="270"/>
      <c r="H32" s="270"/>
      <c r="I32" s="260">
        <f>SUM(D32:H32)</f>
        <v>-330497.71000000002</v>
      </c>
    </row>
    <row r="33" spans="1:13">
      <c r="A33" s="239" t="s">
        <v>326</v>
      </c>
      <c r="B33" s="271"/>
      <c r="C33" s="271"/>
      <c r="D33" s="270"/>
      <c r="E33" s="270"/>
      <c r="F33" s="270"/>
      <c r="G33" s="270"/>
      <c r="H33" s="270"/>
      <c r="I33" s="260">
        <f>SUM(D33:H33)</f>
        <v>0</v>
      </c>
    </row>
    <row r="34" spans="1:13">
      <c r="A34" s="241" t="s">
        <v>305</v>
      </c>
      <c r="B34" s="269"/>
      <c r="C34" s="269"/>
      <c r="D34" s="270">
        <v>28891.06</v>
      </c>
      <c r="E34" s="270"/>
      <c r="F34" s="270"/>
      <c r="G34" s="270"/>
      <c r="H34" s="270"/>
    </row>
    <row r="35" spans="1:13">
      <c r="A35" s="239" t="s">
        <v>315</v>
      </c>
      <c r="B35" s="271"/>
      <c r="C35" s="271"/>
      <c r="D35" s="270"/>
      <c r="E35" s="270"/>
      <c r="F35" s="270"/>
      <c r="G35" s="270"/>
      <c r="H35" s="270"/>
      <c r="I35" s="260">
        <f>SUM(D35:H35)</f>
        <v>0</v>
      </c>
    </row>
    <row r="36" spans="1:13" ht="30" customHeight="1" thickBot="1">
      <c r="A36" s="239" t="s">
        <v>327</v>
      </c>
      <c r="B36" s="289"/>
      <c r="C36" s="289"/>
      <c r="D36" s="257">
        <f t="shared" ref="D36:I36" si="5">SUM(D30:D35)</f>
        <v>-532683.31999999983</v>
      </c>
      <c r="E36" s="257">
        <f t="shared" si="5"/>
        <v>0</v>
      </c>
      <c r="F36" s="257">
        <f t="shared" si="5"/>
        <v>0</v>
      </c>
      <c r="G36" s="257">
        <f t="shared" si="5"/>
        <v>0</v>
      </c>
      <c r="H36" s="257">
        <f t="shared" si="5"/>
        <v>0</v>
      </c>
      <c r="I36" s="257">
        <f t="shared" si="5"/>
        <v>-561574.37999999989</v>
      </c>
      <c r="L36" s="374" t="s">
        <v>811</v>
      </c>
    </row>
    <row r="37" spans="1:13" ht="5.25" customHeight="1" thickTop="1">
      <c r="A37" s="239"/>
      <c r="B37" s="267"/>
      <c r="C37" s="267"/>
      <c r="D37" s="266"/>
      <c r="E37" s="266"/>
      <c r="F37" s="266"/>
      <c r="G37" s="266"/>
      <c r="H37" s="266"/>
    </row>
    <row r="38" spans="1:13" ht="24" customHeight="1">
      <c r="A38" s="373" t="s">
        <v>9</v>
      </c>
      <c r="B38" s="264"/>
      <c r="C38" s="264"/>
      <c r="D38" s="284"/>
      <c r="E38" s="284"/>
      <c r="F38" s="284"/>
      <c r="G38" s="284"/>
      <c r="H38" s="284"/>
      <c r="I38" s="273"/>
      <c r="L38" s="383" t="s">
        <v>305</v>
      </c>
      <c r="M38" s="249" t="s">
        <v>796</v>
      </c>
    </row>
    <row r="39" spans="1:13">
      <c r="A39" s="239" t="s">
        <v>559</v>
      </c>
      <c r="B39" s="271"/>
      <c r="C39" s="271"/>
      <c r="D39" s="270"/>
      <c r="E39" s="270"/>
      <c r="F39" s="270"/>
      <c r="G39" s="270"/>
      <c r="H39" s="270"/>
      <c r="I39" s="260">
        <f>SUM(D39:H39)</f>
        <v>0</v>
      </c>
    </row>
    <row r="40" spans="1:13">
      <c r="A40" s="241" t="s">
        <v>329</v>
      </c>
      <c r="B40" s="269"/>
      <c r="C40" s="269"/>
      <c r="D40" s="270"/>
      <c r="E40" s="270"/>
      <c r="F40" s="270"/>
      <c r="G40" s="270"/>
      <c r="H40" s="270"/>
      <c r="I40" s="260">
        <f>SUM(D40:H40)</f>
        <v>0</v>
      </c>
    </row>
    <row r="41" spans="1:13">
      <c r="A41" s="241" t="s">
        <v>328</v>
      </c>
      <c r="B41" s="269"/>
      <c r="C41" s="269"/>
      <c r="D41" s="270">
        <f>49766.21+3049.4</f>
        <v>52815.61</v>
      </c>
      <c r="E41" s="270">
        <v>259343.46</v>
      </c>
      <c r="F41" s="270">
        <v>46814.04</v>
      </c>
      <c r="G41" s="270"/>
      <c r="H41" s="270"/>
      <c r="I41" s="260">
        <f>SUM(D41:H41)</f>
        <v>358973.11</v>
      </c>
    </row>
    <row r="42" spans="1:13" ht="13.5" thickBot="1">
      <c r="A42" s="241" t="s">
        <v>332</v>
      </c>
      <c r="B42" s="288"/>
      <c r="C42" s="288"/>
      <c r="D42" s="283">
        <f t="shared" ref="D42:I42" si="6">SUM(D39:D41)</f>
        <v>52815.61</v>
      </c>
      <c r="E42" s="283">
        <f t="shared" si="6"/>
        <v>259343.46</v>
      </c>
      <c r="F42" s="283">
        <f t="shared" si="6"/>
        <v>46814.04</v>
      </c>
      <c r="G42" s="283">
        <f t="shared" si="6"/>
        <v>0</v>
      </c>
      <c r="H42" s="283">
        <f t="shared" si="6"/>
        <v>0</v>
      </c>
      <c r="I42" s="283">
        <f t="shared" si="6"/>
        <v>358973.11</v>
      </c>
    </row>
    <row r="43" spans="1:13" ht="3.75" customHeight="1" thickTop="1">
      <c r="A43" s="241"/>
      <c r="B43" s="258"/>
      <c r="C43" s="258"/>
      <c r="D43" s="266"/>
      <c r="E43" s="266"/>
      <c r="F43" s="266"/>
      <c r="G43" s="266"/>
      <c r="H43" s="266"/>
    </row>
    <row r="44" spans="1:13" ht="21.75" customHeight="1">
      <c r="A44" s="241" t="s">
        <v>148</v>
      </c>
      <c r="B44" s="286"/>
      <c r="C44" s="286"/>
      <c r="D44" s="266">
        <f t="shared" ref="D44:I44" si="7">D19+D27+D36+D42</f>
        <v>384753.39000000164</v>
      </c>
      <c r="E44" s="266">
        <f t="shared" si="7"/>
        <v>936716.81</v>
      </c>
      <c r="F44" s="266">
        <f t="shared" si="7"/>
        <v>264901.87</v>
      </c>
      <c r="G44" s="266">
        <f t="shared" si="7"/>
        <v>0</v>
      </c>
      <c r="H44" s="266">
        <f t="shared" si="7"/>
        <v>0</v>
      </c>
      <c r="I44" s="266">
        <f t="shared" si="7"/>
        <v>1557481.010000003</v>
      </c>
    </row>
    <row r="45" spans="1:13" ht="6" customHeight="1">
      <c r="A45" s="241"/>
      <c r="B45" s="258"/>
      <c r="C45" s="258"/>
      <c r="D45" s="266"/>
      <c r="E45" s="266"/>
      <c r="F45" s="266"/>
      <c r="G45" s="266"/>
      <c r="H45" s="266"/>
    </row>
    <row r="46" spans="1:13">
      <c r="A46" s="241" t="s">
        <v>333</v>
      </c>
      <c r="B46" s="258"/>
      <c r="C46" s="258"/>
      <c r="D46" s="266">
        <v>1749081.48</v>
      </c>
      <c r="E46" s="266">
        <v>10662276.619999999</v>
      </c>
      <c r="F46" s="266">
        <v>1868009.34</v>
      </c>
      <c r="G46" s="266"/>
      <c r="H46" s="266"/>
      <c r="I46" s="260">
        <f>SUM(D46:H46)</f>
        <v>14279367.439999999</v>
      </c>
    </row>
    <row r="47" spans="1:13">
      <c r="A47" s="241" t="s">
        <v>596</v>
      </c>
      <c r="B47" s="258"/>
      <c r="C47" s="258"/>
      <c r="D47" s="266"/>
      <c r="E47" s="266"/>
      <c r="F47" s="266"/>
      <c r="G47" s="266"/>
      <c r="H47" s="266"/>
      <c r="I47" s="260">
        <f>SUM(D47:H47)</f>
        <v>0</v>
      </c>
    </row>
    <row r="48" spans="1:13" ht="13.5" thickBot="1">
      <c r="A48" s="241" t="s">
        <v>334</v>
      </c>
      <c r="B48" s="258"/>
      <c r="C48" s="258"/>
      <c r="D48" s="265">
        <f>D44+D46+D47</f>
        <v>2133834.8700000015</v>
      </c>
      <c r="E48" s="265">
        <f t="shared" ref="E48:I48" si="8">E44+E46+E47</f>
        <v>11598993.43</v>
      </c>
      <c r="F48" s="265">
        <f t="shared" si="8"/>
        <v>2132911.21</v>
      </c>
      <c r="G48" s="265">
        <f t="shared" ref="G48" si="9">G44+G46+G47</f>
        <v>0</v>
      </c>
      <c r="H48" s="265">
        <f t="shared" si="8"/>
        <v>0</v>
      </c>
      <c r="I48" s="265">
        <f t="shared" si="8"/>
        <v>15836848.450000003</v>
      </c>
    </row>
    <row r="49" spans="1:11" ht="3.75" customHeight="1">
      <c r="A49" s="241"/>
      <c r="B49" s="258"/>
      <c r="C49" s="258"/>
    </row>
    <row r="50" spans="1:11">
      <c r="A50" s="377" t="s">
        <v>389</v>
      </c>
      <c r="B50" s="281"/>
      <c r="C50" s="281"/>
      <c r="D50" s="268">
        <f>('NET POSITION'!D8+'NET POSITION'!D10)-D48</f>
        <v>0</v>
      </c>
      <c r="E50" s="268">
        <f>('NET POSITION'!E8+'NET POSITION'!E10)-E48</f>
        <v>0</v>
      </c>
      <c r="F50" s="268">
        <f>('NET POSITION'!F8+'NET POSITION'!F10)-F48</f>
        <v>0</v>
      </c>
      <c r="G50" s="268">
        <f>('NET POSITION'!G8+'NET POSITION'!G10)-G48</f>
        <v>0</v>
      </c>
      <c r="H50" s="268">
        <f>('NET POSITION'!H8+'NET POSITION'!H10)-H48</f>
        <v>0</v>
      </c>
      <c r="I50" s="268">
        <f>('NET POSITION'!I8+'NET POSITION'!I10)-I48</f>
        <v>28891.059999996796</v>
      </c>
      <c r="K50" s="260" t="s">
        <v>682</v>
      </c>
    </row>
    <row r="51" spans="1:11" ht="6" customHeight="1" thickBot="1">
      <c r="A51" s="379"/>
      <c r="B51" s="380"/>
      <c r="C51" s="380"/>
      <c r="D51" s="381"/>
      <c r="E51" s="381"/>
      <c r="F51" s="381"/>
      <c r="G51" s="381"/>
      <c r="H51" s="381"/>
      <c r="I51" s="381"/>
    </row>
    <row r="52" spans="1:11" ht="36" customHeight="1">
      <c r="A52" s="241" t="s">
        <v>335</v>
      </c>
      <c r="B52" s="258"/>
      <c r="C52" s="258"/>
      <c r="D52" s="259"/>
      <c r="E52" s="259"/>
      <c r="F52" s="259"/>
      <c r="G52" s="259"/>
      <c r="H52" s="259"/>
      <c r="I52" s="273"/>
    </row>
    <row r="53" spans="1:11" ht="6" customHeight="1">
      <c r="A53" s="241"/>
      <c r="B53" s="258"/>
      <c r="C53" s="258"/>
      <c r="D53" s="266"/>
      <c r="E53" s="266"/>
      <c r="F53" s="266"/>
      <c r="G53" s="266"/>
      <c r="H53" s="266"/>
    </row>
    <row r="54" spans="1:11" ht="22.5" customHeight="1">
      <c r="A54" s="241" t="s">
        <v>336</v>
      </c>
      <c r="B54" s="258"/>
      <c r="C54" s="258"/>
      <c r="D54" s="266">
        <f>'REVENUE EXPENSES'!D37</f>
        <v>1179831.6000000015</v>
      </c>
      <c r="E54" s="266">
        <f>'REVENUE EXPENSES'!E37</f>
        <v>544319.17000000039</v>
      </c>
      <c r="F54" s="266">
        <f>'REVENUE EXPENSES'!F37</f>
        <v>248761.95</v>
      </c>
      <c r="G54" s="266">
        <f>'REVENUE EXPENSES'!G37</f>
        <v>0</v>
      </c>
      <c r="H54" s="266">
        <f>'REVENUE EXPENSES'!H37</f>
        <v>0</v>
      </c>
      <c r="I54" s="266">
        <f>'REVENUE EXPENSES'!I37</f>
        <v>1972912.7200000025</v>
      </c>
    </row>
    <row r="55" spans="1:11" ht="25.5">
      <c r="A55" s="241" t="s">
        <v>337</v>
      </c>
      <c r="B55" s="285"/>
      <c r="C55" s="285"/>
      <c r="D55" s="266"/>
      <c r="E55" s="266"/>
      <c r="F55" s="266"/>
      <c r="G55" s="266"/>
      <c r="H55" s="266"/>
    </row>
    <row r="56" spans="1:11">
      <c r="A56" s="241" t="s">
        <v>338</v>
      </c>
      <c r="B56" s="269"/>
      <c r="C56" s="269"/>
      <c r="D56" s="270">
        <f>'Expenditure Matrix'!L34</f>
        <v>131180</v>
      </c>
      <c r="E56" s="270"/>
      <c r="F56" s="270"/>
      <c r="G56" s="270"/>
      <c r="H56" s="270"/>
      <c r="I56" s="260">
        <f t="shared" ref="I56:I71" si="10">SUM(D56:H56)</f>
        <v>131180</v>
      </c>
    </row>
    <row r="57" spans="1:11">
      <c r="A57" s="241" t="s">
        <v>339</v>
      </c>
      <c r="B57" s="269"/>
      <c r="C57" s="269"/>
      <c r="D57" s="270"/>
      <c r="E57" s="270"/>
      <c r="F57" s="270"/>
      <c r="G57" s="270"/>
      <c r="H57" s="270"/>
      <c r="I57" s="260">
        <f t="shared" si="10"/>
        <v>0</v>
      </c>
    </row>
    <row r="58" spans="1:11">
      <c r="A58" s="241" t="s">
        <v>340</v>
      </c>
      <c r="B58" s="287"/>
      <c r="C58" s="287"/>
      <c r="D58" s="270">
        <v>47205.37</v>
      </c>
      <c r="E58" s="270">
        <v>23044.1</v>
      </c>
      <c r="F58" s="270">
        <v>-145.99</v>
      </c>
      <c r="G58" s="270"/>
      <c r="H58" s="270"/>
      <c r="I58" s="260">
        <f t="shared" si="10"/>
        <v>70103.48</v>
      </c>
    </row>
    <row r="59" spans="1:11">
      <c r="A59" s="241" t="s">
        <v>259</v>
      </c>
      <c r="B59" s="287"/>
      <c r="C59" s="287"/>
      <c r="D59" s="270">
        <v>-385419.57</v>
      </c>
      <c r="E59" s="270">
        <v>112094.5</v>
      </c>
      <c r="F59" s="270"/>
      <c r="G59" s="270"/>
      <c r="H59" s="270"/>
      <c r="I59" s="260">
        <f t="shared" si="10"/>
        <v>-273325.07</v>
      </c>
    </row>
    <row r="60" spans="1:11">
      <c r="A60" s="241" t="s">
        <v>341</v>
      </c>
      <c r="B60" s="287"/>
      <c r="C60" s="287"/>
      <c r="D60" s="290"/>
      <c r="E60" s="270"/>
      <c r="F60" s="270"/>
      <c r="G60" s="270"/>
      <c r="H60" s="270"/>
      <c r="I60" s="260">
        <f t="shared" si="10"/>
        <v>0</v>
      </c>
    </row>
    <row r="61" spans="1:11">
      <c r="A61" s="241" t="s">
        <v>342</v>
      </c>
      <c r="B61" s="287"/>
      <c r="C61" s="287"/>
      <c r="D61" s="270">
        <v>294001.67</v>
      </c>
      <c r="E61" s="270">
        <v>-1801.42</v>
      </c>
      <c r="F61" s="270">
        <v>1108.75</v>
      </c>
      <c r="G61" s="270"/>
      <c r="H61" s="270"/>
      <c r="I61" s="260">
        <f t="shared" si="10"/>
        <v>293309</v>
      </c>
    </row>
    <row r="62" spans="1:11">
      <c r="A62" s="241" t="s">
        <v>343</v>
      </c>
      <c r="B62" s="287"/>
      <c r="C62" s="287"/>
      <c r="D62" s="270">
        <v>-43514</v>
      </c>
      <c r="E62" s="270"/>
      <c r="F62" s="270"/>
      <c r="G62" s="270"/>
      <c r="H62" s="270"/>
      <c r="I62" s="260">
        <f t="shared" si="10"/>
        <v>-43514</v>
      </c>
    </row>
    <row r="63" spans="1:11">
      <c r="A63" s="241" t="s">
        <v>228</v>
      </c>
      <c r="B63" s="287"/>
      <c r="C63" s="287"/>
      <c r="D63" s="270">
        <v>-54714.97</v>
      </c>
      <c r="E63" s="270"/>
      <c r="F63" s="270"/>
      <c r="G63" s="270"/>
      <c r="H63" s="270"/>
      <c r="I63" s="260">
        <f t="shared" si="10"/>
        <v>-54714.97</v>
      </c>
    </row>
    <row r="64" spans="1:11">
      <c r="A64" s="376" t="s">
        <v>730</v>
      </c>
      <c r="B64" s="287"/>
      <c r="C64" s="287"/>
      <c r="D64" s="270"/>
      <c r="E64" s="270"/>
      <c r="F64" s="270"/>
      <c r="G64" s="270"/>
      <c r="H64" s="270"/>
      <c r="I64" s="260">
        <f t="shared" si="10"/>
        <v>0</v>
      </c>
    </row>
    <row r="65" spans="1:9">
      <c r="A65" s="376" t="s">
        <v>683</v>
      </c>
      <c r="B65" s="269"/>
      <c r="C65" s="269"/>
      <c r="D65" s="270">
        <v>-371066</v>
      </c>
      <c r="E65" s="270"/>
      <c r="F65" s="270"/>
      <c r="G65" s="270"/>
      <c r="H65" s="270"/>
      <c r="I65" s="260">
        <f t="shared" si="10"/>
        <v>-371066</v>
      </c>
    </row>
    <row r="66" spans="1:9">
      <c r="A66" s="376" t="s">
        <v>684</v>
      </c>
      <c r="B66" s="269"/>
      <c r="C66" s="269"/>
      <c r="D66" s="270">
        <v>183562</v>
      </c>
      <c r="E66" s="270"/>
      <c r="F66" s="270"/>
      <c r="G66" s="270"/>
      <c r="H66" s="270"/>
      <c r="I66" s="260">
        <f t="shared" si="10"/>
        <v>183562</v>
      </c>
    </row>
    <row r="67" spans="1:9">
      <c r="A67" s="376" t="s">
        <v>685</v>
      </c>
      <c r="B67" s="269"/>
      <c r="C67" s="269"/>
      <c r="D67" s="270">
        <v>-401473</v>
      </c>
      <c r="E67" s="270"/>
      <c r="F67" s="270"/>
      <c r="G67" s="270"/>
      <c r="H67" s="270"/>
      <c r="I67" s="260">
        <f t="shared" si="10"/>
        <v>-401473</v>
      </c>
    </row>
    <row r="68" spans="1:9">
      <c r="A68" s="376" t="s">
        <v>729</v>
      </c>
      <c r="B68" s="269"/>
      <c r="C68" s="269"/>
      <c r="D68" s="270"/>
      <c r="E68" s="270"/>
      <c r="F68" s="270"/>
      <c r="G68" s="270"/>
      <c r="H68" s="270"/>
      <c r="I68" s="260">
        <f t="shared" si="10"/>
        <v>0</v>
      </c>
    </row>
    <row r="69" spans="1:9">
      <c r="A69" s="376" t="s">
        <v>683</v>
      </c>
      <c r="B69" s="269"/>
      <c r="C69" s="269"/>
      <c r="D69" s="270">
        <v>-834793</v>
      </c>
      <c r="E69" s="270"/>
      <c r="F69" s="270"/>
      <c r="G69" s="270"/>
      <c r="H69" s="270"/>
      <c r="I69" s="260">
        <f t="shared" si="10"/>
        <v>-834793</v>
      </c>
    </row>
    <row r="70" spans="1:9">
      <c r="A70" s="376" t="s">
        <v>684</v>
      </c>
      <c r="B70" s="269"/>
      <c r="C70" s="269"/>
      <c r="D70" s="270">
        <v>-26997</v>
      </c>
      <c r="E70" s="270"/>
      <c r="F70" s="270"/>
      <c r="G70" s="270"/>
      <c r="H70" s="270"/>
      <c r="I70" s="260">
        <f t="shared" si="10"/>
        <v>-26997</v>
      </c>
    </row>
    <row r="71" spans="1:9">
      <c r="A71" s="376" t="s">
        <v>731</v>
      </c>
      <c r="B71" s="269"/>
      <c r="C71" s="269"/>
      <c r="D71" s="270">
        <v>1146818</v>
      </c>
      <c r="E71" s="270"/>
      <c r="F71" s="270"/>
      <c r="G71" s="270"/>
      <c r="H71" s="270"/>
      <c r="I71" s="260">
        <f t="shared" si="10"/>
        <v>1146818</v>
      </c>
    </row>
    <row r="72" spans="1:9">
      <c r="A72" s="241" t="s">
        <v>732</v>
      </c>
      <c r="B72" s="269"/>
      <c r="C72" s="269"/>
      <c r="D72" s="270"/>
      <c r="E72" s="270"/>
      <c r="F72" s="270"/>
      <c r="G72" s="270"/>
      <c r="H72" s="270"/>
      <c r="I72" s="260">
        <f>SUM(D72:H72)</f>
        <v>0</v>
      </c>
    </row>
    <row r="73" spans="1:9">
      <c r="A73" s="241" t="s">
        <v>653</v>
      </c>
      <c r="B73" s="287"/>
      <c r="C73" s="287"/>
      <c r="D73" s="270"/>
      <c r="E73" s="270">
        <v>-153607</v>
      </c>
      <c r="F73" s="270">
        <v>-31636.880000000001</v>
      </c>
      <c r="G73" s="270"/>
      <c r="H73" s="270"/>
      <c r="I73" s="260">
        <f t="shared" ref="I73" si="11">SUM(D73:H73)</f>
        <v>-185243.88</v>
      </c>
    </row>
    <row r="74" spans="1:9">
      <c r="A74" s="241" t="s">
        <v>81</v>
      </c>
      <c r="B74" s="287"/>
      <c r="C74" s="287"/>
      <c r="D74" s="270"/>
      <c r="E74" s="270">
        <v>127769</v>
      </c>
      <c r="F74" s="270"/>
      <c r="G74" s="270"/>
      <c r="H74" s="270"/>
      <c r="I74" s="260">
        <f t="shared" ref="I74:I81" si="12">SUM(D74:H74)</f>
        <v>127769</v>
      </c>
    </row>
    <row r="75" spans="1:9">
      <c r="A75" s="241" t="s">
        <v>76</v>
      </c>
      <c r="B75" s="287"/>
      <c r="C75" s="287"/>
      <c r="D75" s="270"/>
      <c r="E75" s="270">
        <v>59451</v>
      </c>
      <c r="F75" s="270"/>
      <c r="G75" s="270"/>
      <c r="H75" s="270"/>
      <c r="I75" s="260">
        <f t="shared" si="12"/>
        <v>59451</v>
      </c>
    </row>
    <row r="76" spans="1:9">
      <c r="A76" s="241" t="s">
        <v>654</v>
      </c>
      <c r="B76" s="287"/>
      <c r="C76" s="287"/>
      <c r="D76" s="270"/>
      <c r="E76" s="270">
        <v>-32921</v>
      </c>
      <c r="F76" s="270"/>
      <c r="G76" s="270"/>
      <c r="H76" s="270"/>
      <c r="I76" s="260">
        <f t="shared" si="12"/>
        <v>-32921</v>
      </c>
    </row>
    <row r="77" spans="1:9">
      <c r="A77" s="241" t="s">
        <v>564</v>
      </c>
      <c r="B77" s="287"/>
      <c r="C77" s="287"/>
      <c r="D77" s="270"/>
      <c r="E77" s="270">
        <v>-975</v>
      </c>
      <c r="F77" s="270"/>
      <c r="G77" s="270"/>
      <c r="H77" s="270"/>
      <c r="I77" s="260">
        <f t="shared" si="12"/>
        <v>-975</v>
      </c>
    </row>
    <row r="78" spans="1:9">
      <c r="A78" s="241" t="s">
        <v>345</v>
      </c>
      <c r="B78" s="287"/>
      <c r="C78" s="287"/>
      <c r="D78" s="270"/>
      <c r="E78" s="270"/>
      <c r="F78" s="270"/>
      <c r="G78" s="270"/>
      <c r="H78" s="270"/>
      <c r="I78" s="260">
        <f t="shared" si="12"/>
        <v>0</v>
      </c>
    </row>
    <row r="79" spans="1:9">
      <c r="A79" s="241" t="s">
        <v>346</v>
      </c>
      <c r="B79" s="287"/>
      <c r="C79" s="287"/>
      <c r="D79" s="270"/>
      <c r="E79" s="270"/>
      <c r="F79" s="270"/>
      <c r="G79" s="270"/>
      <c r="H79" s="270"/>
      <c r="I79" s="260">
        <f t="shared" si="12"/>
        <v>0</v>
      </c>
    </row>
    <row r="80" spans="1:9">
      <c r="A80" s="241" t="s">
        <v>347</v>
      </c>
      <c r="B80" s="287"/>
      <c r="C80" s="287"/>
      <c r="D80" s="270"/>
      <c r="E80" s="270"/>
      <c r="F80" s="270"/>
      <c r="G80" s="270"/>
      <c r="H80" s="270"/>
      <c r="I80" s="260">
        <f t="shared" si="12"/>
        <v>0</v>
      </c>
    </row>
    <row r="81" spans="1:9">
      <c r="A81" s="241" t="s">
        <v>277</v>
      </c>
      <c r="B81" s="287"/>
      <c r="C81" s="287"/>
      <c r="D81" s="270"/>
      <c r="E81" s="270"/>
      <c r="F81" s="270"/>
      <c r="G81" s="270"/>
      <c r="H81" s="270"/>
      <c r="I81" s="260">
        <f t="shared" si="12"/>
        <v>0</v>
      </c>
    </row>
    <row r="82" spans="1:9" ht="13.5" thickBot="1">
      <c r="A82" s="241" t="s">
        <v>14</v>
      </c>
      <c r="B82" s="288"/>
      <c r="C82" s="288"/>
      <c r="D82" s="257">
        <f>SUM(D54:D81)</f>
        <v>864621.10000000149</v>
      </c>
      <c r="E82" s="257">
        <f t="shared" ref="E82:I82" si="13">SUM(E54:E81)</f>
        <v>677373.35000000033</v>
      </c>
      <c r="F82" s="257">
        <f t="shared" si="13"/>
        <v>218087.83000000002</v>
      </c>
      <c r="G82" s="257">
        <f t="shared" si="13"/>
        <v>0</v>
      </c>
      <c r="H82" s="257">
        <f t="shared" si="13"/>
        <v>0</v>
      </c>
      <c r="I82" s="257">
        <f t="shared" si="13"/>
        <v>1760082.2800000026</v>
      </c>
    </row>
    <row r="83" spans="1:9" ht="6" customHeight="1" thickTop="1">
      <c r="A83" s="241"/>
      <c r="B83" s="287"/>
      <c r="C83" s="287"/>
      <c r="D83" s="270"/>
      <c r="E83" s="270"/>
      <c r="F83" s="270"/>
      <c r="G83" s="270"/>
      <c r="H83" s="270"/>
    </row>
    <row r="84" spans="1:9" ht="25.5">
      <c r="A84" s="241" t="s">
        <v>358</v>
      </c>
      <c r="B84" s="258"/>
      <c r="C84" s="258"/>
      <c r="D84" s="259"/>
      <c r="E84" s="259"/>
      <c r="F84" s="259"/>
      <c r="G84" s="259"/>
      <c r="H84" s="259"/>
      <c r="I84" s="273"/>
    </row>
    <row r="85" spans="1:9" s="268" customFormat="1" ht="6" customHeight="1">
      <c r="A85" s="241"/>
      <c r="B85" s="258"/>
      <c r="C85" s="258"/>
      <c r="D85" s="266"/>
      <c r="E85" s="266"/>
      <c r="F85" s="266"/>
      <c r="G85" s="266"/>
      <c r="H85" s="266"/>
    </row>
    <row r="86" spans="1:9" ht="13.5" thickBot="1">
      <c r="A86" s="239" t="s">
        <v>844</v>
      </c>
      <c r="B86" s="262"/>
      <c r="C86" s="262"/>
      <c r="D86" s="283">
        <v>8776</v>
      </c>
      <c r="E86" s="283"/>
      <c r="F86" s="283"/>
      <c r="G86" s="283"/>
      <c r="H86" s="283"/>
      <c r="I86" s="282">
        <f>SUM(D86:H86)</f>
        <v>8776</v>
      </c>
    </row>
    <row r="87" spans="1:9" ht="13.5" thickTop="1">
      <c r="A87" s="367"/>
    </row>
    <row r="88" spans="1:9">
      <c r="A88" s="367"/>
    </row>
    <row r="89" spans="1:9">
      <c r="A89" s="367" t="s">
        <v>389</v>
      </c>
      <c r="B89" s="274"/>
      <c r="C89" s="274"/>
      <c r="D89" s="260">
        <f>D19-D82</f>
        <v>0</v>
      </c>
      <c r="E89" s="260">
        <f t="shared" ref="E89:I89" si="14">E19-E82</f>
        <v>0</v>
      </c>
      <c r="F89" s="260">
        <f t="shared" si="14"/>
        <v>0</v>
      </c>
      <c r="G89" s="260">
        <f t="shared" si="14"/>
        <v>0</v>
      </c>
      <c r="H89" s="260">
        <f t="shared" si="14"/>
        <v>0</v>
      </c>
      <c r="I89" s="260">
        <f t="shared" si="14"/>
        <v>0</v>
      </c>
    </row>
  </sheetData>
  <sheetProtection insertColumns="0" deleteColumns="0"/>
  <mergeCells count="4">
    <mergeCell ref="A1:I1"/>
    <mergeCell ref="A2:I2"/>
    <mergeCell ref="A3:I3"/>
    <mergeCell ref="D4:I4"/>
  </mergeCells>
  <printOptions horizontalCentered="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62"/>
  <sheetViews>
    <sheetView topLeftCell="A40" workbookViewId="0">
      <selection activeCell="D9" sqref="D9"/>
    </sheetView>
  </sheetViews>
  <sheetFormatPr defaultColWidth="9.140625" defaultRowHeight="12.75"/>
  <cols>
    <col min="1" max="1" width="47" style="201" bestFit="1" customWidth="1"/>
    <col min="2" max="3" width="18.7109375" style="201" customWidth="1"/>
    <col min="4" max="4" width="17.85546875" style="201" customWidth="1"/>
    <col min="5" max="5" width="24.28515625" style="201" bestFit="1" customWidth="1"/>
    <col min="6" max="16384" width="9.140625" style="201"/>
  </cols>
  <sheetData>
    <row r="1" spans="1:6">
      <c r="A1" s="433" t="str">
        <f>'NET POSITION'!A1:I1</f>
        <v>Educational Service District #171</v>
      </c>
      <c r="B1" s="433"/>
      <c r="C1" s="433"/>
      <c r="D1" s="433"/>
      <c r="E1" s="433"/>
    </row>
    <row r="2" spans="1:6">
      <c r="A2" s="433" t="s">
        <v>566</v>
      </c>
      <c r="B2" s="433"/>
      <c r="C2" s="433"/>
      <c r="D2" s="433"/>
      <c r="E2" s="433"/>
    </row>
    <row r="3" spans="1:6">
      <c r="A3" s="433" t="s">
        <v>567</v>
      </c>
      <c r="B3" s="433"/>
      <c r="C3" s="433"/>
      <c r="D3" s="433"/>
      <c r="E3" s="433"/>
    </row>
    <row r="4" spans="1:6">
      <c r="A4" s="433" t="s">
        <v>841</v>
      </c>
      <c r="B4" s="433"/>
      <c r="C4" s="433"/>
      <c r="D4" s="433"/>
      <c r="E4" s="433"/>
    </row>
    <row r="5" spans="1:6">
      <c r="A5" s="222"/>
      <c r="B5" s="222"/>
      <c r="C5" s="222"/>
      <c r="D5" s="222"/>
      <c r="E5" s="222"/>
    </row>
    <row r="6" spans="1:6">
      <c r="B6" s="434" t="s">
        <v>568</v>
      </c>
      <c r="C6" s="434"/>
    </row>
    <row r="7" spans="1:6" ht="25.5">
      <c r="B7" s="223" t="s">
        <v>569</v>
      </c>
      <c r="C7" s="223" t="s">
        <v>570</v>
      </c>
      <c r="D7" s="203" t="s">
        <v>571</v>
      </c>
      <c r="E7" s="203" t="s">
        <v>572</v>
      </c>
    </row>
    <row r="8" spans="1:6">
      <c r="A8" s="204" t="s">
        <v>1</v>
      </c>
      <c r="B8" s="220"/>
      <c r="C8" s="220"/>
      <c r="D8" s="220"/>
      <c r="E8" s="220"/>
    </row>
    <row r="9" spans="1:6">
      <c r="A9" s="206" t="s">
        <v>243</v>
      </c>
      <c r="B9" s="207">
        <v>2067308</v>
      </c>
      <c r="C9" s="207">
        <v>1160797</v>
      </c>
      <c r="D9" s="207">
        <f>'REVENUE EXPENSES'!D7</f>
        <v>717847.0199999999</v>
      </c>
      <c r="E9" s="207">
        <f>+D9-C9</f>
        <v>-442949.9800000001</v>
      </c>
    </row>
    <row r="10" spans="1:6">
      <c r="A10" s="206" t="s">
        <v>285</v>
      </c>
      <c r="B10" s="207">
        <f>2522808-B11</f>
        <v>1981728</v>
      </c>
      <c r="C10" s="207">
        <f>2522808-C11</f>
        <v>1737495</v>
      </c>
      <c r="D10" s="207">
        <f>'REVENUE EXPENSES'!D8</f>
        <v>2204408.5699999998</v>
      </c>
      <c r="E10" s="207">
        <f t="shared" ref="E10:E18" si="0">+D10-C10</f>
        <v>466913.56999999983</v>
      </c>
    </row>
    <row r="11" spans="1:6">
      <c r="A11" s="209" t="s">
        <v>286</v>
      </c>
      <c r="B11" s="207">
        <v>541080</v>
      </c>
      <c r="C11" s="207">
        <v>785313</v>
      </c>
      <c r="D11" s="207">
        <f>'REVENUE EXPENSES'!D9</f>
        <v>793165.19</v>
      </c>
      <c r="E11" s="207">
        <f t="shared" si="0"/>
        <v>7852.1899999999441</v>
      </c>
    </row>
    <row r="12" spans="1:6">
      <c r="A12" s="206" t="s">
        <v>287</v>
      </c>
      <c r="B12" s="207">
        <v>2478003</v>
      </c>
      <c r="C12" s="207">
        <v>2438052</v>
      </c>
      <c r="D12" s="207">
        <f>'REVENUE EXPENSES'!D10</f>
        <v>2161116.0199999996</v>
      </c>
      <c r="E12" s="207">
        <f t="shared" si="0"/>
        <v>-276935.98000000045</v>
      </c>
    </row>
    <row r="13" spans="1:6">
      <c r="A13" s="206" t="s">
        <v>288</v>
      </c>
      <c r="B13" s="207">
        <v>3122248</v>
      </c>
      <c r="C13" s="207">
        <v>3149760</v>
      </c>
      <c r="D13" s="207">
        <f>'REVENUE EXPENSES'!D11</f>
        <v>2416023.5699999998</v>
      </c>
      <c r="E13" s="207">
        <f t="shared" si="0"/>
        <v>-733736.43000000017</v>
      </c>
    </row>
    <row r="14" spans="1:6">
      <c r="A14" s="206" t="s">
        <v>289</v>
      </c>
      <c r="B14" s="207">
        <v>11929251</v>
      </c>
      <c r="C14" s="207">
        <f>11739113-1244392</f>
        <v>10494721</v>
      </c>
      <c r="D14" s="207">
        <f>'REVENUE EXPENSES'!D12</f>
        <v>10292899.290000001</v>
      </c>
      <c r="E14" s="207">
        <f t="shared" si="0"/>
        <v>-201821.70999999903</v>
      </c>
    </row>
    <row r="15" spans="1:6">
      <c r="A15" s="206" t="s">
        <v>260</v>
      </c>
      <c r="B15" s="207"/>
      <c r="C15" s="207"/>
      <c r="D15" s="207"/>
      <c r="E15" s="207">
        <f t="shared" si="0"/>
        <v>0</v>
      </c>
    </row>
    <row r="16" spans="1:6">
      <c r="A16" s="206" t="s">
        <v>65</v>
      </c>
      <c r="B16" s="207"/>
      <c r="C16" s="207"/>
      <c r="D16" s="207"/>
      <c r="E16" s="207">
        <f t="shared" si="0"/>
        <v>0</v>
      </c>
    </row>
    <row r="17" spans="1:5">
      <c r="A17" s="206" t="s">
        <v>66</v>
      </c>
      <c r="B17" s="207">
        <v>0</v>
      </c>
      <c r="C17" s="207">
        <v>833500</v>
      </c>
      <c r="D17" s="207">
        <v>0</v>
      </c>
      <c r="E17" s="207">
        <f t="shared" si="0"/>
        <v>-833500</v>
      </c>
    </row>
    <row r="18" spans="1:5">
      <c r="A18" s="210" t="s">
        <v>290</v>
      </c>
      <c r="B18" s="224">
        <f>SUM(B9:B17)</f>
        <v>22119618</v>
      </c>
      <c r="C18" s="224">
        <f>SUM(C9:C17)</f>
        <v>20599638</v>
      </c>
      <c r="D18" s="224">
        <f>SUM(D9:D17)</f>
        <v>18585459.66</v>
      </c>
      <c r="E18" s="224">
        <f t="shared" si="0"/>
        <v>-2014178.3399999999</v>
      </c>
    </row>
    <row r="19" spans="1:5">
      <c r="A19" s="210"/>
      <c r="B19" s="212"/>
      <c r="C19" s="212"/>
      <c r="D19" s="212"/>
      <c r="E19" s="212"/>
    </row>
    <row r="20" spans="1:5">
      <c r="A20" s="215" t="s">
        <v>2</v>
      </c>
      <c r="B20" s="216"/>
      <c r="C20" s="216"/>
      <c r="D20" s="216"/>
      <c r="E20" s="216"/>
    </row>
    <row r="21" spans="1:5">
      <c r="A21" s="206" t="s">
        <v>300</v>
      </c>
      <c r="B21" s="207">
        <v>2960385</v>
      </c>
      <c r="C21" s="207">
        <v>3093131</v>
      </c>
      <c r="D21" s="207">
        <f>'Expenditure Matrix'!E10-D33-D41-D47</f>
        <v>1715479.7499999998</v>
      </c>
      <c r="E21" s="207">
        <f>+C21-D21</f>
        <v>1377651.2500000002</v>
      </c>
    </row>
    <row r="22" spans="1:5">
      <c r="A22" s="206" t="s">
        <v>558</v>
      </c>
      <c r="B22" s="207">
        <v>13043928</v>
      </c>
      <c r="C22" s="207">
        <v>12684648</v>
      </c>
      <c r="D22" s="207">
        <f>'REVENUE EXPENSES'!D20</f>
        <v>12055300.499999998</v>
      </c>
      <c r="E22" s="207">
        <f t="shared" ref="E22:E36" si="1">+C22-D22</f>
        <v>629347.50000000186</v>
      </c>
    </row>
    <row r="23" spans="1:5">
      <c r="A23" s="206" t="s">
        <v>291</v>
      </c>
      <c r="B23" s="207">
        <v>4669218</v>
      </c>
      <c r="C23" s="207">
        <v>3841389</v>
      </c>
      <c r="D23" s="207">
        <f>'REVENUE EXPENSES'!D21</f>
        <v>3503667.81</v>
      </c>
      <c r="E23" s="207">
        <f t="shared" si="1"/>
        <v>337721.18999999994</v>
      </c>
    </row>
    <row r="24" spans="1:5">
      <c r="A24" s="206" t="s">
        <v>294</v>
      </c>
      <c r="B24" s="207"/>
      <c r="C24" s="207"/>
      <c r="D24" s="207"/>
      <c r="E24" s="207">
        <f t="shared" si="1"/>
        <v>0</v>
      </c>
    </row>
    <row r="25" spans="1:5">
      <c r="A25" s="209" t="s">
        <v>295</v>
      </c>
      <c r="B25" s="207"/>
      <c r="C25" s="207"/>
      <c r="D25" s="207"/>
      <c r="E25" s="207">
        <f t="shared" si="1"/>
        <v>0</v>
      </c>
    </row>
    <row r="26" spans="1:5">
      <c r="A26" s="209" t="s">
        <v>296</v>
      </c>
      <c r="B26" s="207"/>
      <c r="C26" s="207"/>
      <c r="D26" s="207"/>
      <c r="E26" s="207">
        <f t="shared" si="1"/>
        <v>0</v>
      </c>
    </row>
    <row r="27" spans="1:5">
      <c r="A27" s="206" t="s">
        <v>280</v>
      </c>
      <c r="B27" s="207"/>
      <c r="C27" s="207"/>
      <c r="D27" s="207"/>
      <c r="E27" s="207">
        <f t="shared" si="1"/>
        <v>0</v>
      </c>
    </row>
    <row r="28" spans="1:5">
      <c r="A28" s="209" t="s">
        <v>297</v>
      </c>
      <c r="B28" s="207"/>
      <c r="C28" s="207"/>
      <c r="D28" s="207"/>
      <c r="E28" s="207">
        <f t="shared" si="1"/>
        <v>0</v>
      </c>
    </row>
    <row r="29" spans="1:5">
      <c r="A29" s="209" t="s">
        <v>298</v>
      </c>
      <c r="B29" s="207"/>
      <c r="C29" s="207"/>
      <c r="D29" s="207"/>
      <c r="E29" s="207">
        <f t="shared" si="1"/>
        <v>0</v>
      </c>
    </row>
    <row r="30" spans="1:5">
      <c r="A30" s="206" t="s">
        <v>299</v>
      </c>
      <c r="B30" s="207"/>
      <c r="C30" s="207"/>
      <c r="D30" s="207"/>
      <c r="E30" s="207">
        <f t="shared" si="1"/>
        <v>0</v>
      </c>
    </row>
    <row r="31" spans="1:5">
      <c r="A31" s="206" t="s">
        <v>67</v>
      </c>
      <c r="B31" s="207"/>
      <c r="C31" s="207"/>
      <c r="D31" s="207"/>
      <c r="E31" s="207">
        <f t="shared" si="1"/>
        <v>0</v>
      </c>
    </row>
    <row r="32" spans="1:5">
      <c r="A32" s="206" t="s">
        <v>301</v>
      </c>
      <c r="B32" s="207"/>
      <c r="C32" s="207"/>
      <c r="D32" s="207"/>
      <c r="E32" s="207">
        <f t="shared" si="1"/>
        <v>0</v>
      </c>
    </row>
    <row r="33" spans="1:13">
      <c r="A33" s="206" t="s">
        <v>292</v>
      </c>
      <c r="B33" s="207">
        <v>198942</v>
      </c>
      <c r="C33" s="207">
        <v>198942</v>
      </c>
      <c r="D33" s="207">
        <f>'Expenditure Matrix'!L34</f>
        <v>131180</v>
      </c>
      <c r="E33" s="207">
        <f t="shared" si="1"/>
        <v>67762</v>
      </c>
      <c r="G33"/>
      <c r="H33"/>
      <c r="I33"/>
      <c r="J33"/>
      <c r="K33"/>
      <c r="L33"/>
      <c r="M33"/>
    </row>
    <row r="34" spans="1:13">
      <c r="A34" s="206" t="s">
        <v>293</v>
      </c>
      <c r="B34" s="207">
        <v>0</v>
      </c>
      <c r="C34" s="207">
        <v>0</v>
      </c>
      <c r="D34" s="207">
        <v>0</v>
      </c>
      <c r="E34" s="207">
        <f t="shared" si="1"/>
        <v>0</v>
      </c>
      <c r="G34"/>
      <c r="H34"/>
      <c r="I34"/>
      <c r="J34"/>
      <c r="K34"/>
      <c r="L34"/>
      <c r="M34"/>
    </row>
    <row r="35" spans="1:13" ht="12.75" customHeight="1" thickBot="1">
      <c r="A35" s="210" t="s">
        <v>13</v>
      </c>
      <c r="B35" s="224">
        <f>SUM(B21:B34)</f>
        <v>20872473</v>
      </c>
      <c r="C35" s="224">
        <f>SUM(C21:C34)</f>
        <v>19818110</v>
      </c>
      <c r="D35" s="224">
        <f>SUM(D21:D34)</f>
        <v>17405628.059999999</v>
      </c>
      <c r="E35" s="224">
        <f t="shared" si="1"/>
        <v>2412481.9400000013</v>
      </c>
      <c r="H35" s="366"/>
      <c r="I35" s="366"/>
      <c r="J35" s="366"/>
      <c r="K35" s="366"/>
      <c r="L35" s="366"/>
      <c r="M35" s="366"/>
    </row>
    <row r="36" spans="1:13" ht="19.5" customHeight="1" thickBot="1">
      <c r="A36" s="209"/>
      <c r="B36" s="207"/>
      <c r="C36" s="207"/>
      <c r="D36" s="207"/>
      <c r="E36" s="207">
        <f t="shared" si="1"/>
        <v>0</v>
      </c>
      <c r="G36" s="435" t="s">
        <v>800</v>
      </c>
      <c r="H36" s="436"/>
      <c r="I36" s="436"/>
      <c r="J36" s="436"/>
      <c r="K36" s="437"/>
      <c r="L36" s="366"/>
      <c r="M36" s="366"/>
    </row>
    <row r="37" spans="1:13">
      <c r="A37" s="210" t="s">
        <v>11</v>
      </c>
      <c r="B37" s="225">
        <f>+B18-B35</f>
        <v>1247145</v>
      </c>
      <c r="C37" s="225">
        <f>+C18-C35</f>
        <v>781528</v>
      </c>
      <c r="D37" s="225">
        <f>+D18-D35</f>
        <v>1179831.6000000015</v>
      </c>
      <c r="E37" s="225">
        <f>+D37-C37</f>
        <v>398303.60000000149</v>
      </c>
      <c r="G37" s="438" t="s">
        <v>699</v>
      </c>
      <c r="H37" s="439"/>
      <c r="I37" s="439"/>
      <c r="J37" s="439"/>
      <c r="K37" s="440"/>
    </row>
    <row r="38" spans="1:13" ht="13.5" thickBot="1">
      <c r="A38" s="210"/>
      <c r="B38" s="207"/>
      <c r="C38" s="207"/>
      <c r="D38" s="207"/>
      <c r="E38" s="207"/>
      <c r="G38" s="441"/>
      <c r="H38" s="442"/>
      <c r="I38" s="442"/>
      <c r="J38" s="442"/>
      <c r="K38" s="443"/>
    </row>
    <row r="39" spans="1:13" ht="12.75" customHeight="1">
      <c r="A39" s="215" t="s">
        <v>302</v>
      </c>
      <c r="B39" s="216"/>
      <c r="C39" s="216"/>
      <c r="D39" s="216"/>
      <c r="E39" s="216"/>
      <c r="G39" s="444" t="s">
        <v>802</v>
      </c>
      <c r="H39" s="445"/>
      <c r="I39" s="445"/>
      <c r="J39" s="445"/>
      <c r="K39" s="446"/>
    </row>
    <row r="40" spans="1:13">
      <c r="A40" s="206" t="s">
        <v>303</v>
      </c>
      <c r="B40" s="323">
        <v>14710</v>
      </c>
      <c r="C40" s="323">
        <v>14710</v>
      </c>
      <c r="D40" s="323">
        <f>REVENUE!E11</f>
        <v>62976.12</v>
      </c>
      <c r="E40" s="322">
        <f>+D40-C40</f>
        <v>48266.12</v>
      </c>
      <c r="G40" s="447"/>
      <c r="H40" s="448"/>
      <c r="I40" s="448"/>
      <c r="J40" s="448"/>
      <c r="K40" s="449"/>
    </row>
    <row r="41" spans="1:13" ht="13.5" thickBot="1">
      <c r="A41" s="206" t="s">
        <v>304</v>
      </c>
      <c r="B41" s="323">
        <v>108012</v>
      </c>
      <c r="C41" s="323">
        <v>108012</v>
      </c>
      <c r="D41" s="323">
        <f>-'REVENUE EXPENSES'!D41</f>
        <v>138856.97</v>
      </c>
      <c r="E41" s="322">
        <f>+C41-D41</f>
        <v>-30844.97</v>
      </c>
      <c r="G41" s="450"/>
      <c r="H41" s="451"/>
      <c r="I41" s="451"/>
      <c r="J41" s="451"/>
      <c r="K41" s="452"/>
    </row>
    <row r="42" spans="1:13">
      <c r="A42" s="206" t="s">
        <v>305</v>
      </c>
      <c r="B42" s="323">
        <v>17300</v>
      </c>
      <c r="C42" s="323">
        <v>17300</v>
      </c>
      <c r="D42" s="323">
        <f>'REVENUE EXPENSES'!D42</f>
        <v>28891.06</v>
      </c>
      <c r="E42" s="322">
        <f>+D42-C42</f>
        <v>11591.060000000001</v>
      </c>
      <c r="G42" s="427" t="s">
        <v>803</v>
      </c>
      <c r="H42" s="428"/>
      <c r="I42" s="428"/>
      <c r="J42" s="428"/>
      <c r="K42" s="429"/>
    </row>
    <row r="43" spans="1:13" ht="13.5" thickBot="1">
      <c r="A43" s="206" t="s">
        <v>306</v>
      </c>
      <c r="B43" s="323">
        <v>0</v>
      </c>
      <c r="C43" s="323">
        <v>0</v>
      </c>
      <c r="D43" s="323">
        <v>0</v>
      </c>
      <c r="E43" s="322">
        <f>+D43-C43</f>
        <v>0</v>
      </c>
      <c r="G43" s="430"/>
      <c r="H43" s="431"/>
      <c r="I43" s="431"/>
      <c r="J43" s="431"/>
      <c r="K43" s="432"/>
    </row>
    <row r="44" spans="1:13">
      <c r="A44" s="206" t="s">
        <v>353</v>
      </c>
      <c r="B44" s="323">
        <v>0</v>
      </c>
      <c r="C44" s="323">
        <v>0</v>
      </c>
      <c r="D44" s="323">
        <v>8776</v>
      </c>
      <c r="E44" s="322">
        <f>+D44-C44</f>
        <v>8776</v>
      </c>
      <c r="G44" s="427" t="s">
        <v>804</v>
      </c>
      <c r="H44" s="428"/>
      <c r="I44" s="428"/>
      <c r="J44" s="428"/>
      <c r="K44" s="429"/>
    </row>
    <row r="45" spans="1:13" ht="12.75" customHeight="1" thickBot="1">
      <c r="A45" s="208" t="s">
        <v>594</v>
      </c>
      <c r="B45" s="323">
        <v>0</v>
      </c>
      <c r="C45" s="323">
        <v>0</v>
      </c>
      <c r="D45" s="323">
        <v>0</v>
      </c>
      <c r="E45" s="322">
        <f t="shared" ref="E45" si="2">+D45-C45</f>
        <v>0</v>
      </c>
      <c r="G45" s="430"/>
      <c r="H45" s="431"/>
      <c r="I45" s="431"/>
      <c r="J45" s="431"/>
      <c r="K45" s="432"/>
    </row>
    <row r="46" spans="1:13">
      <c r="A46" s="206" t="s">
        <v>307</v>
      </c>
      <c r="B46" s="323">
        <v>0</v>
      </c>
      <c r="C46" s="323">
        <v>0</v>
      </c>
      <c r="D46" s="323">
        <v>0</v>
      </c>
      <c r="E46" s="322">
        <f>+D46-C46</f>
        <v>0</v>
      </c>
      <c r="G46" s="418" t="s">
        <v>805</v>
      </c>
      <c r="H46" s="419"/>
      <c r="I46" s="419"/>
      <c r="J46" s="419"/>
      <c r="K46" s="420"/>
    </row>
    <row r="47" spans="1:13">
      <c r="A47" s="206" t="s">
        <v>308</v>
      </c>
      <c r="B47" s="323">
        <v>0</v>
      </c>
      <c r="C47" s="323">
        <v>0</v>
      </c>
      <c r="D47" s="323">
        <f>-'REVENUE EXPENSES'!D47</f>
        <v>-110057.61</v>
      </c>
      <c r="E47" s="322">
        <f>+C47-D47</f>
        <v>110057.61</v>
      </c>
      <c r="G47" s="421"/>
      <c r="H47" s="422"/>
      <c r="I47" s="422"/>
      <c r="J47" s="422"/>
      <c r="K47" s="423"/>
    </row>
    <row r="48" spans="1:13" ht="13.5" thickBot="1">
      <c r="A48" s="210" t="s">
        <v>309</v>
      </c>
      <c r="B48" s="321">
        <f>+B40-B41+B42+B43+B44+B45+B46-B47</f>
        <v>-76002</v>
      </c>
      <c r="C48" s="321">
        <f>+C40-C41+C42+C43+C44+C45+C46-C47</f>
        <v>-76002</v>
      </c>
      <c r="D48" s="321">
        <f>+D40-D41+D42+D43+D44+D45+D46-D47</f>
        <v>71843.819999999992</v>
      </c>
      <c r="E48" s="321">
        <f>SUM(E40:E47)</f>
        <v>147845.82</v>
      </c>
      <c r="G48" s="424"/>
      <c r="H48" s="425"/>
      <c r="I48" s="425"/>
      <c r="J48" s="425"/>
      <c r="K48" s="426"/>
    </row>
    <row r="49" spans="1:11" ht="12.75" customHeight="1">
      <c r="A49" s="210"/>
      <c r="B49" s="213"/>
      <c r="C49" s="213"/>
      <c r="D49" s="213"/>
      <c r="E49" s="213"/>
      <c r="G49" s="412" t="s">
        <v>801</v>
      </c>
      <c r="H49" s="413"/>
      <c r="I49" s="413"/>
      <c r="J49" s="413"/>
      <c r="K49" s="414"/>
    </row>
    <row r="50" spans="1:11">
      <c r="A50" s="210" t="s">
        <v>310</v>
      </c>
      <c r="B50" s="214">
        <f>+B37+B48</f>
        <v>1171143</v>
      </c>
      <c r="C50" s="214">
        <f>+C37+C48</f>
        <v>705526</v>
      </c>
      <c r="D50" s="214">
        <f>+D37+D48</f>
        <v>1251675.4200000016</v>
      </c>
      <c r="E50" s="214">
        <f>+D50-C50</f>
        <v>546149.42000000156</v>
      </c>
      <c r="G50" s="412"/>
      <c r="H50" s="413"/>
      <c r="I50" s="413"/>
      <c r="J50" s="413"/>
      <c r="K50" s="414"/>
    </row>
    <row r="51" spans="1:11" ht="12.75" customHeight="1">
      <c r="A51" s="210"/>
      <c r="B51" s="207"/>
      <c r="C51" s="207"/>
      <c r="D51" s="207"/>
      <c r="E51" s="207"/>
      <c r="G51" s="412"/>
      <c r="H51" s="413"/>
      <c r="I51" s="413"/>
      <c r="J51" s="413"/>
      <c r="K51" s="414"/>
    </row>
    <row r="52" spans="1:11">
      <c r="A52" s="206" t="s">
        <v>311</v>
      </c>
      <c r="B52" s="207"/>
      <c r="C52" s="207"/>
      <c r="D52" s="207"/>
      <c r="E52" s="207"/>
      <c r="G52" s="412"/>
      <c r="H52" s="413"/>
      <c r="I52" s="413"/>
      <c r="J52" s="413"/>
      <c r="K52" s="414"/>
    </row>
    <row r="53" spans="1:11">
      <c r="A53" s="206" t="s">
        <v>312</v>
      </c>
      <c r="B53" s="207"/>
      <c r="C53" s="207"/>
      <c r="D53" s="207"/>
      <c r="E53" s="207"/>
      <c r="G53" s="412"/>
      <c r="H53" s="413"/>
      <c r="I53" s="413"/>
      <c r="J53" s="413"/>
      <c r="K53" s="414"/>
    </row>
    <row r="54" spans="1:11" ht="13.5" thickBot="1">
      <c r="A54" s="210" t="s">
        <v>386</v>
      </c>
      <c r="B54" s="214">
        <f>SUM(B50:B53)</f>
        <v>1171143</v>
      </c>
      <c r="C54" s="214">
        <f>SUM(C50:C53)</f>
        <v>705526</v>
      </c>
      <c r="D54" s="214">
        <f>SUM(D50:D53)</f>
        <v>1251675.4200000016</v>
      </c>
      <c r="E54" s="214">
        <f>+D54-C54</f>
        <v>546149.42000000156</v>
      </c>
      <c r="G54" s="415"/>
      <c r="H54" s="416"/>
      <c r="I54" s="416"/>
      <c r="J54" s="416"/>
      <c r="K54" s="417"/>
    </row>
    <row r="55" spans="1:11">
      <c r="A55" s="210"/>
      <c r="B55" s="213"/>
      <c r="C55" s="213"/>
      <c r="D55" s="213"/>
      <c r="E55" s="213"/>
      <c r="G55"/>
      <c r="H55"/>
      <c r="I55"/>
      <c r="J55"/>
      <c r="K55"/>
    </row>
    <row r="56" spans="1:11" ht="19.5" customHeight="1">
      <c r="A56" s="210" t="s">
        <v>384</v>
      </c>
      <c r="B56" s="213">
        <v>0</v>
      </c>
      <c r="C56" s="213">
        <v>0</v>
      </c>
      <c r="D56" s="213">
        <v>-4407514.13</v>
      </c>
      <c r="E56" s="213">
        <f>+D56-C56</f>
        <v>-4407514.13</v>
      </c>
      <c r="G56"/>
      <c r="H56"/>
      <c r="I56"/>
      <c r="J56"/>
      <c r="K56"/>
    </row>
    <row r="57" spans="1:11" ht="19.5" customHeight="1">
      <c r="A57" s="308" t="s">
        <v>679</v>
      </c>
      <c r="D57" s="309">
        <v>0</v>
      </c>
      <c r="E57" s="310"/>
      <c r="G57"/>
      <c r="H57"/>
      <c r="I57"/>
      <c r="J57"/>
      <c r="K57"/>
    </row>
    <row r="58" spans="1:11">
      <c r="A58" s="212" t="s">
        <v>596</v>
      </c>
      <c r="B58" s="222" t="s">
        <v>656</v>
      </c>
      <c r="C58" s="222" t="s">
        <v>656</v>
      </c>
      <c r="D58" s="213">
        <v>0</v>
      </c>
      <c r="E58" s="213"/>
    </row>
    <row r="60" spans="1:11" ht="21" customHeight="1" thickBot="1">
      <c r="A60" s="210" t="s">
        <v>385</v>
      </c>
      <c r="B60" s="382">
        <f>B54+B56</f>
        <v>1171143</v>
      </c>
      <c r="C60" s="382">
        <f>C54+C56</f>
        <v>705526</v>
      </c>
      <c r="D60" s="382">
        <f>D54+D56+D58+D57</f>
        <v>-3155838.7099999981</v>
      </c>
      <c r="E60" s="382">
        <f>+D60-C60</f>
        <v>-3861364.7099999981</v>
      </c>
    </row>
    <row r="61" spans="1:11" ht="13.5" thickTop="1">
      <c r="A61" s="210"/>
      <c r="B61" s="205"/>
      <c r="C61" s="205"/>
      <c r="D61" s="205"/>
      <c r="E61" s="205"/>
      <c r="G61" s="324"/>
      <c r="H61" s="324"/>
      <c r="I61" s="324"/>
      <c r="J61" s="324"/>
      <c r="K61" s="324"/>
    </row>
    <row r="62" spans="1:11">
      <c r="A62" s="219" t="s">
        <v>389</v>
      </c>
      <c r="B62" s="205">
        <f>'NET POSITION'!D106-D60</f>
        <v>0</v>
      </c>
      <c r="C62" s="205"/>
      <c r="D62" s="205"/>
      <c r="E62" s="205"/>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90" orientation="landscape"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Normal="100" zoomScaleSheetLayoutView="100" workbookViewId="0">
      <selection activeCell="D5" sqref="D5"/>
    </sheetView>
  </sheetViews>
  <sheetFormatPr defaultColWidth="8.85546875" defaultRowHeight="12.75"/>
  <cols>
    <col min="1" max="1" width="53.42578125" style="201" customWidth="1"/>
    <col min="2" max="4" width="18.7109375" style="201" customWidth="1"/>
    <col min="5" max="5" width="8.85546875" style="201"/>
    <col min="6" max="6" width="16.140625" style="201" customWidth="1"/>
    <col min="7" max="16384" width="8.85546875" style="201"/>
  </cols>
  <sheetData>
    <row r="1" spans="1:17">
      <c r="A1" s="453" t="str">
        <f>+'NET POSITION'!A1:I1</f>
        <v>Educational Service District #171</v>
      </c>
      <c r="B1" s="453"/>
      <c r="C1" s="453"/>
      <c r="D1" s="453"/>
      <c r="H1"/>
      <c r="I1"/>
      <c r="J1"/>
      <c r="K1"/>
      <c r="L1"/>
      <c r="M1"/>
      <c r="N1"/>
      <c r="O1"/>
      <c r="P1"/>
      <c r="Q1" s="201" t="s">
        <v>191</v>
      </c>
    </row>
    <row r="2" spans="1:17">
      <c r="A2" s="454" t="s">
        <v>677</v>
      </c>
      <c r="B2" s="454"/>
      <c r="C2" s="454"/>
      <c r="D2" s="454"/>
      <c r="H2"/>
      <c r="I2"/>
      <c r="J2"/>
      <c r="K2"/>
      <c r="L2"/>
      <c r="M2"/>
      <c r="N2"/>
      <c r="O2"/>
      <c r="P2"/>
      <c r="Q2" s="201" t="s">
        <v>191</v>
      </c>
    </row>
    <row r="3" spans="1:17">
      <c r="A3" s="454" t="s">
        <v>359</v>
      </c>
      <c r="B3" s="454"/>
      <c r="C3" s="454"/>
      <c r="D3" s="454"/>
      <c r="H3"/>
      <c r="I3"/>
      <c r="J3"/>
      <c r="K3"/>
      <c r="L3"/>
      <c r="M3"/>
      <c r="N3"/>
      <c r="O3"/>
      <c r="P3"/>
      <c r="Q3" s="201" t="s">
        <v>191</v>
      </c>
    </row>
    <row r="4" spans="1:17">
      <c r="A4" s="202"/>
      <c r="B4" s="231"/>
      <c r="C4" s="434"/>
      <c r="D4" s="434"/>
      <c r="H4"/>
      <c r="I4"/>
      <c r="J4"/>
      <c r="K4"/>
      <c r="L4"/>
      <c r="M4"/>
      <c r="N4"/>
      <c r="O4"/>
      <c r="P4"/>
      <c r="Q4" s="201" t="s">
        <v>191</v>
      </c>
    </row>
    <row r="5" spans="1:17" ht="25.5">
      <c r="A5" s="202"/>
      <c r="B5" s="293" t="s">
        <v>348</v>
      </c>
      <c r="C5" s="292" t="s">
        <v>686</v>
      </c>
      <c r="D5" s="294" t="s">
        <v>687</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350</v>
      </c>
      <c r="B10" s="207"/>
      <c r="C10" s="207"/>
      <c r="D10" s="207"/>
      <c r="H10"/>
      <c r="I10"/>
      <c r="J10"/>
      <c r="K10"/>
      <c r="L10"/>
      <c r="M10"/>
      <c r="N10"/>
      <c r="O10"/>
      <c r="P10"/>
      <c r="Q10" s="201" t="s">
        <v>191</v>
      </c>
    </row>
    <row r="11" spans="1:17" ht="13.5" thickBot="1">
      <c r="A11" s="210" t="s">
        <v>349</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355</v>
      </c>
      <c r="B15" s="207"/>
      <c r="C15" s="207"/>
      <c r="D15" s="207"/>
      <c r="H15"/>
      <c r="I15"/>
      <c r="J15"/>
      <c r="K15"/>
      <c r="L15"/>
      <c r="M15"/>
      <c r="N15"/>
      <c r="O15"/>
      <c r="P15"/>
      <c r="Q15" s="201" t="s">
        <v>191</v>
      </c>
    </row>
    <row r="16" spans="1:17">
      <c r="A16" s="208" t="s">
        <v>649</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374</v>
      </c>
      <c r="B19" s="216"/>
      <c r="C19" s="216"/>
      <c r="D19" s="216"/>
      <c r="H19"/>
      <c r="I19"/>
      <c r="J19"/>
      <c r="K19"/>
      <c r="L19"/>
      <c r="M19"/>
      <c r="N19"/>
      <c r="O19"/>
      <c r="P19"/>
      <c r="Q19" s="201" t="s">
        <v>191</v>
      </c>
    </row>
    <row r="20" spans="1:17">
      <c r="A20" s="206" t="s">
        <v>354</v>
      </c>
      <c r="B20" s="207">
        <f>B11-B17</f>
        <v>0</v>
      </c>
      <c r="C20" s="207">
        <f>C11-C17</f>
        <v>0</v>
      </c>
      <c r="D20" s="207">
        <f>D11-D17</f>
        <v>0</v>
      </c>
      <c r="H20"/>
      <c r="I20"/>
      <c r="J20"/>
      <c r="K20"/>
      <c r="L20"/>
      <c r="M20"/>
      <c r="N20"/>
      <c r="O20"/>
      <c r="P20"/>
      <c r="Q20" s="201" t="s">
        <v>191</v>
      </c>
    </row>
    <row r="21" spans="1:17" ht="13.5" thickBot="1">
      <c r="A21" s="210" t="s">
        <v>377</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Ralph Fortunato</cp:lastModifiedBy>
  <cp:lastPrinted>2020-01-09T00:47:27Z</cp:lastPrinted>
  <dcterms:created xsi:type="dcterms:W3CDTF">2002-09-30T15:27:05Z</dcterms:created>
  <dcterms:modified xsi:type="dcterms:W3CDTF">2020-01-09T16:53:37Z</dcterms:modified>
</cp:coreProperties>
</file>