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Apportionment_NEW\Levy and LEA\2023\"/>
    </mc:Choice>
  </mc:AlternateContent>
  <xr:revisionPtr revIDLastSave="0" documentId="13_ncr:1_{C6B47750-43B9-4774-A9A4-0C57B0AF6B7A}" xr6:coauthVersionLast="47" xr6:coauthVersionMax="47" xr10:uidLastSave="{00000000-0000-0000-0000-000000000000}"/>
  <bookViews>
    <workbookView xWindow="-28980" yWindow="900" windowWidth="27495" windowHeight="16575" firstSheet="1" activeTab="1" xr2:uid="{F4887C85-D5FF-426C-87FC-3B966F686182}"/>
  </bookViews>
  <sheets>
    <sheet name="Instructions for Pre-Ballot" sheetId="9" state="hidden" r:id="rId1"/>
    <sheet name="LevyCalc" sheetId="3" r:id="rId2"/>
    <sheet name="LevyCalc no Stab" sheetId="10" state="hidden" r:id="rId3"/>
    <sheet name="Pre-Ballot Approval" sheetId="6" state="hidden" r:id="rId4"/>
    <sheet name="Data" sheetId="1" state="hidden" r:id="rId5"/>
    <sheet name="District AAFTE" sheetId="5" state="hidden" r:id="rId6"/>
    <sheet name="VAL" sheetId="4" state="hidden" r:id="rId7"/>
    <sheet name="Sheet1" sheetId="7" state="hidden" r:id="rId8"/>
  </sheets>
  <definedNames>
    <definedName name="_xlnm._FilterDatabase" localSheetId="4" hidden="1">Data!$A$2:$W$2</definedName>
    <definedName name="_xlnm._FilterDatabase" localSheetId="5" hidden="1">'District AAFTE'!$A$8:$W$317</definedName>
    <definedName name="_xlnm._FilterDatabase" localSheetId="6" hidden="1">VAL!$A$1:$J$298</definedName>
    <definedName name="_Order1" hidden="1">255</definedName>
    <definedName name="_Order2" hidden="1">255</definedName>
    <definedName name="CY">LevyCalc!$C$20:$G$20</definedName>
    <definedName name="Data">Data!$A$2:$Z$305</definedName>
    <definedName name="enrollment">'District AAFTE'!$A:$AD</definedName>
    <definedName name="_xlnm.Print_Area" localSheetId="1">LevyCalc!$A$1:$G$84</definedName>
    <definedName name="_xlnm.Print_Area" localSheetId="2">'LevyCalc no Stab'!$A$1:$G$59</definedName>
    <definedName name="_xlnm.Print_Area" localSheetId="3">'Pre-Ballot Approval'!$A$1:$H$76</definedName>
    <definedName name="_xlnm.Print_Titles" localSheetId="1">LevyCalc!$1:$3</definedName>
    <definedName name="_xlnm.Print_Titles" localSheetId="2">'LevyCalc no Stab'!$1:$3</definedName>
    <definedName name="SY202021Growth">'District AAFTE'!$H$4</definedName>
    <definedName name="SY202122Growth">'District AAFTE'!$I$4</definedName>
    <definedName name="SY202223growth">'District AAFTE'!$J$4</definedName>
    <definedName name="SY202324growth">'District AAFTE'!$K$4</definedName>
    <definedName name="SY202425Growth">'District AAFTE'!$L$4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3" l="1"/>
  <c r="V1" i="1"/>
  <c r="W1" i="1"/>
  <c r="X1" i="1"/>
  <c r="Y1" i="1"/>
  <c r="Z1" i="1"/>
  <c r="U1" i="1"/>
  <c r="T3" i="1" l="1"/>
  <c r="U3" i="1" l="1"/>
  <c r="C23" i="3"/>
  <c r="B35" i="10" l="1"/>
  <c r="A35" i="10"/>
  <c r="AC7"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304" i="5"/>
  <c r="AC305" i="5"/>
  <c r="AC306" i="5"/>
  <c r="AC307" i="5"/>
  <c r="AC308" i="5"/>
  <c r="AC309" i="5"/>
  <c r="AC310" i="5"/>
  <c r="AC9" i="5"/>
  <c r="AD7" i="5"/>
  <c r="H78" i="5" l="1"/>
  <c r="B42" i="10"/>
  <c r="B47" i="10"/>
  <c r="A47" i="10"/>
  <c r="B46" i="10"/>
  <c r="A46" i="10"/>
  <c r="B45" i="10"/>
  <c r="A45" i="10"/>
  <c r="B44" i="10"/>
  <c r="A44" i="10"/>
  <c r="B43" i="10"/>
  <c r="A43" i="10"/>
  <c r="A42" i="10"/>
  <c r="B38" i="10"/>
  <c r="B37" i="10"/>
  <c r="A37" i="10"/>
  <c r="B36" i="10"/>
  <c r="B34" i="10"/>
  <c r="A34" i="10"/>
  <c r="B33" i="10"/>
  <c r="B32" i="10"/>
  <c r="A32" i="10"/>
  <c r="B31" i="10"/>
  <c r="A31" i="10"/>
  <c r="B30" i="10"/>
  <c r="A29" i="10"/>
  <c r="B28" i="10"/>
  <c r="B27" i="10"/>
  <c r="A27" i="10"/>
  <c r="B26" i="10"/>
  <c r="B25" i="10"/>
  <c r="A25" i="10"/>
  <c r="B24" i="10"/>
  <c r="A24" i="10"/>
  <c r="B23" i="10"/>
  <c r="A23" i="10"/>
  <c r="B22" i="10"/>
  <c r="A22" i="10"/>
  <c r="B21" i="10"/>
  <c r="A21" i="10"/>
  <c r="C28" i="10"/>
  <c r="C20" i="10"/>
  <c r="C3" i="10"/>
  <c r="E27" i="3"/>
  <c r="F27" i="3"/>
  <c r="G27" i="3"/>
  <c r="D27" i="3"/>
  <c r="D23" i="3" s="1"/>
  <c r="C1" i="6" l="1"/>
  <c r="D33" i="6"/>
  <c r="C33" i="6" l="1"/>
  <c r="D39" i="6" l="1"/>
  <c r="Z9" i="5"/>
  <c r="AA310" i="5"/>
  <c r="Z310" i="5"/>
  <c r="AA309" i="5"/>
  <c r="Z309" i="5"/>
  <c r="AA308" i="5"/>
  <c r="Z308" i="5"/>
  <c r="AA307" i="5"/>
  <c r="Z307" i="5"/>
  <c r="AA306" i="5"/>
  <c r="Z306" i="5"/>
  <c r="AA305" i="5"/>
  <c r="Z305" i="5"/>
  <c r="AA304" i="5"/>
  <c r="Z304" i="5"/>
  <c r="AA303" i="5"/>
  <c r="Z303" i="5"/>
  <c r="AA302" i="5"/>
  <c r="Z302" i="5"/>
  <c r="AA301" i="5"/>
  <c r="Z301" i="5"/>
  <c r="AA300" i="5"/>
  <c r="Z300" i="5"/>
  <c r="AA299" i="5"/>
  <c r="Z299" i="5"/>
  <c r="AA298" i="5"/>
  <c r="Z298" i="5"/>
  <c r="AA297" i="5"/>
  <c r="Z297" i="5"/>
  <c r="AA296" i="5"/>
  <c r="Z296" i="5"/>
  <c r="AA295" i="5"/>
  <c r="Z295" i="5"/>
  <c r="AA294" i="5"/>
  <c r="Z294" i="5"/>
  <c r="AA293" i="5"/>
  <c r="Z293" i="5"/>
  <c r="AA292" i="5"/>
  <c r="Z292" i="5"/>
  <c r="AA291" i="5"/>
  <c r="Z291" i="5"/>
  <c r="AA290" i="5"/>
  <c r="Z290" i="5"/>
  <c r="AA289" i="5"/>
  <c r="Z289" i="5"/>
  <c r="AA288" i="5"/>
  <c r="Z288" i="5"/>
  <c r="AA287" i="5"/>
  <c r="Z287" i="5"/>
  <c r="AA286" i="5"/>
  <c r="Z286" i="5"/>
  <c r="AA285" i="5"/>
  <c r="Z285" i="5"/>
  <c r="AA284" i="5"/>
  <c r="Z284" i="5"/>
  <c r="AA283" i="5"/>
  <c r="Z283" i="5"/>
  <c r="AA282" i="5"/>
  <c r="Z282" i="5"/>
  <c r="AA281" i="5"/>
  <c r="Z281" i="5"/>
  <c r="AA280" i="5"/>
  <c r="Z280" i="5"/>
  <c r="AA279" i="5"/>
  <c r="Z279" i="5"/>
  <c r="AA278" i="5"/>
  <c r="Z278" i="5"/>
  <c r="AA277" i="5"/>
  <c r="Z277" i="5"/>
  <c r="AA276" i="5"/>
  <c r="Z276" i="5"/>
  <c r="AA275" i="5"/>
  <c r="Z275" i="5"/>
  <c r="AA274" i="5"/>
  <c r="Z274" i="5"/>
  <c r="AA273" i="5"/>
  <c r="Z273" i="5"/>
  <c r="AA272" i="5"/>
  <c r="Z272" i="5"/>
  <c r="AA271" i="5"/>
  <c r="Z271" i="5"/>
  <c r="AA270" i="5"/>
  <c r="Z270" i="5"/>
  <c r="AA269" i="5"/>
  <c r="Z269" i="5"/>
  <c r="AA268" i="5"/>
  <c r="Z268" i="5"/>
  <c r="AA267" i="5"/>
  <c r="Z267" i="5"/>
  <c r="AA266" i="5"/>
  <c r="Z266" i="5"/>
  <c r="AA265" i="5"/>
  <c r="Z265" i="5"/>
  <c r="AA264" i="5"/>
  <c r="Z264" i="5"/>
  <c r="AA263" i="5"/>
  <c r="Z263" i="5"/>
  <c r="AA262" i="5"/>
  <c r="Z262" i="5"/>
  <c r="AA261" i="5"/>
  <c r="Z261" i="5"/>
  <c r="AA260" i="5"/>
  <c r="Z260" i="5"/>
  <c r="AA259" i="5"/>
  <c r="Z259" i="5"/>
  <c r="AA258" i="5"/>
  <c r="Z258" i="5"/>
  <c r="AA257" i="5"/>
  <c r="Z257" i="5"/>
  <c r="AA256" i="5"/>
  <c r="Z256" i="5"/>
  <c r="AA255" i="5"/>
  <c r="Z255" i="5"/>
  <c r="AA254" i="5"/>
  <c r="Z254" i="5"/>
  <c r="AA253" i="5"/>
  <c r="Z253" i="5"/>
  <c r="AA252" i="5"/>
  <c r="Z252" i="5"/>
  <c r="AA251" i="5"/>
  <c r="Z251" i="5"/>
  <c r="AA250" i="5"/>
  <c r="Z250" i="5"/>
  <c r="AA249" i="5"/>
  <c r="Z249" i="5"/>
  <c r="AA248" i="5"/>
  <c r="Z248" i="5"/>
  <c r="AA247" i="5"/>
  <c r="Z247" i="5"/>
  <c r="AA246" i="5"/>
  <c r="Z246" i="5"/>
  <c r="AA245" i="5"/>
  <c r="Z245" i="5"/>
  <c r="AA244" i="5"/>
  <c r="Z244" i="5"/>
  <c r="AA243" i="5"/>
  <c r="Z243" i="5"/>
  <c r="AA242" i="5"/>
  <c r="Z242" i="5"/>
  <c r="AA241" i="5"/>
  <c r="Z241" i="5"/>
  <c r="AA240" i="5"/>
  <c r="Z240" i="5"/>
  <c r="AA239" i="5"/>
  <c r="Z239" i="5"/>
  <c r="AA238" i="5"/>
  <c r="Z238" i="5"/>
  <c r="AA237" i="5"/>
  <c r="Z237" i="5"/>
  <c r="AA236" i="5"/>
  <c r="Z236" i="5"/>
  <c r="AA235" i="5"/>
  <c r="Z235" i="5"/>
  <c r="AA234" i="5"/>
  <c r="Z234" i="5"/>
  <c r="AA233" i="5"/>
  <c r="Z233" i="5"/>
  <c r="AA232" i="5"/>
  <c r="Z232" i="5"/>
  <c r="AA231" i="5"/>
  <c r="Z231" i="5"/>
  <c r="AA230" i="5"/>
  <c r="Z230" i="5"/>
  <c r="AA229" i="5"/>
  <c r="Z229" i="5"/>
  <c r="AA228" i="5"/>
  <c r="Z228" i="5"/>
  <c r="AA227" i="5"/>
  <c r="Z227" i="5"/>
  <c r="AA226" i="5"/>
  <c r="Z226" i="5"/>
  <c r="AA225" i="5"/>
  <c r="Z225" i="5"/>
  <c r="AA224" i="5"/>
  <c r="Z224" i="5"/>
  <c r="AA223" i="5"/>
  <c r="Z223" i="5"/>
  <c r="AA222" i="5"/>
  <c r="Z222" i="5"/>
  <c r="AA221" i="5"/>
  <c r="Z221" i="5"/>
  <c r="AA220" i="5"/>
  <c r="Z220" i="5"/>
  <c r="AA219" i="5"/>
  <c r="Z219" i="5"/>
  <c r="AA218" i="5"/>
  <c r="Z218" i="5"/>
  <c r="AA217" i="5"/>
  <c r="Z217" i="5"/>
  <c r="AA216" i="5"/>
  <c r="Z216" i="5"/>
  <c r="AA215" i="5"/>
  <c r="Z215" i="5"/>
  <c r="AA214" i="5"/>
  <c r="Z214" i="5"/>
  <c r="AA213" i="5"/>
  <c r="Z213" i="5"/>
  <c r="AA212" i="5"/>
  <c r="Z212" i="5"/>
  <c r="AA211" i="5"/>
  <c r="Z211" i="5"/>
  <c r="AA210" i="5"/>
  <c r="Z210" i="5"/>
  <c r="AA209" i="5"/>
  <c r="Z209" i="5"/>
  <c r="AA208" i="5"/>
  <c r="Z208" i="5"/>
  <c r="AA207" i="5"/>
  <c r="Z207" i="5"/>
  <c r="AA206" i="5"/>
  <c r="Z206" i="5"/>
  <c r="AA205" i="5"/>
  <c r="Z205" i="5"/>
  <c r="AA204" i="5"/>
  <c r="Z204" i="5"/>
  <c r="AA203" i="5"/>
  <c r="Z203" i="5"/>
  <c r="AA202" i="5"/>
  <c r="Z202" i="5"/>
  <c r="AA201" i="5"/>
  <c r="Z201" i="5"/>
  <c r="AA200" i="5"/>
  <c r="Z200" i="5"/>
  <c r="AA199" i="5"/>
  <c r="Z199" i="5"/>
  <c r="AA198" i="5"/>
  <c r="Z198" i="5"/>
  <c r="AA197" i="5"/>
  <c r="Z197" i="5"/>
  <c r="AA196" i="5"/>
  <c r="Z196" i="5"/>
  <c r="AA195" i="5"/>
  <c r="Z195" i="5"/>
  <c r="AA194" i="5"/>
  <c r="Z194" i="5"/>
  <c r="AA193" i="5"/>
  <c r="Z193" i="5"/>
  <c r="AA192" i="5"/>
  <c r="Z192" i="5"/>
  <c r="AA191" i="5"/>
  <c r="Z191" i="5"/>
  <c r="AA190" i="5"/>
  <c r="Z190" i="5"/>
  <c r="AA189" i="5"/>
  <c r="Z189" i="5"/>
  <c r="AA188" i="5"/>
  <c r="Z188" i="5"/>
  <c r="AA187" i="5"/>
  <c r="Z187" i="5"/>
  <c r="AA186" i="5"/>
  <c r="Z186" i="5"/>
  <c r="AA185" i="5"/>
  <c r="Z185" i="5"/>
  <c r="AA184" i="5"/>
  <c r="Z184" i="5"/>
  <c r="AA183" i="5"/>
  <c r="Z183" i="5"/>
  <c r="AA182" i="5"/>
  <c r="Z182" i="5"/>
  <c r="AA181" i="5"/>
  <c r="Z181" i="5"/>
  <c r="AA180" i="5"/>
  <c r="Z180" i="5"/>
  <c r="AA179" i="5"/>
  <c r="Z179" i="5"/>
  <c r="AA178" i="5"/>
  <c r="Z178" i="5"/>
  <c r="AA177" i="5"/>
  <c r="Z177" i="5"/>
  <c r="AA176" i="5"/>
  <c r="Z176" i="5"/>
  <c r="AA175" i="5"/>
  <c r="Z175" i="5"/>
  <c r="AA174" i="5"/>
  <c r="Z174" i="5"/>
  <c r="AA173" i="5"/>
  <c r="Z173" i="5"/>
  <c r="AA172" i="5"/>
  <c r="Z172" i="5"/>
  <c r="AA171" i="5"/>
  <c r="Z171" i="5"/>
  <c r="AA170" i="5"/>
  <c r="Z170" i="5"/>
  <c r="AA169" i="5"/>
  <c r="Z169" i="5"/>
  <c r="AA168" i="5"/>
  <c r="Z168" i="5"/>
  <c r="AA167" i="5"/>
  <c r="Z167" i="5"/>
  <c r="AA166" i="5"/>
  <c r="Z166" i="5"/>
  <c r="AA165" i="5"/>
  <c r="Z165" i="5"/>
  <c r="AA164" i="5"/>
  <c r="Z164" i="5"/>
  <c r="AA163" i="5"/>
  <c r="Z163" i="5"/>
  <c r="AA162" i="5"/>
  <c r="Z162" i="5"/>
  <c r="AA161" i="5"/>
  <c r="Z161" i="5"/>
  <c r="AA160" i="5"/>
  <c r="Z160" i="5"/>
  <c r="AA159" i="5"/>
  <c r="Z159" i="5"/>
  <c r="AA158" i="5"/>
  <c r="Z158" i="5"/>
  <c r="AA157" i="5"/>
  <c r="Z157" i="5"/>
  <c r="AA156" i="5"/>
  <c r="Z156" i="5"/>
  <c r="AA155" i="5"/>
  <c r="Z155" i="5"/>
  <c r="AA154" i="5"/>
  <c r="Z154" i="5"/>
  <c r="AA153" i="5"/>
  <c r="Z153" i="5"/>
  <c r="AA152" i="5"/>
  <c r="Z152" i="5"/>
  <c r="AA151" i="5"/>
  <c r="Z151" i="5"/>
  <c r="AA150" i="5"/>
  <c r="Z150" i="5"/>
  <c r="AA149" i="5"/>
  <c r="Z149" i="5"/>
  <c r="AA148" i="5"/>
  <c r="Z148" i="5"/>
  <c r="AA147" i="5"/>
  <c r="Z147" i="5"/>
  <c r="AA146" i="5"/>
  <c r="Z146" i="5"/>
  <c r="AA145" i="5"/>
  <c r="Z145" i="5"/>
  <c r="AA144" i="5"/>
  <c r="Z144" i="5"/>
  <c r="AA143" i="5"/>
  <c r="Z143" i="5"/>
  <c r="AA142" i="5"/>
  <c r="Z142" i="5"/>
  <c r="AA141" i="5"/>
  <c r="Z141" i="5"/>
  <c r="AA140" i="5"/>
  <c r="Z140" i="5"/>
  <c r="AA139" i="5"/>
  <c r="Z139" i="5"/>
  <c r="AA138" i="5"/>
  <c r="Z138" i="5"/>
  <c r="AA137" i="5"/>
  <c r="Z137" i="5"/>
  <c r="AA136" i="5"/>
  <c r="Z136" i="5"/>
  <c r="AA135" i="5"/>
  <c r="Z135" i="5"/>
  <c r="AA134" i="5"/>
  <c r="Z134" i="5"/>
  <c r="AA133" i="5"/>
  <c r="Z133" i="5"/>
  <c r="AA132" i="5"/>
  <c r="Z132" i="5"/>
  <c r="AA131" i="5"/>
  <c r="Z131" i="5"/>
  <c r="AA130" i="5"/>
  <c r="Z130" i="5"/>
  <c r="AA129" i="5"/>
  <c r="Z129" i="5"/>
  <c r="AA128" i="5"/>
  <c r="Z128" i="5"/>
  <c r="AA127" i="5"/>
  <c r="Z127" i="5"/>
  <c r="AA126" i="5"/>
  <c r="Z126" i="5"/>
  <c r="AA125" i="5"/>
  <c r="Z125" i="5"/>
  <c r="AA124" i="5"/>
  <c r="Z124" i="5"/>
  <c r="AA123" i="5"/>
  <c r="Z123" i="5"/>
  <c r="AA122" i="5"/>
  <c r="Z122" i="5"/>
  <c r="AA121" i="5"/>
  <c r="Z121" i="5"/>
  <c r="AA120" i="5"/>
  <c r="Z120" i="5"/>
  <c r="AA119" i="5"/>
  <c r="Z119" i="5"/>
  <c r="AA118" i="5"/>
  <c r="Z118" i="5"/>
  <c r="AA117" i="5"/>
  <c r="Z117" i="5"/>
  <c r="AA116" i="5"/>
  <c r="Z116" i="5"/>
  <c r="AA115" i="5"/>
  <c r="Z115" i="5"/>
  <c r="AA114" i="5"/>
  <c r="Z114" i="5"/>
  <c r="AA113" i="5"/>
  <c r="Z113" i="5"/>
  <c r="AA112" i="5"/>
  <c r="Z112" i="5"/>
  <c r="AA111" i="5"/>
  <c r="Z111" i="5"/>
  <c r="AA110" i="5"/>
  <c r="Z110" i="5"/>
  <c r="AA109" i="5"/>
  <c r="Z109" i="5"/>
  <c r="AA108" i="5"/>
  <c r="Z108" i="5"/>
  <c r="AA107" i="5"/>
  <c r="Z107" i="5"/>
  <c r="AA106" i="5"/>
  <c r="Z106" i="5"/>
  <c r="AA105" i="5"/>
  <c r="Z105" i="5"/>
  <c r="AA104" i="5"/>
  <c r="Z104" i="5"/>
  <c r="AA103" i="5"/>
  <c r="Z103" i="5"/>
  <c r="AA102" i="5"/>
  <c r="Z102" i="5"/>
  <c r="AA101" i="5"/>
  <c r="Z101" i="5"/>
  <c r="AA100" i="5"/>
  <c r="Z100" i="5"/>
  <c r="AA99" i="5"/>
  <c r="Z99" i="5"/>
  <c r="AA98" i="5"/>
  <c r="Z98" i="5"/>
  <c r="AA97" i="5"/>
  <c r="Z97" i="5"/>
  <c r="AA96" i="5"/>
  <c r="Z96" i="5"/>
  <c r="AA95" i="5"/>
  <c r="Z95" i="5"/>
  <c r="AA94" i="5"/>
  <c r="Z94" i="5"/>
  <c r="AA93" i="5"/>
  <c r="Z93" i="5"/>
  <c r="AA92" i="5"/>
  <c r="Z92" i="5"/>
  <c r="AA91" i="5"/>
  <c r="Z91" i="5"/>
  <c r="AA90" i="5"/>
  <c r="Z90" i="5"/>
  <c r="AA89" i="5"/>
  <c r="Z89" i="5"/>
  <c r="AA88" i="5"/>
  <c r="Z88" i="5"/>
  <c r="AA87" i="5"/>
  <c r="Z87" i="5"/>
  <c r="AA86" i="5"/>
  <c r="Z86" i="5"/>
  <c r="AA85" i="5"/>
  <c r="Z85" i="5"/>
  <c r="AA84" i="5"/>
  <c r="Z84" i="5"/>
  <c r="AA83" i="5"/>
  <c r="Z83" i="5"/>
  <c r="AA82" i="5"/>
  <c r="Z82" i="5"/>
  <c r="AA81" i="5"/>
  <c r="Z81" i="5"/>
  <c r="AA80" i="5"/>
  <c r="Z80" i="5"/>
  <c r="AA79" i="5"/>
  <c r="Z79" i="5"/>
  <c r="AA77" i="5"/>
  <c r="Z77" i="5"/>
  <c r="AA76" i="5"/>
  <c r="Z76" i="5"/>
  <c r="AA75" i="5"/>
  <c r="Z75" i="5"/>
  <c r="AA74" i="5"/>
  <c r="Z74" i="5"/>
  <c r="AA73" i="5"/>
  <c r="Z73" i="5"/>
  <c r="AA72" i="5"/>
  <c r="Z72" i="5"/>
  <c r="AA71" i="5"/>
  <c r="Z71" i="5"/>
  <c r="AA70" i="5"/>
  <c r="Z70" i="5"/>
  <c r="AA69" i="5"/>
  <c r="Z69" i="5"/>
  <c r="AA68" i="5"/>
  <c r="Z68" i="5"/>
  <c r="AA67" i="5"/>
  <c r="Z67" i="5"/>
  <c r="AA66" i="5"/>
  <c r="Z66" i="5"/>
  <c r="AA65" i="5"/>
  <c r="Z65" i="5"/>
  <c r="AA64" i="5"/>
  <c r="Z64" i="5"/>
  <c r="AA63" i="5"/>
  <c r="Z63" i="5"/>
  <c r="AA62" i="5"/>
  <c r="Z62" i="5"/>
  <c r="AA61" i="5"/>
  <c r="Z61" i="5"/>
  <c r="AA60" i="5"/>
  <c r="Z60" i="5"/>
  <c r="AA59" i="5"/>
  <c r="Z59" i="5"/>
  <c r="AA58" i="5"/>
  <c r="Z58" i="5"/>
  <c r="AA57" i="5"/>
  <c r="Z57" i="5"/>
  <c r="AA56" i="5"/>
  <c r="Z56" i="5"/>
  <c r="AA55" i="5"/>
  <c r="Z55" i="5"/>
  <c r="AA54" i="5"/>
  <c r="Z54" i="5"/>
  <c r="AA53" i="5"/>
  <c r="Z53" i="5"/>
  <c r="AA52" i="5"/>
  <c r="Z52" i="5"/>
  <c r="AA51" i="5"/>
  <c r="Z51" i="5"/>
  <c r="AA50" i="5"/>
  <c r="Z50" i="5"/>
  <c r="AA49" i="5"/>
  <c r="Z49" i="5"/>
  <c r="AA48" i="5"/>
  <c r="Z48" i="5"/>
  <c r="AA47" i="5"/>
  <c r="Z47" i="5"/>
  <c r="AA46" i="5"/>
  <c r="Z46" i="5"/>
  <c r="AA45" i="5"/>
  <c r="Z45" i="5"/>
  <c r="AA44" i="5"/>
  <c r="Z44" i="5"/>
  <c r="AA43" i="5"/>
  <c r="Z43" i="5"/>
  <c r="AA42" i="5"/>
  <c r="Z42" i="5"/>
  <c r="AA41" i="5"/>
  <c r="Z41" i="5"/>
  <c r="AA40" i="5"/>
  <c r="Z40" i="5"/>
  <c r="AA39" i="5"/>
  <c r="Z39" i="5"/>
  <c r="AA38" i="5"/>
  <c r="Z38" i="5"/>
  <c r="AA37" i="5"/>
  <c r="Z37" i="5"/>
  <c r="AA36" i="5"/>
  <c r="Z36" i="5"/>
  <c r="AA35" i="5"/>
  <c r="Z35" i="5"/>
  <c r="AA34" i="5"/>
  <c r="Z34" i="5"/>
  <c r="AA33" i="5"/>
  <c r="Z33" i="5"/>
  <c r="AA32" i="5"/>
  <c r="Z32" i="5"/>
  <c r="AA31" i="5"/>
  <c r="Z31" i="5"/>
  <c r="AA30" i="5"/>
  <c r="Z30" i="5"/>
  <c r="AA29" i="5"/>
  <c r="Z29" i="5"/>
  <c r="AA28" i="5"/>
  <c r="Z28" i="5"/>
  <c r="AA27" i="5"/>
  <c r="Z27" i="5"/>
  <c r="AA26" i="5"/>
  <c r="Z26" i="5"/>
  <c r="AA25" i="5"/>
  <c r="Z25" i="5"/>
  <c r="AA24" i="5"/>
  <c r="Z24" i="5"/>
  <c r="AA23" i="5"/>
  <c r="Z23" i="5"/>
  <c r="AA22" i="5"/>
  <c r="Z22" i="5"/>
  <c r="AA21" i="5"/>
  <c r="Z21" i="5"/>
  <c r="AA20" i="5"/>
  <c r="Z20" i="5"/>
  <c r="AA19" i="5"/>
  <c r="Z19" i="5"/>
  <c r="AA18" i="5"/>
  <c r="Z18" i="5"/>
  <c r="AA17" i="5"/>
  <c r="Z17" i="5"/>
  <c r="AA16" i="5"/>
  <c r="Z16" i="5"/>
  <c r="AA15" i="5"/>
  <c r="Z15" i="5"/>
  <c r="AA14" i="5"/>
  <c r="Z14" i="5"/>
  <c r="AA13" i="5"/>
  <c r="Z13" i="5"/>
  <c r="AA12" i="5"/>
  <c r="Z12" i="5"/>
  <c r="AA11" i="5"/>
  <c r="Z11" i="5"/>
  <c r="AA10" i="5"/>
  <c r="Z10" i="5"/>
  <c r="AA9" i="5"/>
  <c r="S3" i="5"/>
  <c r="S9" i="5"/>
  <c r="AC1" i="5" l="1"/>
  <c r="AD1" i="5" s="1"/>
  <c r="G38" i="10"/>
  <c r="F38" i="10"/>
  <c r="E38" i="10"/>
  <c r="G36" i="10"/>
  <c r="F36" i="10"/>
  <c r="E36" i="10"/>
  <c r="G33" i="10"/>
  <c r="F33" i="10"/>
  <c r="E33" i="10"/>
  <c r="D38" i="10"/>
  <c r="C38" i="10"/>
  <c r="D36" i="10"/>
  <c r="C36" i="10"/>
  <c r="D33" i="10"/>
  <c r="C33" i="10"/>
  <c r="G30" i="10"/>
  <c r="F30" i="10"/>
  <c r="E30" i="10"/>
  <c r="D30" i="10"/>
  <c r="C30" i="10"/>
  <c r="G28" i="10"/>
  <c r="F28" i="10"/>
  <c r="E28" i="10"/>
  <c r="D28" i="10"/>
  <c r="G27" i="10"/>
  <c r="F27" i="10"/>
  <c r="E27" i="10"/>
  <c r="D27" i="10"/>
  <c r="C27" i="10"/>
  <c r="G26" i="10"/>
  <c r="F26" i="10"/>
  <c r="E26" i="10"/>
  <c r="D26" i="10"/>
  <c r="G25" i="10"/>
  <c r="F25" i="10"/>
  <c r="E25" i="10"/>
  <c r="D25" i="10"/>
  <c r="C25" i="10"/>
  <c r="G24" i="10"/>
  <c r="F24" i="10"/>
  <c r="E24" i="10"/>
  <c r="D24" i="10"/>
  <c r="C24" i="10"/>
  <c r="D22" i="10"/>
  <c r="E22" i="10"/>
  <c r="F22" i="10"/>
  <c r="G22" i="10"/>
  <c r="C22" i="10"/>
  <c r="C41" i="10"/>
  <c r="C50" i="10" s="1"/>
  <c r="D20" i="10"/>
  <c r="D41" i="10" s="1"/>
  <c r="D50" i="10" s="1"/>
  <c r="E20" i="10" l="1"/>
  <c r="E41" i="10" l="1"/>
  <c r="E50" i="10" s="1"/>
  <c r="F20" i="10"/>
  <c r="Q3" i="1"/>
  <c r="R3" i="1"/>
  <c r="F41" i="10" l="1"/>
  <c r="F50" i="10" s="1"/>
  <c r="G20" i="10"/>
  <c r="C23" i="10"/>
  <c r="T2" i="5"/>
  <c r="U2" i="5"/>
  <c r="V2" i="5"/>
  <c r="W2" i="5"/>
  <c r="T3" i="5"/>
  <c r="U3" i="5"/>
  <c r="V3" i="5"/>
  <c r="W3" i="5"/>
  <c r="S2" i="5"/>
  <c r="AB1" i="5"/>
  <c r="G41" i="10" l="1"/>
  <c r="G50" i="10" s="1"/>
  <c r="E39" i="6"/>
  <c r="A35" i="6"/>
  <c r="A36" i="6" s="1"/>
  <c r="A37" i="6" s="1"/>
  <c r="A38" i="6" s="1"/>
  <c r="A39" i="6" s="1"/>
  <c r="A40" i="6" s="1"/>
  <c r="A41" i="6" s="1"/>
  <c r="A42" i="6" s="1"/>
  <c r="A43" i="6" s="1"/>
  <c r="A44" i="6" s="1"/>
  <c r="A45" i="6" s="1"/>
  <c r="A46" i="6" s="1"/>
  <c r="A47" i="6" s="1"/>
  <c r="Q310" i="5" l="1"/>
  <c r="Q309" i="5"/>
  <c r="Q308" i="5"/>
  <c r="Q307" i="5"/>
  <c r="Q306" i="5"/>
  <c r="Q305" i="5"/>
  <c r="Q304" i="5"/>
  <c r="Q303" i="5"/>
  <c r="Q302" i="5"/>
  <c r="Q301" i="5"/>
  <c r="Q300" i="5"/>
  <c r="Q299" i="5"/>
  <c r="Q298" i="5"/>
  <c r="Q297" i="5"/>
  <c r="Q296" i="5"/>
  <c r="Q295" i="5"/>
  <c r="Q294" i="5"/>
  <c r="Q293" i="5"/>
  <c r="Q292" i="5"/>
  <c r="Q291" i="5"/>
  <c r="Q290" i="5"/>
  <c r="Q289" i="5"/>
  <c r="Q288" i="5"/>
  <c r="Q287"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Q255" i="5"/>
  <c r="Q254" i="5"/>
  <c r="Q253" i="5"/>
  <c r="Q252" i="5"/>
  <c r="Q251" i="5"/>
  <c r="Q250" i="5"/>
  <c r="Q249" i="5"/>
  <c r="Q248" i="5"/>
  <c r="Q247" i="5"/>
  <c r="Q246" i="5"/>
  <c r="Q245" i="5"/>
  <c r="Q244" i="5"/>
  <c r="Q243" i="5"/>
  <c r="Q242"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7" i="5" l="1"/>
  <c r="S3" i="1" l="1"/>
  <c r="G51" i="6" l="1"/>
  <c r="G62" i="6" s="1"/>
  <c r="F51" i="6"/>
  <c r="F62" i="6" s="1"/>
  <c r="E51" i="6"/>
  <c r="E62" i="6" s="1"/>
  <c r="D51" i="6"/>
  <c r="E33" i="6"/>
  <c r="A2" i="6"/>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F39" i="6" l="1"/>
  <c r="F42" i="6" s="1"/>
  <c r="F53" i="6" s="1"/>
  <c r="D62" i="6"/>
  <c r="E42" i="6"/>
  <c r="E53" i="6" s="1"/>
  <c r="A48" i="6"/>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F33" i="6"/>
  <c r="D42" i="6"/>
  <c r="D53" i="6" s="1"/>
  <c r="G39" i="6" l="1"/>
  <c r="G42" i="6" s="1"/>
  <c r="G53" i="6" s="1"/>
  <c r="G33" i="6"/>
  <c r="E23" i="3" l="1"/>
  <c r="D23" i="10"/>
  <c r="B77" i="3"/>
  <c r="Y7" i="5"/>
  <c r="M9" i="5"/>
  <c r="F23" i="3" l="1"/>
  <c r="E23" i="10"/>
  <c r="V300" i="1"/>
  <c r="V301" i="1"/>
  <c r="V302" i="1"/>
  <c r="V303" i="1"/>
  <c r="V304" i="1"/>
  <c r="V305" i="1"/>
  <c r="V299" i="1"/>
  <c r="G23" i="3" l="1"/>
  <c r="G23" i="10" s="1"/>
  <c r="F23" i="10"/>
  <c r="P3" i="1"/>
  <c r="B1" i="5"/>
  <c r="C1" i="5" s="1"/>
  <c r="D1" i="5" s="1"/>
  <c r="E1" i="5" s="1"/>
  <c r="F1" i="5" s="1"/>
  <c r="G1" i="5" s="1"/>
  <c r="H1" i="5" s="1"/>
  <c r="I1" i="5" s="1"/>
  <c r="J1" i="5" s="1"/>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O9" i="5"/>
  <c r="N9" i="5"/>
  <c r="K1" i="5" l="1"/>
  <c r="P7" i="5"/>
  <c r="D20" i="3"/>
  <c r="E20" i="3" l="1"/>
  <c r="L1" i="5"/>
  <c r="F20" i="3" l="1"/>
  <c r="G20" i="3"/>
  <c r="F41" i="3"/>
  <c r="F50" i="3" s="1"/>
  <c r="F81" i="3" s="1"/>
  <c r="M1" i="5"/>
  <c r="N1" i="5" s="1"/>
  <c r="O1" i="5" s="1"/>
  <c r="B1" i="1"/>
  <c r="C1" i="1" s="1"/>
  <c r="D1" i="1" s="1"/>
  <c r="E1" i="1" s="1"/>
  <c r="F1" i="1" s="1"/>
  <c r="G1" i="1" s="1"/>
  <c r="H1" i="1" s="1"/>
  <c r="I1" i="1" s="1"/>
  <c r="P1" i="5" l="1"/>
  <c r="O3" i="1"/>
  <c r="Q1" i="5" l="1"/>
  <c r="O310" i="5"/>
  <c r="O309" i="5"/>
  <c r="O308" i="5"/>
  <c r="O307" i="5"/>
  <c r="O306" i="5"/>
  <c r="O305" i="5"/>
  <c r="O304" i="5"/>
  <c r="O303" i="5"/>
  <c r="O30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M10" i="5"/>
  <c r="N10" i="5"/>
  <c r="M11" i="5"/>
  <c r="N11" i="5"/>
  <c r="M12" i="5"/>
  <c r="N12" i="5"/>
  <c r="M13" i="5"/>
  <c r="N13" i="5"/>
  <c r="M14" i="5"/>
  <c r="N14" i="5"/>
  <c r="M15" i="5"/>
  <c r="N15"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1" i="5"/>
  <c r="N41" i="5"/>
  <c r="M42" i="5"/>
  <c r="N42" i="5"/>
  <c r="M43" i="5"/>
  <c r="N43" i="5"/>
  <c r="M44" i="5"/>
  <c r="N44" i="5"/>
  <c r="M45" i="5"/>
  <c r="N45" i="5"/>
  <c r="M46" i="5"/>
  <c r="N46" i="5"/>
  <c r="M47" i="5"/>
  <c r="N47" i="5"/>
  <c r="M48" i="5"/>
  <c r="N48" i="5"/>
  <c r="M49" i="5"/>
  <c r="N49" i="5"/>
  <c r="M50" i="5"/>
  <c r="N50" i="5"/>
  <c r="M51" i="5"/>
  <c r="N51" i="5"/>
  <c r="M52" i="5"/>
  <c r="N52" i="5"/>
  <c r="M53" i="5"/>
  <c r="N53" i="5"/>
  <c r="M54" i="5"/>
  <c r="N54" i="5"/>
  <c r="M55" i="5"/>
  <c r="N55" i="5"/>
  <c r="M56" i="5"/>
  <c r="N56" i="5"/>
  <c r="M57" i="5"/>
  <c r="N57" i="5"/>
  <c r="M58" i="5"/>
  <c r="N58" i="5"/>
  <c r="M59" i="5"/>
  <c r="N59" i="5"/>
  <c r="M60" i="5"/>
  <c r="N60" i="5"/>
  <c r="M61" i="5"/>
  <c r="N61" i="5"/>
  <c r="M62" i="5"/>
  <c r="N62" i="5"/>
  <c r="M63" i="5"/>
  <c r="N63" i="5"/>
  <c r="M64" i="5"/>
  <c r="N64" i="5"/>
  <c r="M65" i="5"/>
  <c r="N65" i="5"/>
  <c r="M66" i="5"/>
  <c r="N66" i="5"/>
  <c r="M67" i="5"/>
  <c r="N67" i="5"/>
  <c r="M68" i="5"/>
  <c r="N68" i="5"/>
  <c r="M69" i="5"/>
  <c r="N69" i="5"/>
  <c r="M70" i="5"/>
  <c r="N70" i="5"/>
  <c r="M71" i="5"/>
  <c r="N71" i="5"/>
  <c r="M72" i="5"/>
  <c r="N72" i="5"/>
  <c r="M73" i="5"/>
  <c r="N73" i="5"/>
  <c r="M74" i="5"/>
  <c r="N74" i="5"/>
  <c r="M75" i="5"/>
  <c r="N75" i="5"/>
  <c r="M76" i="5"/>
  <c r="N76" i="5"/>
  <c r="M77" i="5"/>
  <c r="N77" i="5"/>
  <c r="M78" i="5"/>
  <c r="N78" i="5"/>
  <c r="M79" i="5"/>
  <c r="N79" i="5"/>
  <c r="M80" i="5"/>
  <c r="N80" i="5"/>
  <c r="M81" i="5"/>
  <c r="N81" i="5"/>
  <c r="M82" i="5"/>
  <c r="N82" i="5"/>
  <c r="M83" i="5"/>
  <c r="N83" i="5"/>
  <c r="M84" i="5"/>
  <c r="N84" i="5"/>
  <c r="M85" i="5"/>
  <c r="N85" i="5"/>
  <c r="M86" i="5"/>
  <c r="N86" i="5"/>
  <c r="M87" i="5"/>
  <c r="N87" i="5"/>
  <c r="M88" i="5"/>
  <c r="N88" i="5"/>
  <c r="M89" i="5"/>
  <c r="N89" i="5"/>
  <c r="M90" i="5"/>
  <c r="N90" i="5"/>
  <c r="M91" i="5"/>
  <c r="N91" i="5"/>
  <c r="M92" i="5"/>
  <c r="N92" i="5"/>
  <c r="M93" i="5"/>
  <c r="N93" i="5"/>
  <c r="M94" i="5"/>
  <c r="N94" i="5"/>
  <c r="M95" i="5"/>
  <c r="N95" i="5"/>
  <c r="M96" i="5"/>
  <c r="N96" i="5"/>
  <c r="M97" i="5"/>
  <c r="N97" i="5"/>
  <c r="M98" i="5"/>
  <c r="N98" i="5"/>
  <c r="M99" i="5"/>
  <c r="N99" i="5"/>
  <c r="M100" i="5"/>
  <c r="N100" i="5"/>
  <c r="M101" i="5"/>
  <c r="N101" i="5"/>
  <c r="M102" i="5"/>
  <c r="N102" i="5"/>
  <c r="M103" i="5"/>
  <c r="N103" i="5"/>
  <c r="M104" i="5"/>
  <c r="N104" i="5"/>
  <c r="M105" i="5"/>
  <c r="N105" i="5"/>
  <c r="M106" i="5"/>
  <c r="N106" i="5"/>
  <c r="M107" i="5"/>
  <c r="N107" i="5"/>
  <c r="M108" i="5"/>
  <c r="N108" i="5"/>
  <c r="M109" i="5"/>
  <c r="N109" i="5"/>
  <c r="M110" i="5"/>
  <c r="N110" i="5"/>
  <c r="M111" i="5"/>
  <c r="N111" i="5"/>
  <c r="M112" i="5"/>
  <c r="N112" i="5"/>
  <c r="M113" i="5"/>
  <c r="N113" i="5"/>
  <c r="M114" i="5"/>
  <c r="N114" i="5"/>
  <c r="M115" i="5"/>
  <c r="N115" i="5"/>
  <c r="M116" i="5"/>
  <c r="N116" i="5"/>
  <c r="M117" i="5"/>
  <c r="N117" i="5"/>
  <c r="M118" i="5"/>
  <c r="N118" i="5"/>
  <c r="M119" i="5"/>
  <c r="N119" i="5"/>
  <c r="M120" i="5"/>
  <c r="N120" i="5"/>
  <c r="M121" i="5"/>
  <c r="N121" i="5"/>
  <c r="M122" i="5"/>
  <c r="N122" i="5"/>
  <c r="M123" i="5"/>
  <c r="N123" i="5"/>
  <c r="M124" i="5"/>
  <c r="N124" i="5"/>
  <c r="M125" i="5"/>
  <c r="N125" i="5"/>
  <c r="M126" i="5"/>
  <c r="N126" i="5"/>
  <c r="M127" i="5"/>
  <c r="N127" i="5"/>
  <c r="M128" i="5"/>
  <c r="N128" i="5"/>
  <c r="M129" i="5"/>
  <c r="N129" i="5"/>
  <c r="M130" i="5"/>
  <c r="N130" i="5"/>
  <c r="M131" i="5"/>
  <c r="N131" i="5"/>
  <c r="M132" i="5"/>
  <c r="N132" i="5"/>
  <c r="M133" i="5"/>
  <c r="N133" i="5"/>
  <c r="M134" i="5"/>
  <c r="N134" i="5"/>
  <c r="M135" i="5"/>
  <c r="N135" i="5"/>
  <c r="M136" i="5"/>
  <c r="N136" i="5"/>
  <c r="M137" i="5"/>
  <c r="N137" i="5"/>
  <c r="M138" i="5"/>
  <c r="N138" i="5"/>
  <c r="M139" i="5"/>
  <c r="N139" i="5"/>
  <c r="M140" i="5"/>
  <c r="N140" i="5"/>
  <c r="M141" i="5"/>
  <c r="N141" i="5"/>
  <c r="M142" i="5"/>
  <c r="N142" i="5"/>
  <c r="M143" i="5"/>
  <c r="N143" i="5"/>
  <c r="M144" i="5"/>
  <c r="N144" i="5"/>
  <c r="M145" i="5"/>
  <c r="N145" i="5"/>
  <c r="M146" i="5"/>
  <c r="N146" i="5"/>
  <c r="M147" i="5"/>
  <c r="N147" i="5"/>
  <c r="M148" i="5"/>
  <c r="N148" i="5"/>
  <c r="M149" i="5"/>
  <c r="N149" i="5"/>
  <c r="M150" i="5"/>
  <c r="N150" i="5"/>
  <c r="M151" i="5"/>
  <c r="N151" i="5"/>
  <c r="M152" i="5"/>
  <c r="N152" i="5"/>
  <c r="M153" i="5"/>
  <c r="N153" i="5"/>
  <c r="M154" i="5"/>
  <c r="N154" i="5"/>
  <c r="M155" i="5"/>
  <c r="N155" i="5"/>
  <c r="M156" i="5"/>
  <c r="N156" i="5"/>
  <c r="M157" i="5"/>
  <c r="N157" i="5"/>
  <c r="M158" i="5"/>
  <c r="N158" i="5"/>
  <c r="M159" i="5"/>
  <c r="N159" i="5"/>
  <c r="M160" i="5"/>
  <c r="N160" i="5"/>
  <c r="M161" i="5"/>
  <c r="N161" i="5"/>
  <c r="M162" i="5"/>
  <c r="N162" i="5"/>
  <c r="M163" i="5"/>
  <c r="N163" i="5"/>
  <c r="M164" i="5"/>
  <c r="N164" i="5"/>
  <c r="M165" i="5"/>
  <c r="N165" i="5"/>
  <c r="M166" i="5"/>
  <c r="N166" i="5"/>
  <c r="M167" i="5"/>
  <c r="N167" i="5"/>
  <c r="M168" i="5"/>
  <c r="N168" i="5"/>
  <c r="M169" i="5"/>
  <c r="N169" i="5"/>
  <c r="M170" i="5"/>
  <c r="N170" i="5"/>
  <c r="M171" i="5"/>
  <c r="N171" i="5"/>
  <c r="M172" i="5"/>
  <c r="N172" i="5"/>
  <c r="M173" i="5"/>
  <c r="N173" i="5"/>
  <c r="M174" i="5"/>
  <c r="N174" i="5"/>
  <c r="M175" i="5"/>
  <c r="N175" i="5"/>
  <c r="M176" i="5"/>
  <c r="N176" i="5"/>
  <c r="M177" i="5"/>
  <c r="N177" i="5"/>
  <c r="M178" i="5"/>
  <c r="N178" i="5"/>
  <c r="M179" i="5"/>
  <c r="N179" i="5"/>
  <c r="M180" i="5"/>
  <c r="N180" i="5"/>
  <c r="M181" i="5"/>
  <c r="N181" i="5"/>
  <c r="M182" i="5"/>
  <c r="N182" i="5"/>
  <c r="M183" i="5"/>
  <c r="N183" i="5"/>
  <c r="M184" i="5"/>
  <c r="N184" i="5"/>
  <c r="M185" i="5"/>
  <c r="N185" i="5"/>
  <c r="M186" i="5"/>
  <c r="N186" i="5"/>
  <c r="M187" i="5"/>
  <c r="N187" i="5"/>
  <c r="M188" i="5"/>
  <c r="N188" i="5"/>
  <c r="M189" i="5"/>
  <c r="N189" i="5"/>
  <c r="M190" i="5"/>
  <c r="N190" i="5"/>
  <c r="M191" i="5"/>
  <c r="N191" i="5"/>
  <c r="M192" i="5"/>
  <c r="N192" i="5"/>
  <c r="M193" i="5"/>
  <c r="N193" i="5"/>
  <c r="M194" i="5"/>
  <c r="N194" i="5"/>
  <c r="M195" i="5"/>
  <c r="N195" i="5"/>
  <c r="M196" i="5"/>
  <c r="N196" i="5"/>
  <c r="M197" i="5"/>
  <c r="N197" i="5"/>
  <c r="M198" i="5"/>
  <c r="N198" i="5"/>
  <c r="M199" i="5"/>
  <c r="N199" i="5"/>
  <c r="M200" i="5"/>
  <c r="N200" i="5"/>
  <c r="M201" i="5"/>
  <c r="N201" i="5"/>
  <c r="M202" i="5"/>
  <c r="N202" i="5"/>
  <c r="M203" i="5"/>
  <c r="N203" i="5"/>
  <c r="M204" i="5"/>
  <c r="N204" i="5"/>
  <c r="M205" i="5"/>
  <c r="N205" i="5"/>
  <c r="M206" i="5"/>
  <c r="N206" i="5"/>
  <c r="M207" i="5"/>
  <c r="N207" i="5"/>
  <c r="M208" i="5"/>
  <c r="N208" i="5"/>
  <c r="M209" i="5"/>
  <c r="N209" i="5"/>
  <c r="M210" i="5"/>
  <c r="N210" i="5"/>
  <c r="M211" i="5"/>
  <c r="N211" i="5"/>
  <c r="M212" i="5"/>
  <c r="N212" i="5"/>
  <c r="M213" i="5"/>
  <c r="N213" i="5"/>
  <c r="M214" i="5"/>
  <c r="N214" i="5"/>
  <c r="M215" i="5"/>
  <c r="N215" i="5"/>
  <c r="M216" i="5"/>
  <c r="N216" i="5"/>
  <c r="M217" i="5"/>
  <c r="N217" i="5"/>
  <c r="M218" i="5"/>
  <c r="N218" i="5"/>
  <c r="M219" i="5"/>
  <c r="N219" i="5"/>
  <c r="M220" i="5"/>
  <c r="N220" i="5"/>
  <c r="M221" i="5"/>
  <c r="N221" i="5"/>
  <c r="M222" i="5"/>
  <c r="N222" i="5"/>
  <c r="M223" i="5"/>
  <c r="N223" i="5"/>
  <c r="M224" i="5"/>
  <c r="N224" i="5"/>
  <c r="M225" i="5"/>
  <c r="N225" i="5"/>
  <c r="M226" i="5"/>
  <c r="N226" i="5"/>
  <c r="M227" i="5"/>
  <c r="N227" i="5"/>
  <c r="M228" i="5"/>
  <c r="N228" i="5"/>
  <c r="M229" i="5"/>
  <c r="N229" i="5"/>
  <c r="M230" i="5"/>
  <c r="N230" i="5"/>
  <c r="M231" i="5"/>
  <c r="N231" i="5"/>
  <c r="M232" i="5"/>
  <c r="N232" i="5"/>
  <c r="M233" i="5"/>
  <c r="N233" i="5"/>
  <c r="M234" i="5"/>
  <c r="N234" i="5"/>
  <c r="M235" i="5"/>
  <c r="N235" i="5"/>
  <c r="M236" i="5"/>
  <c r="N236" i="5"/>
  <c r="M237" i="5"/>
  <c r="N237" i="5"/>
  <c r="M238" i="5"/>
  <c r="N238" i="5"/>
  <c r="M239" i="5"/>
  <c r="N239" i="5"/>
  <c r="M240" i="5"/>
  <c r="N240" i="5"/>
  <c r="M241" i="5"/>
  <c r="N241" i="5"/>
  <c r="M242" i="5"/>
  <c r="N242" i="5"/>
  <c r="M243" i="5"/>
  <c r="N243" i="5"/>
  <c r="M244" i="5"/>
  <c r="N244" i="5"/>
  <c r="M245" i="5"/>
  <c r="N245" i="5"/>
  <c r="M246" i="5"/>
  <c r="N246" i="5"/>
  <c r="M247" i="5"/>
  <c r="N247" i="5"/>
  <c r="M248" i="5"/>
  <c r="N248" i="5"/>
  <c r="M249" i="5"/>
  <c r="N249" i="5"/>
  <c r="M250" i="5"/>
  <c r="N250" i="5"/>
  <c r="M251" i="5"/>
  <c r="N251" i="5"/>
  <c r="M252" i="5"/>
  <c r="N252" i="5"/>
  <c r="M253" i="5"/>
  <c r="N253" i="5"/>
  <c r="M254" i="5"/>
  <c r="N254" i="5"/>
  <c r="M255" i="5"/>
  <c r="N255" i="5"/>
  <c r="M256" i="5"/>
  <c r="N256" i="5"/>
  <c r="M257" i="5"/>
  <c r="N257" i="5"/>
  <c r="M258" i="5"/>
  <c r="N258" i="5"/>
  <c r="M259" i="5"/>
  <c r="N259" i="5"/>
  <c r="M260" i="5"/>
  <c r="N260" i="5"/>
  <c r="M261" i="5"/>
  <c r="N261" i="5"/>
  <c r="M262" i="5"/>
  <c r="N262" i="5"/>
  <c r="M263" i="5"/>
  <c r="N263" i="5"/>
  <c r="M264" i="5"/>
  <c r="N264" i="5"/>
  <c r="M265" i="5"/>
  <c r="N265" i="5"/>
  <c r="M266" i="5"/>
  <c r="N266" i="5"/>
  <c r="M267" i="5"/>
  <c r="N267" i="5"/>
  <c r="M268" i="5"/>
  <c r="N268" i="5"/>
  <c r="M269" i="5"/>
  <c r="N269" i="5"/>
  <c r="M270" i="5"/>
  <c r="N270" i="5"/>
  <c r="M271" i="5"/>
  <c r="N271" i="5"/>
  <c r="M272" i="5"/>
  <c r="N272" i="5"/>
  <c r="M273" i="5"/>
  <c r="N273" i="5"/>
  <c r="M274" i="5"/>
  <c r="N274" i="5"/>
  <c r="M275" i="5"/>
  <c r="N275" i="5"/>
  <c r="M276" i="5"/>
  <c r="N276" i="5"/>
  <c r="M277" i="5"/>
  <c r="N277" i="5"/>
  <c r="M278" i="5"/>
  <c r="N278" i="5"/>
  <c r="M279" i="5"/>
  <c r="N279" i="5"/>
  <c r="M280" i="5"/>
  <c r="N280" i="5"/>
  <c r="M281" i="5"/>
  <c r="N281" i="5"/>
  <c r="M282" i="5"/>
  <c r="N282" i="5"/>
  <c r="M283" i="5"/>
  <c r="N283" i="5"/>
  <c r="M284" i="5"/>
  <c r="N284" i="5"/>
  <c r="M285" i="5"/>
  <c r="N285" i="5"/>
  <c r="M286" i="5"/>
  <c r="N286" i="5"/>
  <c r="M287" i="5"/>
  <c r="N287" i="5"/>
  <c r="M288" i="5"/>
  <c r="N288" i="5"/>
  <c r="M289" i="5"/>
  <c r="N289" i="5"/>
  <c r="M290" i="5"/>
  <c r="N290" i="5"/>
  <c r="M291" i="5"/>
  <c r="N291" i="5"/>
  <c r="M292" i="5"/>
  <c r="N292" i="5"/>
  <c r="M293" i="5"/>
  <c r="N293" i="5"/>
  <c r="M294" i="5"/>
  <c r="N294" i="5"/>
  <c r="M295" i="5"/>
  <c r="N295" i="5"/>
  <c r="M296" i="5"/>
  <c r="N296" i="5"/>
  <c r="M297" i="5"/>
  <c r="N297" i="5"/>
  <c r="M298" i="5"/>
  <c r="N298" i="5"/>
  <c r="M299" i="5"/>
  <c r="N299" i="5"/>
  <c r="M300" i="5"/>
  <c r="N300" i="5"/>
  <c r="M301" i="5"/>
  <c r="N301" i="5"/>
  <c r="M302" i="5"/>
  <c r="N302" i="5"/>
  <c r="M303" i="5"/>
  <c r="N303" i="5"/>
  <c r="M304" i="5"/>
  <c r="N304" i="5"/>
  <c r="M305" i="5"/>
  <c r="N305" i="5"/>
  <c r="M306" i="5"/>
  <c r="N306" i="5"/>
  <c r="M307" i="5"/>
  <c r="N307" i="5"/>
  <c r="M308" i="5"/>
  <c r="N308" i="5"/>
  <c r="M309" i="5"/>
  <c r="N309" i="5"/>
  <c r="M310" i="5"/>
  <c r="N310" i="5"/>
  <c r="R1" i="5" l="1"/>
  <c r="S1" i="5" s="1"/>
  <c r="T1" i="5" s="1"/>
  <c r="U1" i="5" s="1"/>
  <c r="V1" i="5" s="1"/>
  <c r="W1" i="5" s="1"/>
  <c r="X1" i="5" s="1"/>
  <c r="Y1" i="5" s="1"/>
  <c r="Z1" i="5" s="1"/>
  <c r="AA1" i="5" s="1"/>
  <c r="R7" i="5"/>
  <c r="O7" i="5"/>
  <c r="W3" i="1" l="1"/>
  <c r="I3" i="1" l="1"/>
  <c r="D310" i="5" l="1"/>
  <c r="H310" i="5" l="1"/>
  <c r="S310" i="5" s="1"/>
  <c r="L310" i="5"/>
  <c r="W310" i="5" s="1"/>
  <c r="J310" i="5"/>
  <c r="U310" i="5" s="1"/>
  <c r="K310" i="5"/>
  <c r="V310" i="5" s="1"/>
  <c r="I310" i="5"/>
  <c r="T310" i="5" s="1"/>
  <c r="G41" i="3" l="1"/>
  <c r="G50" i="3" s="1"/>
  <c r="G81" i="3" s="1"/>
  <c r="E41" i="3"/>
  <c r="E50" i="3" s="1"/>
  <c r="E81" i="3" s="1"/>
  <c r="D41" i="3"/>
  <c r="D50" i="3" s="1"/>
  <c r="D81" i="3" s="1"/>
  <c r="C41" i="3"/>
  <c r="C50" i="3" s="1"/>
  <c r="C81" i="3" s="1"/>
  <c r="C7" i="5" l="1"/>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L10" i="5" s="1"/>
  <c r="W10" i="5" s="1"/>
  <c r="D9" i="5"/>
  <c r="S78" i="5" l="1"/>
  <c r="H55" i="5"/>
  <c r="S55" i="5" s="1"/>
  <c r="L55" i="5"/>
  <c r="W55" i="5" s="1"/>
  <c r="H183" i="5"/>
  <c r="S183" i="5" s="1"/>
  <c r="L183" i="5"/>
  <c r="W183" i="5" s="1"/>
  <c r="H296" i="5"/>
  <c r="S296" i="5" s="1"/>
  <c r="L296" i="5"/>
  <c r="W296" i="5" s="1"/>
  <c r="H73" i="5"/>
  <c r="S73" i="5" s="1"/>
  <c r="L73" i="5"/>
  <c r="W73" i="5" s="1"/>
  <c r="H137" i="5"/>
  <c r="S137" i="5" s="1"/>
  <c r="L137" i="5"/>
  <c r="W137" i="5" s="1"/>
  <c r="H58" i="5"/>
  <c r="S58" i="5" s="1"/>
  <c r="L58" i="5"/>
  <c r="W58" i="5" s="1"/>
  <c r="H90" i="5"/>
  <c r="S90" i="5" s="1"/>
  <c r="L90" i="5"/>
  <c r="W90" i="5" s="1"/>
  <c r="H106" i="5"/>
  <c r="S106" i="5" s="1"/>
  <c r="L106" i="5"/>
  <c r="W106" i="5" s="1"/>
  <c r="H122" i="5"/>
  <c r="S122" i="5" s="1"/>
  <c r="L122" i="5"/>
  <c r="W122" i="5" s="1"/>
  <c r="H138" i="5"/>
  <c r="S138" i="5" s="1"/>
  <c r="L138" i="5"/>
  <c r="W138" i="5" s="1"/>
  <c r="H154" i="5"/>
  <c r="S154" i="5" s="1"/>
  <c r="L154" i="5"/>
  <c r="W154" i="5" s="1"/>
  <c r="H170" i="5"/>
  <c r="S170" i="5" s="1"/>
  <c r="L170" i="5"/>
  <c r="W170" i="5" s="1"/>
  <c r="H186" i="5"/>
  <c r="S186" i="5" s="1"/>
  <c r="L186" i="5"/>
  <c r="W186" i="5" s="1"/>
  <c r="H202" i="5"/>
  <c r="S202" i="5" s="1"/>
  <c r="L202" i="5"/>
  <c r="W202" i="5" s="1"/>
  <c r="H218" i="5"/>
  <c r="S218" i="5" s="1"/>
  <c r="L218" i="5"/>
  <c r="W218" i="5" s="1"/>
  <c r="H234" i="5"/>
  <c r="S234" i="5" s="1"/>
  <c r="L234" i="5"/>
  <c r="W234" i="5" s="1"/>
  <c r="H250" i="5"/>
  <c r="S250" i="5" s="1"/>
  <c r="L250" i="5"/>
  <c r="W250" i="5" s="1"/>
  <c r="H266" i="5"/>
  <c r="S266" i="5" s="1"/>
  <c r="L266" i="5"/>
  <c r="W266" i="5" s="1"/>
  <c r="H282" i="5"/>
  <c r="S282" i="5" s="1"/>
  <c r="L282" i="5"/>
  <c r="W282" i="5" s="1"/>
  <c r="H298" i="5"/>
  <c r="S298" i="5" s="1"/>
  <c r="L298" i="5"/>
  <c r="W298" i="5" s="1"/>
  <c r="H87" i="5"/>
  <c r="S87" i="5" s="1"/>
  <c r="L87" i="5"/>
  <c r="W87" i="5" s="1"/>
  <c r="H247" i="5"/>
  <c r="S247" i="5" s="1"/>
  <c r="L247" i="5"/>
  <c r="W247" i="5" s="1"/>
  <c r="H136" i="5"/>
  <c r="S136" i="5" s="1"/>
  <c r="L136" i="5"/>
  <c r="W136" i="5" s="1"/>
  <c r="H281" i="5"/>
  <c r="S281" i="5" s="1"/>
  <c r="L281" i="5"/>
  <c r="W281" i="5" s="1"/>
  <c r="H11" i="5"/>
  <c r="S11" i="5" s="1"/>
  <c r="L11" i="5"/>
  <c r="W11" i="5" s="1"/>
  <c r="H27" i="5"/>
  <c r="S27" i="5" s="1"/>
  <c r="L27" i="5"/>
  <c r="W27" i="5" s="1"/>
  <c r="H43" i="5"/>
  <c r="S43" i="5" s="1"/>
  <c r="L43" i="5"/>
  <c r="W43" i="5" s="1"/>
  <c r="H59" i="5"/>
  <c r="S59" i="5" s="1"/>
  <c r="L59" i="5"/>
  <c r="W59" i="5" s="1"/>
  <c r="H75" i="5"/>
  <c r="S75" i="5" s="1"/>
  <c r="L75" i="5"/>
  <c r="W75" i="5" s="1"/>
  <c r="H91" i="5"/>
  <c r="S91" i="5" s="1"/>
  <c r="L91" i="5"/>
  <c r="W91" i="5" s="1"/>
  <c r="H107" i="5"/>
  <c r="S107" i="5" s="1"/>
  <c r="L107" i="5"/>
  <c r="W107" i="5" s="1"/>
  <c r="H123" i="5"/>
  <c r="S123" i="5" s="1"/>
  <c r="L123" i="5"/>
  <c r="W123" i="5" s="1"/>
  <c r="H139" i="5"/>
  <c r="S139" i="5" s="1"/>
  <c r="L139" i="5"/>
  <c r="W139" i="5" s="1"/>
  <c r="H155" i="5"/>
  <c r="S155" i="5" s="1"/>
  <c r="L155" i="5"/>
  <c r="W155" i="5" s="1"/>
  <c r="H171" i="5"/>
  <c r="S171" i="5" s="1"/>
  <c r="L171" i="5"/>
  <c r="W171" i="5" s="1"/>
  <c r="H187" i="5"/>
  <c r="S187" i="5" s="1"/>
  <c r="L187" i="5"/>
  <c r="W187" i="5" s="1"/>
  <c r="H203" i="5"/>
  <c r="S203" i="5" s="1"/>
  <c r="L203" i="5"/>
  <c r="W203" i="5" s="1"/>
  <c r="H219" i="5"/>
  <c r="S219" i="5" s="1"/>
  <c r="L219" i="5"/>
  <c r="W219" i="5" s="1"/>
  <c r="H235" i="5"/>
  <c r="S235" i="5" s="1"/>
  <c r="L235" i="5"/>
  <c r="W235" i="5" s="1"/>
  <c r="H251" i="5"/>
  <c r="S251" i="5" s="1"/>
  <c r="L251" i="5"/>
  <c r="W251" i="5" s="1"/>
  <c r="H267" i="5"/>
  <c r="S267" i="5" s="1"/>
  <c r="L267" i="5"/>
  <c r="W267" i="5" s="1"/>
  <c r="H283" i="5"/>
  <c r="S283" i="5" s="1"/>
  <c r="L283" i="5"/>
  <c r="W283" i="5" s="1"/>
  <c r="H299" i="5"/>
  <c r="S299" i="5" s="1"/>
  <c r="L299" i="5"/>
  <c r="W299" i="5" s="1"/>
  <c r="H167" i="5"/>
  <c r="S167" i="5" s="1"/>
  <c r="L167" i="5"/>
  <c r="W167" i="5" s="1"/>
  <c r="H216" i="5"/>
  <c r="S216" i="5" s="1"/>
  <c r="L216" i="5"/>
  <c r="W216" i="5" s="1"/>
  <c r="L9" i="5"/>
  <c r="K9" i="5"/>
  <c r="H121" i="5"/>
  <c r="S121" i="5" s="1"/>
  <c r="L121" i="5"/>
  <c r="W121" i="5" s="1"/>
  <c r="H92" i="5"/>
  <c r="S92" i="5" s="1"/>
  <c r="L92" i="5"/>
  <c r="W92" i="5" s="1"/>
  <c r="H140" i="5"/>
  <c r="S140" i="5" s="1"/>
  <c r="L140" i="5"/>
  <c r="W140" i="5" s="1"/>
  <c r="H156" i="5"/>
  <c r="S156" i="5" s="1"/>
  <c r="L156" i="5"/>
  <c r="W156" i="5" s="1"/>
  <c r="H172" i="5"/>
  <c r="S172" i="5" s="1"/>
  <c r="L172" i="5"/>
  <c r="W172" i="5" s="1"/>
  <c r="H188" i="5"/>
  <c r="S188" i="5" s="1"/>
  <c r="L188" i="5"/>
  <c r="W188" i="5" s="1"/>
  <c r="H204" i="5"/>
  <c r="S204" i="5" s="1"/>
  <c r="L204" i="5"/>
  <c r="W204" i="5" s="1"/>
  <c r="H220" i="5"/>
  <c r="S220" i="5" s="1"/>
  <c r="L220" i="5"/>
  <c r="W220" i="5" s="1"/>
  <c r="H236" i="5"/>
  <c r="S236" i="5" s="1"/>
  <c r="L236" i="5"/>
  <c r="W236" i="5" s="1"/>
  <c r="H252" i="5"/>
  <c r="S252" i="5" s="1"/>
  <c r="L252" i="5"/>
  <c r="W252" i="5" s="1"/>
  <c r="H268" i="5"/>
  <c r="S268" i="5" s="1"/>
  <c r="L268" i="5"/>
  <c r="W268" i="5" s="1"/>
  <c r="H284" i="5"/>
  <c r="S284" i="5" s="1"/>
  <c r="L284" i="5"/>
  <c r="W284" i="5" s="1"/>
  <c r="H300" i="5"/>
  <c r="S300" i="5" s="1"/>
  <c r="L300" i="5"/>
  <c r="W300" i="5" s="1"/>
  <c r="H151" i="5"/>
  <c r="S151" i="5" s="1"/>
  <c r="L151" i="5"/>
  <c r="W151" i="5" s="1"/>
  <c r="H104" i="5"/>
  <c r="S104" i="5" s="1"/>
  <c r="L104" i="5"/>
  <c r="W104" i="5" s="1"/>
  <c r="H248" i="5"/>
  <c r="S248" i="5" s="1"/>
  <c r="L248" i="5"/>
  <c r="W248" i="5" s="1"/>
  <c r="H249" i="5"/>
  <c r="S249" i="5" s="1"/>
  <c r="L249" i="5"/>
  <c r="W249" i="5" s="1"/>
  <c r="H124" i="5"/>
  <c r="S124" i="5" s="1"/>
  <c r="L124" i="5"/>
  <c r="W124" i="5" s="1"/>
  <c r="H29" i="5"/>
  <c r="S29" i="5" s="1"/>
  <c r="L29" i="5"/>
  <c r="W29" i="5" s="1"/>
  <c r="H45" i="5"/>
  <c r="S45" i="5" s="1"/>
  <c r="L45" i="5"/>
  <c r="W45" i="5" s="1"/>
  <c r="H61" i="5"/>
  <c r="S61" i="5" s="1"/>
  <c r="L61" i="5"/>
  <c r="W61" i="5" s="1"/>
  <c r="H77" i="5"/>
  <c r="S77" i="5" s="1"/>
  <c r="L77" i="5"/>
  <c r="W77" i="5" s="1"/>
  <c r="H93" i="5"/>
  <c r="S93" i="5" s="1"/>
  <c r="L93" i="5"/>
  <c r="W93" i="5" s="1"/>
  <c r="H109" i="5"/>
  <c r="S109" i="5" s="1"/>
  <c r="L109" i="5"/>
  <c r="W109" i="5" s="1"/>
  <c r="H125" i="5"/>
  <c r="S125" i="5" s="1"/>
  <c r="L125" i="5"/>
  <c r="W125" i="5" s="1"/>
  <c r="H141" i="5"/>
  <c r="S141" i="5" s="1"/>
  <c r="L141" i="5"/>
  <c r="W141" i="5" s="1"/>
  <c r="H157" i="5"/>
  <c r="S157" i="5" s="1"/>
  <c r="L157" i="5"/>
  <c r="W157" i="5" s="1"/>
  <c r="H173" i="5"/>
  <c r="S173" i="5" s="1"/>
  <c r="L173" i="5"/>
  <c r="W173" i="5" s="1"/>
  <c r="H189" i="5"/>
  <c r="S189" i="5" s="1"/>
  <c r="L189" i="5"/>
  <c r="W189" i="5" s="1"/>
  <c r="H205" i="5"/>
  <c r="S205" i="5" s="1"/>
  <c r="L205" i="5"/>
  <c r="W205" i="5" s="1"/>
  <c r="H221" i="5"/>
  <c r="S221" i="5" s="1"/>
  <c r="L221" i="5"/>
  <c r="W221" i="5" s="1"/>
  <c r="H237" i="5"/>
  <c r="S237" i="5" s="1"/>
  <c r="L237" i="5"/>
  <c r="W237" i="5" s="1"/>
  <c r="H253" i="5"/>
  <c r="S253" i="5" s="1"/>
  <c r="L253" i="5"/>
  <c r="W253" i="5" s="1"/>
  <c r="H269" i="5"/>
  <c r="S269" i="5" s="1"/>
  <c r="L269" i="5"/>
  <c r="W269" i="5" s="1"/>
  <c r="H285" i="5"/>
  <c r="S285" i="5" s="1"/>
  <c r="L285" i="5"/>
  <c r="W285" i="5" s="1"/>
  <c r="H301" i="5"/>
  <c r="S301" i="5" s="1"/>
  <c r="L301" i="5"/>
  <c r="W301" i="5" s="1"/>
  <c r="H135" i="5"/>
  <c r="S135" i="5" s="1"/>
  <c r="L135" i="5"/>
  <c r="W135" i="5" s="1"/>
  <c r="H88" i="5"/>
  <c r="S88" i="5" s="1"/>
  <c r="L88" i="5"/>
  <c r="W88" i="5" s="1"/>
  <c r="H264" i="5"/>
  <c r="S264" i="5" s="1"/>
  <c r="L264" i="5"/>
  <c r="W264" i="5" s="1"/>
  <c r="H105" i="5"/>
  <c r="S105" i="5" s="1"/>
  <c r="L105" i="5"/>
  <c r="W105" i="5" s="1"/>
  <c r="H153" i="5"/>
  <c r="S153" i="5" s="1"/>
  <c r="L153" i="5"/>
  <c r="W153" i="5" s="1"/>
  <c r="H108" i="5"/>
  <c r="S108" i="5" s="1"/>
  <c r="L108" i="5"/>
  <c r="W108" i="5" s="1"/>
  <c r="H13" i="5"/>
  <c r="S13" i="5" s="1"/>
  <c r="L13" i="5"/>
  <c r="W13" i="5" s="1"/>
  <c r="H14" i="5"/>
  <c r="S14" i="5" s="1"/>
  <c r="L14" i="5"/>
  <c r="W14" i="5" s="1"/>
  <c r="H30" i="5"/>
  <c r="S30" i="5" s="1"/>
  <c r="L30" i="5"/>
  <c r="W30" i="5" s="1"/>
  <c r="H46" i="5"/>
  <c r="S46" i="5" s="1"/>
  <c r="L46" i="5"/>
  <c r="W46" i="5" s="1"/>
  <c r="H62" i="5"/>
  <c r="S62" i="5" s="1"/>
  <c r="L62" i="5"/>
  <c r="W62" i="5" s="1"/>
  <c r="L78" i="5"/>
  <c r="H94" i="5"/>
  <c r="S94" i="5" s="1"/>
  <c r="L94" i="5"/>
  <c r="W94" i="5" s="1"/>
  <c r="H110" i="5"/>
  <c r="S110" i="5" s="1"/>
  <c r="L110" i="5"/>
  <c r="W110" i="5" s="1"/>
  <c r="H126" i="5"/>
  <c r="S126" i="5" s="1"/>
  <c r="L126" i="5"/>
  <c r="W126" i="5" s="1"/>
  <c r="H142" i="5"/>
  <c r="S142" i="5" s="1"/>
  <c r="L142" i="5"/>
  <c r="W142" i="5" s="1"/>
  <c r="H158" i="5"/>
  <c r="S158" i="5" s="1"/>
  <c r="L158" i="5"/>
  <c r="W158" i="5" s="1"/>
  <c r="H174" i="5"/>
  <c r="S174" i="5" s="1"/>
  <c r="L174" i="5"/>
  <c r="W174" i="5" s="1"/>
  <c r="H190" i="5"/>
  <c r="S190" i="5" s="1"/>
  <c r="L190" i="5"/>
  <c r="W190" i="5" s="1"/>
  <c r="H206" i="5"/>
  <c r="S206" i="5" s="1"/>
  <c r="L206" i="5"/>
  <c r="W206" i="5" s="1"/>
  <c r="H222" i="5"/>
  <c r="S222" i="5" s="1"/>
  <c r="L222" i="5"/>
  <c r="W222" i="5" s="1"/>
  <c r="H238" i="5"/>
  <c r="S238" i="5" s="1"/>
  <c r="L238" i="5"/>
  <c r="W238" i="5" s="1"/>
  <c r="H254" i="5"/>
  <c r="S254" i="5" s="1"/>
  <c r="L254" i="5"/>
  <c r="W254" i="5" s="1"/>
  <c r="H270" i="5"/>
  <c r="S270" i="5" s="1"/>
  <c r="L270" i="5"/>
  <c r="W270" i="5" s="1"/>
  <c r="H286" i="5"/>
  <c r="S286" i="5" s="1"/>
  <c r="L286" i="5"/>
  <c r="W286" i="5" s="1"/>
  <c r="H302" i="5"/>
  <c r="S302" i="5" s="1"/>
  <c r="L302" i="5"/>
  <c r="W302" i="5" s="1"/>
  <c r="H119" i="5"/>
  <c r="S119" i="5" s="1"/>
  <c r="L119" i="5"/>
  <c r="W119" i="5" s="1"/>
  <c r="H40" i="5"/>
  <c r="S40" i="5" s="1"/>
  <c r="L40" i="5"/>
  <c r="W40" i="5" s="1"/>
  <c r="H280" i="5"/>
  <c r="S280" i="5" s="1"/>
  <c r="L280" i="5"/>
  <c r="W280" i="5" s="1"/>
  <c r="H89" i="5"/>
  <c r="S89" i="5" s="1"/>
  <c r="L89" i="5"/>
  <c r="W89" i="5" s="1"/>
  <c r="H185" i="5"/>
  <c r="S185" i="5" s="1"/>
  <c r="L185" i="5"/>
  <c r="W185" i="5" s="1"/>
  <c r="H26" i="5"/>
  <c r="S26" i="5" s="1"/>
  <c r="L26" i="5"/>
  <c r="W26" i="5" s="1"/>
  <c r="H47" i="5"/>
  <c r="S47" i="5" s="1"/>
  <c r="L47" i="5"/>
  <c r="W47" i="5" s="1"/>
  <c r="H63" i="5"/>
  <c r="S63" i="5" s="1"/>
  <c r="L63" i="5"/>
  <c r="W63" i="5" s="1"/>
  <c r="H79" i="5"/>
  <c r="S79" i="5" s="1"/>
  <c r="L79" i="5"/>
  <c r="W79" i="5" s="1"/>
  <c r="H95" i="5"/>
  <c r="S95" i="5" s="1"/>
  <c r="L95" i="5"/>
  <c r="W95" i="5" s="1"/>
  <c r="H111" i="5"/>
  <c r="S111" i="5" s="1"/>
  <c r="L111" i="5"/>
  <c r="W111" i="5" s="1"/>
  <c r="H127" i="5"/>
  <c r="S127" i="5" s="1"/>
  <c r="L127" i="5"/>
  <c r="W127" i="5" s="1"/>
  <c r="H143" i="5"/>
  <c r="S143" i="5" s="1"/>
  <c r="L143" i="5"/>
  <c r="W143" i="5" s="1"/>
  <c r="H159" i="5"/>
  <c r="S159" i="5" s="1"/>
  <c r="L159" i="5"/>
  <c r="W159" i="5" s="1"/>
  <c r="H175" i="5"/>
  <c r="S175" i="5" s="1"/>
  <c r="L175" i="5"/>
  <c r="W175" i="5" s="1"/>
  <c r="H191" i="5"/>
  <c r="S191" i="5" s="1"/>
  <c r="L191" i="5"/>
  <c r="W191" i="5" s="1"/>
  <c r="H207" i="5"/>
  <c r="S207" i="5" s="1"/>
  <c r="L207" i="5"/>
  <c r="W207" i="5" s="1"/>
  <c r="H223" i="5"/>
  <c r="S223" i="5" s="1"/>
  <c r="L223" i="5"/>
  <c r="W223" i="5" s="1"/>
  <c r="H239" i="5"/>
  <c r="S239" i="5" s="1"/>
  <c r="L239" i="5"/>
  <c r="W239" i="5" s="1"/>
  <c r="H255" i="5"/>
  <c r="S255" i="5" s="1"/>
  <c r="L255" i="5"/>
  <c r="W255" i="5" s="1"/>
  <c r="H271" i="5"/>
  <c r="S271" i="5" s="1"/>
  <c r="L271" i="5"/>
  <c r="W271" i="5" s="1"/>
  <c r="H287" i="5"/>
  <c r="S287" i="5" s="1"/>
  <c r="L287" i="5"/>
  <c r="W287" i="5" s="1"/>
  <c r="H303" i="5"/>
  <c r="S303" i="5" s="1"/>
  <c r="L303" i="5"/>
  <c r="W303" i="5" s="1"/>
  <c r="H103" i="5"/>
  <c r="S103" i="5" s="1"/>
  <c r="L103" i="5"/>
  <c r="W103" i="5" s="1"/>
  <c r="H232" i="5"/>
  <c r="S232" i="5" s="1"/>
  <c r="L232" i="5"/>
  <c r="W232" i="5" s="1"/>
  <c r="H57" i="5"/>
  <c r="S57" i="5" s="1"/>
  <c r="L57" i="5"/>
  <c r="W57" i="5" s="1"/>
  <c r="H169" i="5"/>
  <c r="S169" i="5" s="1"/>
  <c r="L169" i="5"/>
  <c r="W169" i="5" s="1"/>
  <c r="H42" i="5"/>
  <c r="S42" i="5" s="1"/>
  <c r="L42" i="5"/>
  <c r="W42" i="5" s="1"/>
  <c r="H80" i="5"/>
  <c r="S80" i="5" s="1"/>
  <c r="L80" i="5"/>
  <c r="W80" i="5" s="1"/>
  <c r="H96" i="5"/>
  <c r="S96" i="5" s="1"/>
  <c r="L96" i="5"/>
  <c r="W96" i="5" s="1"/>
  <c r="H112" i="5"/>
  <c r="S112" i="5" s="1"/>
  <c r="L112" i="5"/>
  <c r="W112" i="5" s="1"/>
  <c r="H128" i="5"/>
  <c r="S128" i="5" s="1"/>
  <c r="L128" i="5"/>
  <c r="W128" i="5" s="1"/>
  <c r="H144" i="5"/>
  <c r="S144" i="5" s="1"/>
  <c r="L144" i="5"/>
  <c r="W144" i="5" s="1"/>
  <c r="H160" i="5"/>
  <c r="S160" i="5" s="1"/>
  <c r="L160" i="5"/>
  <c r="W160" i="5" s="1"/>
  <c r="H176" i="5"/>
  <c r="S176" i="5" s="1"/>
  <c r="L176" i="5"/>
  <c r="W176" i="5" s="1"/>
  <c r="H192" i="5"/>
  <c r="S192" i="5" s="1"/>
  <c r="L192" i="5"/>
  <c r="W192" i="5" s="1"/>
  <c r="H208" i="5"/>
  <c r="S208" i="5" s="1"/>
  <c r="L208" i="5"/>
  <c r="W208" i="5" s="1"/>
  <c r="H224" i="5"/>
  <c r="S224" i="5" s="1"/>
  <c r="L224" i="5"/>
  <c r="W224" i="5" s="1"/>
  <c r="H240" i="5"/>
  <c r="S240" i="5" s="1"/>
  <c r="L240" i="5"/>
  <c r="W240" i="5" s="1"/>
  <c r="H256" i="5"/>
  <c r="S256" i="5" s="1"/>
  <c r="L256" i="5"/>
  <c r="W256" i="5" s="1"/>
  <c r="H272" i="5"/>
  <c r="S272" i="5" s="1"/>
  <c r="L272" i="5"/>
  <c r="W272" i="5" s="1"/>
  <c r="H288" i="5"/>
  <c r="S288" i="5" s="1"/>
  <c r="L288" i="5"/>
  <c r="W288" i="5" s="1"/>
  <c r="H304" i="5"/>
  <c r="S304" i="5" s="1"/>
  <c r="L304" i="5"/>
  <c r="W304" i="5" s="1"/>
  <c r="H23" i="5"/>
  <c r="S23" i="5" s="1"/>
  <c r="L23" i="5"/>
  <c r="W23" i="5" s="1"/>
  <c r="H215" i="5"/>
  <c r="S215" i="5" s="1"/>
  <c r="L215" i="5"/>
  <c r="W215" i="5" s="1"/>
  <c r="H56" i="5"/>
  <c r="S56" i="5" s="1"/>
  <c r="L56" i="5"/>
  <c r="W56" i="5" s="1"/>
  <c r="H200" i="5"/>
  <c r="S200" i="5" s="1"/>
  <c r="L200" i="5"/>
  <c r="W200" i="5" s="1"/>
  <c r="H233" i="5"/>
  <c r="S233" i="5" s="1"/>
  <c r="L233" i="5"/>
  <c r="W233" i="5" s="1"/>
  <c r="H60" i="5"/>
  <c r="S60" i="5" s="1"/>
  <c r="L60" i="5"/>
  <c r="W60" i="5" s="1"/>
  <c r="H16" i="5"/>
  <c r="S16" i="5" s="1"/>
  <c r="L16" i="5"/>
  <c r="W16" i="5" s="1"/>
  <c r="H17" i="5"/>
  <c r="S17" i="5" s="1"/>
  <c r="L17" i="5"/>
  <c r="W17" i="5" s="1"/>
  <c r="H33" i="5"/>
  <c r="S33" i="5" s="1"/>
  <c r="L33" i="5"/>
  <c r="W33" i="5" s="1"/>
  <c r="H49" i="5"/>
  <c r="S49" i="5" s="1"/>
  <c r="L49" i="5"/>
  <c r="W49" i="5" s="1"/>
  <c r="H65" i="5"/>
  <c r="S65" i="5" s="1"/>
  <c r="L65" i="5"/>
  <c r="W65" i="5" s="1"/>
  <c r="H81" i="5"/>
  <c r="S81" i="5" s="1"/>
  <c r="L81" i="5"/>
  <c r="W81" i="5" s="1"/>
  <c r="H97" i="5"/>
  <c r="S97" i="5" s="1"/>
  <c r="L97" i="5"/>
  <c r="W97" i="5" s="1"/>
  <c r="H113" i="5"/>
  <c r="S113" i="5" s="1"/>
  <c r="L113" i="5"/>
  <c r="W113" i="5" s="1"/>
  <c r="H129" i="5"/>
  <c r="S129" i="5" s="1"/>
  <c r="L129" i="5"/>
  <c r="W129" i="5" s="1"/>
  <c r="H145" i="5"/>
  <c r="S145" i="5" s="1"/>
  <c r="L145" i="5"/>
  <c r="W145" i="5" s="1"/>
  <c r="H161" i="5"/>
  <c r="S161" i="5" s="1"/>
  <c r="L161" i="5"/>
  <c r="W161" i="5" s="1"/>
  <c r="H177" i="5"/>
  <c r="S177" i="5" s="1"/>
  <c r="L177" i="5"/>
  <c r="W177" i="5" s="1"/>
  <c r="H193" i="5"/>
  <c r="S193" i="5" s="1"/>
  <c r="L193" i="5"/>
  <c r="W193" i="5" s="1"/>
  <c r="H209" i="5"/>
  <c r="S209" i="5" s="1"/>
  <c r="L209" i="5"/>
  <c r="W209" i="5" s="1"/>
  <c r="H225" i="5"/>
  <c r="S225" i="5" s="1"/>
  <c r="L225" i="5"/>
  <c r="W225" i="5" s="1"/>
  <c r="H241" i="5"/>
  <c r="S241" i="5" s="1"/>
  <c r="L241" i="5"/>
  <c r="W241" i="5" s="1"/>
  <c r="H257" i="5"/>
  <c r="S257" i="5" s="1"/>
  <c r="L257" i="5"/>
  <c r="W257" i="5" s="1"/>
  <c r="H273" i="5"/>
  <c r="S273" i="5" s="1"/>
  <c r="L273" i="5"/>
  <c r="W273" i="5" s="1"/>
  <c r="H289" i="5"/>
  <c r="S289" i="5" s="1"/>
  <c r="L289" i="5"/>
  <c r="W289" i="5" s="1"/>
  <c r="H305" i="5"/>
  <c r="S305" i="5" s="1"/>
  <c r="L305" i="5"/>
  <c r="W305" i="5" s="1"/>
  <c r="H295" i="5"/>
  <c r="S295" i="5" s="1"/>
  <c r="L295" i="5"/>
  <c r="W295" i="5" s="1"/>
  <c r="H265" i="5"/>
  <c r="S265" i="5" s="1"/>
  <c r="L265" i="5"/>
  <c r="W265" i="5" s="1"/>
  <c r="H44" i="5"/>
  <c r="S44" i="5" s="1"/>
  <c r="L44" i="5"/>
  <c r="W44" i="5" s="1"/>
  <c r="H31" i="5"/>
  <c r="S31" i="5" s="1"/>
  <c r="L31" i="5"/>
  <c r="W31" i="5" s="1"/>
  <c r="H34" i="5"/>
  <c r="S34" i="5" s="1"/>
  <c r="L34" i="5"/>
  <c r="W34" i="5" s="1"/>
  <c r="H50" i="5"/>
  <c r="S50" i="5" s="1"/>
  <c r="L50" i="5"/>
  <c r="W50" i="5" s="1"/>
  <c r="H66" i="5"/>
  <c r="S66" i="5" s="1"/>
  <c r="L66" i="5"/>
  <c r="W66" i="5" s="1"/>
  <c r="H82" i="5"/>
  <c r="S82" i="5" s="1"/>
  <c r="L82" i="5"/>
  <c r="W82" i="5" s="1"/>
  <c r="H98" i="5"/>
  <c r="S98" i="5" s="1"/>
  <c r="L98" i="5"/>
  <c r="W98" i="5" s="1"/>
  <c r="H114" i="5"/>
  <c r="S114" i="5" s="1"/>
  <c r="L114" i="5"/>
  <c r="W114" i="5" s="1"/>
  <c r="H130" i="5"/>
  <c r="S130" i="5" s="1"/>
  <c r="L130" i="5"/>
  <c r="W130" i="5" s="1"/>
  <c r="H146" i="5"/>
  <c r="S146" i="5" s="1"/>
  <c r="L146" i="5"/>
  <c r="W146" i="5" s="1"/>
  <c r="H162" i="5"/>
  <c r="S162" i="5" s="1"/>
  <c r="L162" i="5"/>
  <c r="W162" i="5" s="1"/>
  <c r="H178" i="5"/>
  <c r="S178" i="5" s="1"/>
  <c r="L178" i="5"/>
  <c r="W178" i="5" s="1"/>
  <c r="H194" i="5"/>
  <c r="S194" i="5" s="1"/>
  <c r="L194" i="5"/>
  <c r="W194" i="5" s="1"/>
  <c r="H210" i="5"/>
  <c r="S210" i="5" s="1"/>
  <c r="L210" i="5"/>
  <c r="W210" i="5" s="1"/>
  <c r="H226" i="5"/>
  <c r="S226" i="5" s="1"/>
  <c r="L226" i="5"/>
  <c r="W226" i="5" s="1"/>
  <c r="H242" i="5"/>
  <c r="S242" i="5" s="1"/>
  <c r="L242" i="5"/>
  <c r="W242" i="5" s="1"/>
  <c r="H258" i="5"/>
  <c r="S258" i="5" s="1"/>
  <c r="L258" i="5"/>
  <c r="W258" i="5" s="1"/>
  <c r="H274" i="5"/>
  <c r="S274" i="5" s="1"/>
  <c r="L274" i="5"/>
  <c r="W274" i="5" s="1"/>
  <c r="H290" i="5"/>
  <c r="S290" i="5" s="1"/>
  <c r="L290" i="5"/>
  <c r="W290" i="5" s="1"/>
  <c r="H306" i="5"/>
  <c r="S306" i="5" s="1"/>
  <c r="L306" i="5"/>
  <c r="W306" i="5" s="1"/>
  <c r="H279" i="5"/>
  <c r="S279" i="5" s="1"/>
  <c r="L279" i="5"/>
  <c r="W279" i="5" s="1"/>
  <c r="H152" i="5"/>
  <c r="S152" i="5" s="1"/>
  <c r="L152" i="5"/>
  <c r="W152" i="5" s="1"/>
  <c r="H28" i="5"/>
  <c r="S28" i="5" s="1"/>
  <c r="L28" i="5"/>
  <c r="W28" i="5" s="1"/>
  <c r="H64" i="5"/>
  <c r="S64" i="5" s="1"/>
  <c r="L64" i="5"/>
  <c r="W64" i="5" s="1"/>
  <c r="H35" i="5"/>
  <c r="S35" i="5" s="1"/>
  <c r="L35" i="5"/>
  <c r="W35" i="5" s="1"/>
  <c r="H51" i="5"/>
  <c r="S51" i="5" s="1"/>
  <c r="L51" i="5"/>
  <c r="W51" i="5" s="1"/>
  <c r="H67" i="5"/>
  <c r="S67" i="5" s="1"/>
  <c r="L67" i="5"/>
  <c r="W67" i="5" s="1"/>
  <c r="H83" i="5"/>
  <c r="S83" i="5" s="1"/>
  <c r="L83" i="5"/>
  <c r="W83" i="5" s="1"/>
  <c r="H99" i="5"/>
  <c r="S99" i="5" s="1"/>
  <c r="L99" i="5"/>
  <c r="W99" i="5" s="1"/>
  <c r="H115" i="5"/>
  <c r="S115" i="5" s="1"/>
  <c r="L115" i="5"/>
  <c r="W115" i="5" s="1"/>
  <c r="H131" i="5"/>
  <c r="S131" i="5" s="1"/>
  <c r="L131" i="5"/>
  <c r="W131" i="5" s="1"/>
  <c r="H147" i="5"/>
  <c r="S147" i="5" s="1"/>
  <c r="L147" i="5"/>
  <c r="W147" i="5" s="1"/>
  <c r="H163" i="5"/>
  <c r="S163" i="5" s="1"/>
  <c r="L163" i="5"/>
  <c r="W163" i="5" s="1"/>
  <c r="H179" i="5"/>
  <c r="S179" i="5" s="1"/>
  <c r="L179" i="5"/>
  <c r="W179" i="5" s="1"/>
  <c r="H195" i="5"/>
  <c r="S195" i="5" s="1"/>
  <c r="L195" i="5"/>
  <c r="W195" i="5" s="1"/>
  <c r="H211" i="5"/>
  <c r="S211" i="5" s="1"/>
  <c r="L211" i="5"/>
  <c r="W211" i="5" s="1"/>
  <c r="H227" i="5"/>
  <c r="S227" i="5" s="1"/>
  <c r="L227" i="5"/>
  <c r="W227" i="5" s="1"/>
  <c r="H243" i="5"/>
  <c r="S243" i="5" s="1"/>
  <c r="L243" i="5"/>
  <c r="W243" i="5" s="1"/>
  <c r="H259" i="5"/>
  <c r="S259" i="5" s="1"/>
  <c r="L259" i="5"/>
  <c r="W259" i="5" s="1"/>
  <c r="H275" i="5"/>
  <c r="S275" i="5" s="1"/>
  <c r="L275" i="5"/>
  <c r="W275" i="5" s="1"/>
  <c r="H291" i="5"/>
  <c r="S291" i="5" s="1"/>
  <c r="L291" i="5"/>
  <c r="W291" i="5" s="1"/>
  <c r="H307" i="5"/>
  <c r="S307" i="5" s="1"/>
  <c r="L307" i="5"/>
  <c r="W307" i="5" s="1"/>
  <c r="H71" i="5"/>
  <c r="S71" i="5" s="1"/>
  <c r="L71" i="5"/>
  <c r="W71" i="5" s="1"/>
  <c r="H263" i="5"/>
  <c r="S263" i="5" s="1"/>
  <c r="L263" i="5"/>
  <c r="W263" i="5" s="1"/>
  <c r="H120" i="5"/>
  <c r="S120" i="5" s="1"/>
  <c r="L120" i="5"/>
  <c r="W120" i="5" s="1"/>
  <c r="H297" i="5"/>
  <c r="S297" i="5" s="1"/>
  <c r="L297" i="5"/>
  <c r="W297" i="5" s="1"/>
  <c r="H12" i="5"/>
  <c r="S12" i="5" s="1"/>
  <c r="L12" i="5"/>
  <c r="W12" i="5" s="1"/>
  <c r="H15" i="5"/>
  <c r="S15" i="5" s="1"/>
  <c r="L15" i="5"/>
  <c r="W15" i="5" s="1"/>
  <c r="H48" i="5"/>
  <c r="S48" i="5" s="1"/>
  <c r="L48" i="5"/>
  <c r="W48" i="5" s="1"/>
  <c r="H18" i="5"/>
  <c r="S18" i="5" s="1"/>
  <c r="L18" i="5"/>
  <c r="W18" i="5" s="1"/>
  <c r="H19" i="5"/>
  <c r="S19" i="5" s="1"/>
  <c r="L19" i="5"/>
  <c r="W19" i="5" s="1"/>
  <c r="H20" i="5"/>
  <c r="S20" i="5" s="1"/>
  <c r="L20" i="5"/>
  <c r="W20" i="5" s="1"/>
  <c r="H36" i="5"/>
  <c r="S36" i="5" s="1"/>
  <c r="L36" i="5"/>
  <c r="W36" i="5" s="1"/>
  <c r="H52" i="5"/>
  <c r="S52" i="5" s="1"/>
  <c r="L52" i="5"/>
  <c r="W52" i="5" s="1"/>
  <c r="H68" i="5"/>
  <c r="S68" i="5" s="1"/>
  <c r="L68" i="5"/>
  <c r="W68" i="5" s="1"/>
  <c r="H84" i="5"/>
  <c r="S84" i="5" s="1"/>
  <c r="L84" i="5"/>
  <c r="W84" i="5" s="1"/>
  <c r="H100" i="5"/>
  <c r="S100" i="5" s="1"/>
  <c r="L100" i="5"/>
  <c r="W100" i="5" s="1"/>
  <c r="H116" i="5"/>
  <c r="S116" i="5" s="1"/>
  <c r="L116" i="5"/>
  <c r="W116" i="5" s="1"/>
  <c r="H132" i="5"/>
  <c r="S132" i="5" s="1"/>
  <c r="L132" i="5"/>
  <c r="W132" i="5" s="1"/>
  <c r="H148" i="5"/>
  <c r="S148" i="5" s="1"/>
  <c r="L148" i="5"/>
  <c r="W148" i="5" s="1"/>
  <c r="H164" i="5"/>
  <c r="S164" i="5" s="1"/>
  <c r="L164" i="5"/>
  <c r="W164" i="5" s="1"/>
  <c r="H180" i="5"/>
  <c r="S180" i="5" s="1"/>
  <c r="L180" i="5"/>
  <c r="W180" i="5" s="1"/>
  <c r="H196" i="5"/>
  <c r="S196" i="5" s="1"/>
  <c r="L196" i="5"/>
  <c r="W196" i="5" s="1"/>
  <c r="H212" i="5"/>
  <c r="S212" i="5" s="1"/>
  <c r="L212" i="5"/>
  <c r="W212" i="5" s="1"/>
  <c r="H228" i="5"/>
  <c r="S228" i="5" s="1"/>
  <c r="L228" i="5"/>
  <c r="W228" i="5" s="1"/>
  <c r="H244" i="5"/>
  <c r="S244" i="5" s="1"/>
  <c r="L244" i="5"/>
  <c r="W244" i="5" s="1"/>
  <c r="H260" i="5"/>
  <c r="S260" i="5" s="1"/>
  <c r="L260" i="5"/>
  <c r="W260" i="5" s="1"/>
  <c r="H276" i="5"/>
  <c r="S276" i="5" s="1"/>
  <c r="L276" i="5"/>
  <c r="W276" i="5" s="1"/>
  <c r="H292" i="5"/>
  <c r="S292" i="5" s="1"/>
  <c r="L292" i="5"/>
  <c r="W292" i="5" s="1"/>
  <c r="H308" i="5"/>
  <c r="S308" i="5" s="1"/>
  <c r="L308" i="5"/>
  <c r="W308" i="5" s="1"/>
  <c r="H39" i="5"/>
  <c r="S39" i="5" s="1"/>
  <c r="L39" i="5"/>
  <c r="W39" i="5" s="1"/>
  <c r="H199" i="5"/>
  <c r="S199" i="5" s="1"/>
  <c r="L199" i="5"/>
  <c r="W199" i="5" s="1"/>
  <c r="H24" i="5"/>
  <c r="S24" i="5" s="1"/>
  <c r="L24" i="5"/>
  <c r="W24" i="5" s="1"/>
  <c r="H168" i="5"/>
  <c r="S168" i="5" s="1"/>
  <c r="L168" i="5"/>
  <c r="W168" i="5" s="1"/>
  <c r="H25" i="5"/>
  <c r="S25" i="5" s="1"/>
  <c r="L25" i="5"/>
  <c r="W25" i="5" s="1"/>
  <c r="H217" i="5"/>
  <c r="S217" i="5" s="1"/>
  <c r="L217" i="5"/>
  <c r="W217" i="5" s="1"/>
  <c r="H76" i="5"/>
  <c r="S76" i="5" s="1"/>
  <c r="L76" i="5"/>
  <c r="W76" i="5" s="1"/>
  <c r="H32" i="5"/>
  <c r="S32" i="5" s="1"/>
  <c r="L32" i="5"/>
  <c r="W32" i="5" s="1"/>
  <c r="H21" i="5"/>
  <c r="S21" i="5" s="1"/>
  <c r="L21" i="5"/>
  <c r="W21" i="5" s="1"/>
  <c r="H37" i="5"/>
  <c r="S37" i="5" s="1"/>
  <c r="L37" i="5"/>
  <c r="W37" i="5" s="1"/>
  <c r="H53" i="5"/>
  <c r="S53" i="5" s="1"/>
  <c r="L53" i="5"/>
  <c r="W53" i="5" s="1"/>
  <c r="H69" i="5"/>
  <c r="S69" i="5" s="1"/>
  <c r="L69" i="5"/>
  <c r="W69" i="5" s="1"/>
  <c r="H85" i="5"/>
  <c r="S85" i="5" s="1"/>
  <c r="L85" i="5"/>
  <c r="W85" i="5" s="1"/>
  <c r="H101" i="5"/>
  <c r="S101" i="5" s="1"/>
  <c r="L101" i="5"/>
  <c r="W101" i="5" s="1"/>
  <c r="H117" i="5"/>
  <c r="S117" i="5" s="1"/>
  <c r="L117" i="5"/>
  <c r="W117" i="5" s="1"/>
  <c r="H133" i="5"/>
  <c r="S133" i="5" s="1"/>
  <c r="L133" i="5"/>
  <c r="W133" i="5" s="1"/>
  <c r="H149" i="5"/>
  <c r="S149" i="5" s="1"/>
  <c r="L149" i="5"/>
  <c r="W149" i="5" s="1"/>
  <c r="H165" i="5"/>
  <c r="S165" i="5" s="1"/>
  <c r="L165" i="5"/>
  <c r="W165" i="5" s="1"/>
  <c r="H181" i="5"/>
  <c r="S181" i="5" s="1"/>
  <c r="L181" i="5"/>
  <c r="W181" i="5" s="1"/>
  <c r="H197" i="5"/>
  <c r="S197" i="5" s="1"/>
  <c r="L197" i="5"/>
  <c r="W197" i="5" s="1"/>
  <c r="H213" i="5"/>
  <c r="S213" i="5" s="1"/>
  <c r="L213" i="5"/>
  <c r="W213" i="5" s="1"/>
  <c r="H229" i="5"/>
  <c r="S229" i="5" s="1"/>
  <c r="L229" i="5"/>
  <c r="W229" i="5" s="1"/>
  <c r="H245" i="5"/>
  <c r="S245" i="5" s="1"/>
  <c r="L245" i="5"/>
  <c r="W245" i="5" s="1"/>
  <c r="H261" i="5"/>
  <c r="S261" i="5" s="1"/>
  <c r="L261" i="5"/>
  <c r="W261" i="5" s="1"/>
  <c r="H277" i="5"/>
  <c r="S277" i="5" s="1"/>
  <c r="L277" i="5"/>
  <c r="W277" i="5" s="1"/>
  <c r="H293" i="5"/>
  <c r="S293" i="5" s="1"/>
  <c r="L293" i="5"/>
  <c r="W293" i="5" s="1"/>
  <c r="H309" i="5"/>
  <c r="S309" i="5" s="1"/>
  <c r="L309" i="5"/>
  <c r="W309" i="5" s="1"/>
  <c r="H231" i="5"/>
  <c r="S231" i="5" s="1"/>
  <c r="L231" i="5"/>
  <c r="W231" i="5" s="1"/>
  <c r="H72" i="5"/>
  <c r="S72" i="5" s="1"/>
  <c r="L72" i="5"/>
  <c r="W72" i="5" s="1"/>
  <c r="H184" i="5"/>
  <c r="S184" i="5" s="1"/>
  <c r="L184" i="5"/>
  <c r="W184" i="5" s="1"/>
  <c r="H41" i="5"/>
  <c r="S41" i="5" s="1"/>
  <c r="L41" i="5"/>
  <c r="W41" i="5" s="1"/>
  <c r="H201" i="5"/>
  <c r="S201" i="5" s="1"/>
  <c r="L201" i="5"/>
  <c r="W201" i="5" s="1"/>
  <c r="H74" i="5"/>
  <c r="S74" i="5" s="1"/>
  <c r="L74" i="5"/>
  <c r="W74" i="5" s="1"/>
  <c r="H22" i="5"/>
  <c r="S22" i="5" s="1"/>
  <c r="L22" i="5"/>
  <c r="W22" i="5" s="1"/>
  <c r="H38" i="5"/>
  <c r="S38" i="5" s="1"/>
  <c r="L38" i="5"/>
  <c r="W38" i="5" s="1"/>
  <c r="H54" i="5"/>
  <c r="S54" i="5" s="1"/>
  <c r="L54" i="5"/>
  <c r="W54" i="5" s="1"/>
  <c r="H70" i="5"/>
  <c r="S70" i="5" s="1"/>
  <c r="L70" i="5"/>
  <c r="W70" i="5" s="1"/>
  <c r="H86" i="5"/>
  <c r="S86" i="5" s="1"/>
  <c r="L86" i="5"/>
  <c r="W86" i="5" s="1"/>
  <c r="H102" i="5"/>
  <c r="S102" i="5" s="1"/>
  <c r="L102" i="5"/>
  <c r="W102" i="5" s="1"/>
  <c r="H118" i="5"/>
  <c r="S118" i="5" s="1"/>
  <c r="L118" i="5"/>
  <c r="W118" i="5" s="1"/>
  <c r="H134" i="5"/>
  <c r="S134" i="5" s="1"/>
  <c r="L134" i="5"/>
  <c r="W134" i="5" s="1"/>
  <c r="H150" i="5"/>
  <c r="S150" i="5" s="1"/>
  <c r="L150" i="5"/>
  <c r="W150" i="5" s="1"/>
  <c r="H166" i="5"/>
  <c r="S166" i="5" s="1"/>
  <c r="L166" i="5"/>
  <c r="W166" i="5" s="1"/>
  <c r="H182" i="5"/>
  <c r="S182" i="5" s="1"/>
  <c r="L182" i="5"/>
  <c r="W182" i="5" s="1"/>
  <c r="H198" i="5"/>
  <c r="S198" i="5" s="1"/>
  <c r="L198" i="5"/>
  <c r="W198" i="5" s="1"/>
  <c r="H214" i="5"/>
  <c r="S214" i="5" s="1"/>
  <c r="L214" i="5"/>
  <c r="W214" i="5" s="1"/>
  <c r="H230" i="5"/>
  <c r="S230" i="5" s="1"/>
  <c r="L230" i="5"/>
  <c r="W230" i="5" s="1"/>
  <c r="H246" i="5"/>
  <c r="S246" i="5" s="1"/>
  <c r="L246" i="5"/>
  <c r="W246" i="5" s="1"/>
  <c r="H262" i="5"/>
  <c r="S262" i="5" s="1"/>
  <c r="L262" i="5"/>
  <c r="W262" i="5" s="1"/>
  <c r="H278" i="5"/>
  <c r="S278" i="5" s="1"/>
  <c r="L278" i="5"/>
  <c r="W278" i="5" s="1"/>
  <c r="H294" i="5"/>
  <c r="S294" i="5" s="1"/>
  <c r="L294" i="5"/>
  <c r="W294" i="5" s="1"/>
  <c r="H10" i="5"/>
  <c r="S10" i="5" s="1"/>
  <c r="I10" i="5"/>
  <c r="T10" i="5" s="1"/>
  <c r="I9" i="5"/>
  <c r="T9" i="5" s="1"/>
  <c r="J9" i="5"/>
  <c r="U9" i="5" s="1"/>
  <c r="H9" i="5"/>
  <c r="V9" i="5"/>
  <c r="I21" i="5"/>
  <c r="T21" i="5" s="1"/>
  <c r="K21" i="5"/>
  <c r="V21" i="5" s="1"/>
  <c r="J21" i="5"/>
  <c r="U21" i="5" s="1"/>
  <c r="I33" i="5"/>
  <c r="T33" i="5" s="1"/>
  <c r="K33" i="5"/>
  <c r="V33" i="5" s="1"/>
  <c r="J33" i="5"/>
  <c r="U33" i="5" s="1"/>
  <c r="I41" i="5"/>
  <c r="T41" i="5" s="1"/>
  <c r="K41" i="5"/>
  <c r="V41" i="5" s="1"/>
  <c r="J41" i="5"/>
  <c r="U41" i="5" s="1"/>
  <c r="I53" i="5"/>
  <c r="T53" i="5" s="1"/>
  <c r="J53" i="5"/>
  <c r="U53" i="5" s="1"/>
  <c r="K53" i="5"/>
  <c r="V53" i="5" s="1"/>
  <c r="I65" i="5"/>
  <c r="T65" i="5" s="1"/>
  <c r="K65" i="5"/>
  <c r="V65" i="5" s="1"/>
  <c r="J65" i="5"/>
  <c r="U65" i="5" s="1"/>
  <c r="I73" i="5"/>
  <c r="T73" i="5" s="1"/>
  <c r="K73" i="5"/>
  <c r="V73" i="5" s="1"/>
  <c r="J73" i="5"/>
  <c r="U73" i="5" s="1"/>
  <c r="I81" i="5"/>
  <c r="T81" i="5" s="1"/>
  <c r="K81" i="5"/>
  <c r="V81" i="5" s="1"/>
  <c r="J81" i="5"/>
  <c r="U81" i="5" s="1"/>
  <c r="I97" i="5"/>
  <c r="T97" i="5" s="1"/>
  <c r="J97" i="5"/>
  <c r="U97" i="5" s="1"/>
  <c r="K97" i="5"/>
  <c r="V97" i="5" s="1"/>
  <c r="I105" i="5"/>
  <c r="T105" i="5" s="1"/>
  <c r="J105" i="5"/>
  <c r="U105" i="5" s="1"/>
  <c r="K105" i="5"/>
  <c r="V105" i="5" s="1"/>
  <c r="I113" i="5"/>
  <c r="T113" i="5" s="1"/>
  <c r="J113" i="5"/>
  <c r="U113" i="5" s="1"/>
  <c r="K113" i="5"/>
  <c r="V113" i="5" s="1"/>
  <c r="I125" i="5"/>
  <c r="T125" i="5" s="1"/>
  <c r="J125" i="5"/>
  <c r="U125" i="5" s="1"/>
  <c r="K125" i="5"/>
  <c r="V125" i="5" s="1"/>
  <c r="K137" i="5"/>
  <c r="V137" i="5" s="1"/>
  <c r="J137" i="5"/>
  <c r="U137" i="5" s="1"/>
  <c r="I137" i="5"/>
  <c r="T137" i="5" s="1"/>
  <c r="K145" i="5"/>
  <c r="V145" i="5" s="1"/>
  <c r="J145" i="5"/>
  <c r="U145" i="5" s="1"/>
  <c r="I145" i="5"/>
  <c r="T145" i="5" s="1"/>
  <c r="K157" i="5"/>
  <c r="V157" i="5" s="1"/>
  <c r="J157" i="5"/>
  <c r="U157" i="5" s="1"/>
  <c r="I157" i="5"/>
  <c r="T157" i="5" s="1"/>
  <c r="K165" i="5"/>
  <c r="V165" i="5" s="1"/>
  <c r="J165" i="5"/>
  <c r="U165" i="5" s="1"/>
  <c r="I165" i="5"/>
  <c r="T165" i="5" s="1"/>
  <c r="K181" i="5"/>
  <c r="V181" i="5" s="1"/>
  <c r="J181" i="5"/>
  <c r="U181" i="5" s="1"/>
  <c r="I181" i="5"/>
  <c r="T181" i="5" s="1"/>
  <c r="K189" i="5"/>
  <c r="V189" i="5" s="1"/>
  <c r="J189" i="5"/>
  <c r="U189" i="5" s="1"/>
  <c r="I189" i="5"/>
  <c r="T189" i="5" s="1"/>
  <c r="K201" i="5"/>
  <c r="V201" i="5" s="1"/>
  <c r="J201" i="5"/>
  <c r="U201" i="5" s="1"/>
  <c r="I201" i="5"/>
  <c r="T201" i="5" s="1"/>
  <c r="K209" i="5"/>
  <c r="V209" i="5" s="1"/>
  <c r="J209" i="5"/>
  <c r="U209" i="5" s="1"/>
  <c r="I209" i="5"/>
  <c r="T209" i="5" s="1"/>
  <c r="K221" i="5"/>
  <c r="V221" i="5" s="1"/>
  <c r="J221" i="5"/>
  <c r="U221" i="5" s="1"/>
  <c r="I221" i="5"/>
  <c r="T221" i="5" s="1"/>
  <c r="K229" i="5"/>
  <c r="V229" i="5" s="1"/>
  <c r="J229" i="5"/>
  <c r="U229" i="5" s="1"/>
  <c r="I229" i="5"/>
  <c r="T229" i="5" s="1"/>
  <c r="K241" i="5"/>
  <c r="V241" i="5" s="1"/>
  <c r="J241" i="5"/>
  <c r="U241" i="5" s="1"/>
  <c r="I241" i="5"/>
  <c r="T241" i="5" s="1"/>
  <c r="K253" i="5"/>
  <c r="V253" i="5" s="1"/>
  <c r="J253" i="5"/>
  <c r="U253" i="5" s="1"/>
  <c r="I253" i="5"/>
  <c r="T253" i="5" s="1"/>
  <c r="K261" i="5"/>
  <c r="V261" i="5" s="1"/>
  <c r="J261" i="5"/>
  <c r="U261" i="5" s="1"/>
  <c r="I261" i="5"/>
  <c r="T261" i="5" s="1"/>
  <c r="J269" i="5"/>
  <c r="U269" i="5" s="1"/>
  <c r="I269" i="5"/>
  <c r="T269" i="5" s="1"/>
  <c r="K269" i="5"/>
  <c r="V269" i="5" s="1"/>
  <c r="J281" i="5"/>
  <c r="U281" i="5" s="1"/>
  <c r="I281" i="5"/>
  <c r="T281" i="5" s="1"/>
  <c r="K281" i="5"/>
  <c r="V281" i="5" s="1"/>
  <c r="I293" i="5"/>
  <c r="T293" i="5" s="1"/>
  <c r="J293" i="5"/>
  <c r="U293" i="5" s="1"/>
  <c r="K293" i="5"/>
  <c r="V293" i="5" s="1"/>
  <c r="I309" i="5"/>
  <c r="T309" i="5" s="1"/>
  <c r="K309" i="5"/>
  <c r="V309" i="5" s="1"/>
  <c r="J309" i="5"/>
  <c r="U309" i="5" s="1"/>
  <c r="I18" i="5"/>
  <c r="T18" i="5" s="1"/>
  <c r="J18" i="5"/>
  <c r="U18" i="5" s="1"/>
  <c r="K18" i="5"/>
  <c r="V18" i="5" s="1"/>
  <c r="I30" i="5"/>
  <c r="T30" i="5" s="1"/>
  <c r="J30" i="5"/>
  <c r="U30" i="5" s="1"/>
  <c r="K30" i="5"/>
  <c r="V30" i="5" s="1"/>
  <c r="I42" i="5"/>
  <c r="T42" i="5" s="1"/>
  <c r="J42" i="5"/>
  <c r="U42" i="5" s="1"/>
  <c r="K42" i="5"/>
  <c r="V42" i="5" s="1"/>
  <c r="I54" i="5"/>
  <c r="T54" i="5" s="1"/>
  <c r="J54" i="5"/>
  <c r="U54" i="5" s="1"/>
  <c r="K54" i="5"/>
  <c r="V54" i="5" s="1"/>
  <c r="I66" i="5"/>
  <c r="T66" i="5" s="1"/>
  <c r="J66" i="5"/>
  <c r="U66" i="5" s="1"/>
  <c r="K66" i="5"/>
  <c r="V66" i="5" s="1"/>
  <c r="I74" i="5"/>
  <c r="T74" i="5" s="1"/>
  <c r="J74" i="5"/>
  <c r="U74" i="5" s="1"/>
  <c r="K74" i="5"/>
  <c r="V74" i="5" s="1"/>
  <c r="I82" i="5"/>
  <c r="T82" i="5" s="1"/>
  <c r="J82" i="5"/>
  <c r="U82" i="5" s="1"/>
  <c r="K82" i="5"/>
  <c r="V82" i="5" s="1"/>
  <c r="I94" i="5"/>
  <c r="T94" i="5" s="1"/>
  <c r="K94" i="5"/>
  <c r="V94" i="5" s="1"/>
  <c r="J94" i="5"/>
  <c r="U94" i="5" s="1"/>
  <c r="I106" i="5"/>
  <c r="T106" i="5" s="1"/>
  <c r="K106" i="5"/>
  <c r="V106" i="5" s="1"/>
  <c r="J106" i="5"/>
  <c r="U106" i="5" s="1"/>
  <c r="I118" i="5"/>
  <c r="T118" i="5" s="1"/>
  <c r="K118" i="5"/>
  <c r="V118" i="5" s="1"/>
  <c r="J118" i="5"/>
  <c r="U118" i="5" s="1"/>
  <c r="I130" i="5"/>
  <c r="T130" i="5" s="1"/>
  <c r="K130" i="5"/>
  <c r="V130" i="5" s="1"/>
  <c r="J130" i="5"/>
  <c r="U130" i="5" s="1"/>
  <c r="K138" i="5"/>
  <c r="V138" i="5" s="1"/>
  <c r="I138" i="5"/>
  <c r="T138" i="5" s="1"/>
  <c r="J138" i="5"/>
  <c r="U138" i="5" s="1"/>
  <c r="K150" i="5"/>
  <c r="V150" i="5" s="1"/>
  <c r="I150" i="5"/>
  <c r="T150" i="5" s="1"/>
  <c r="J150" i="5"/>
  <c r="U150" i="5" s="1"/>
  <c r="K158" i="5"/>
  <c r="V158" i="5" s="1"/>
  <c r="I158" i="5"/>
  <c r="T158" i="5" s="1"/>
  <c r="J158" i="5"/>
  <c r="U158" i="5" s="1"/>
  <c r="K170" i="5"/>
  <c r="V170" i="5" s="1"/>
  <c r="I170" i="5"/>
  <c r="T170" i="5" s="1"/>
  <c r="J170" i="5"/>
  <c r="U170" i="5" s="1"/>
  <c r="K182" i="5"/>
  <c r="V182" i="5" s="1"/>
  <c r="I182" i="5"/>
  <c r="T182" i="5" s="1"/>
  <c r="J182" i="5"/>
  <c r="U182" i="5" s="1"/>
  <c r="K190" i="5"/>
  <c r="V190" i="5" s="1"/>
  <c r="I190" i="5"/>
  <c r="T190" i="5" s="1"/>
  <c r="J190" i="5"/>
  <c r="U190" i="5" s="1"/>
  <c r="K202" i="5"/>
  <c r="V202" i="5" s="1"/>
  <c r="I202" i="5"/>
  <c r="T202" i="5" s="1"/>
  <c r="J202" i="5"/>
  <c r="U202" i="5" s="1"/>
  <c r="K214" i="5"/>
  <c r="V214" i="5" s="1"/>
  <c r="I214" i="5"/>
  <c r="T214" i="5" s="1"/>
  <c r="J214" i="5"/>
  <c r="U214" i="5" s="1"/>
  <c r="K222" i="5"/>
  <c r="V222" i="5" s="1"/>
  <c r="I222" i="5"/>
  <c r="T222" i="5" s="1"/>
  <c r="J222" i="5"/>
  <c r="U222" i="5" s="1"/>
  <c r="K234" i="5"/>
  <c r="V234" i="5" s="1"/>
  <c r="I234" i="5"/>
  <c r="T234" i="5" s="1"/>
  <c r="J234" i="5"/>
  <c r="U234" i="5" s="1"/>
  <c r="K246" i="5"/>
  <c r="V246" i="5" s="1"/>
  <c r="J246" i="5"/>
  <c r="U246" i="5" s="1"/>
  <c r="I246" i="5"/>
  <c r="T246" i="5" s="1"/>
  <c r="K258" i="5"/>
  <c r="V258" i="5" s="1"/>
  <c r="I258" i="5"/>
  <c r="T258" i="5" s="1"/>
  <c r="J258" i="5"/>
  <c r="U258" i="5" s="1"/>
  <c r="J266" i="5"/>
  <c r="U266" i="5" s="1"/>
  <c r="I266" i="5"/>
  <c r="T266" i="5" s="1"/>
  <c r="K266" i="5"/>
  <c r="V266" i="5" s="1"/>
  <c r="J278" i="5"/>
  <c r="U278" i="5" s="1"/>
  <c r="I278" i="5"/>
  <c r="T278" i="5" s="1"/>
  <c r="K278" i="5"/>
  <c r="V278" i="5" s="1"/>
  <c r="I286" i="5"/>
  <c r="T286" i="5" s="1"/>
  <c r="J286" i="5"/>
  <c r="U286" i="5" s="1"/>
  <c r="K286" i="5"/>
  <c r="V286" i="5" s="1"/>
  <c r="I298" i="5"/>
  <c r="T298" i="5" s="1"/>
  <c r="J298" i="5"/>
  <c r="U298" i="5" s="1"/>
  <c r="K298" i="5"/>
  <c r="V298" i="5" s="1"/>
  <c r="I306" i="5"/>
  <c r="T306" i="5" s="1"/>
  <c r="J306" i="5"/>
  <c r="U306" i="5" s="1"/>
  <c r="K306" i="5"/>
  <c r="V306" i="5" s="1"/>
  <c r="I19" i="5"/>
  <c r="T19" i="5" s="1"/>
  <c r="J19" i="5"/>
  <c r="U19" i="5" s="1"/>
  <c r="K19" i="5"/>
  <c r="V19" i="5" s="1"/>
  <c r="I31" i="5"/>
  <c r="T31" i="5" s="1"/>
  <c r="J31" i="5"/>
  <c r="U31" i="5" s="1"/>
  <c r="K31" i="5"/>
  <c r="V31" i="5" s="1"/>
  <c r="I43" i="5"/>
  <c r="T43" i="5" s="1"/>
  <c r="J43" i="5"/>
  <c r="U43" i="5" s="1"/>
  <c r="K43" i="5"/>
  <c r="V43" i="5" s="1"/>
  <c r="I59" i="5"/>
  <c r="T59" i="5" s="1"/>
  <c r="J59" i="5"/>
  <c r="U59" i="5" s="1"/>
  <c r="K59" i="5"/>
  <c r="V59" i="5" s="1"/>
  <c r="I71" i="5"/>
  <c r="T71" i="5" s="1"/>
  <c r="J71" i="5"/>
  <c r="U71" i="5" s="1"/>
  <c r="K71" i="5"/>
  <c r="V71" i="5" s="1"/>
  <c r="I83" i="5"/>
  <c r="T83" i="5" s="1"/>
  <c r="J83" i="5"/>
  <c r="U83" i="5" s="1"/>
  <c r="K83" i="5"/>
  <c r="V83" i="5" s="1"/>
  <c r="I95" i="5"/>
  <c r="T95" i="5" s="1"/>
  <c r="J95" i="5"/>
  <c r="U95" i="5" s="1"/>
  <c r="K95" i="5"/>
  <c r="V95" i="5" s="1"/>
  <c r="I107" i="5"/>
  <c r="T107" i="5" s="1"/>
  <c r="J107" i="5"/>
  <c r="U107" i="5" s="1"/>
  <c r="K107" i="5"/>
  <c r="V107" i="5" s="1"/>
  <c r="I123" i="5"/>
  <c r="T123" i="5" s="1"/>
  <c r="J123" i="5"/>
  <c r="U123" i="5" s="1"/>
  <c r="K123" i="5"/>
  <c r="V123" i="5" s="1"/>
  <c r="I135" i="5"/>
  <c r="T135" i="5" s="1"/>
  <c r="J135" i="5"/>
  <c r="U135" i="5" s="1"/>
  <c r="K135" i="5"/>
  <c r="V135" i="5" s="1"/>
  <c r="K143" i="5"/>
  <c r="V143" i="5" s="1"/>
  <c r="J143" i="5"/>
  <c r="U143" i="5" s="1"/>
  <c r="I143" i="5"/>
  <c r="T143" i="5" s="1"/>
  <c r="K155" i="5"/>
  <c r="V155" i="5" s="1"/>
  <c r="J155" i="5"/>
  <c r="U155" i="5" s="1"/>
  <c r="I155" i="5"/>
  <c r="T155" i="5" s="1"/>
  <c r="K167" i="5"/>
  <c r="V167" i="5" s="1"/>
  <c r="J167" i="5"/>
  <c r="U167" i="5" s="1"/>
  <c r="I167" i="5"/>
  <c r="T167" i="5" s="1"/>
  <c r="K179" i="5"/>
  <c r="V179" i="5" s="1"/>
  <c r="J179" i="5"/>
  <c r="U179" i="5" s="1"/>
  <c r="I179" i="5"/>
  <c r="T179" i="5" s="1"/>
  <c r="K187" i="5"/>
  <c r="V187" i="5" s="1"/>
  <c r="J187" i="5"/>
  <c r="U187" i="5" s="1"/>
  <c r="I187" i="5"/>
  <c r="T187" i="5" s="1"/>
  <c r="K195" i="5"/>
  <c r="V195" i="5" s="1"/>
  <c r="J195" i="5"/>
  <c r="U195" i="5" s="1"/>
  <c r="I195" i="5"/>
  <c r="T195" i="5" s="1"/>
  <c r="K199" i="5"/>
  <c r="V199" i="5" s="1"/>
  <c r="J199" i="5"/>
  <c r="U199" i="5" s="1"/>
  <c r="I199" i="5"/>
  <c r="T199" i="5" s="1"/>
  <c r="K203" i="5"/>
  <c r="V203" i="5" s="1"/>
  <c r="J203" i="5"/>
  <c r="U203" i="5" s="1"/>
  <c r="I203" i="5"/>
  <c r="T203" i="5" s="1"/>
  <c r="K207" i="5"/>
  <c r="V207" i="5" s="1"/>
  <c r="J207" i="5"/>
  <c r="U207" i="5" s="1"/>
  <c r="I207" i="5"/>
  <c r="T207" i="5" s="1"/>
  <c r="K211" i="5"/>
  <c r="V211" i="5" s="1"/>
  <c r="J211" i="5"/>
  <c r="U211" i="5" s="1"/>
  <c r="I211" i="5"/>
  <c r="T211" i="5" s="1"/>
  <c r="K215" i="5"/>
  <c r="V215" i="5" s="1"/>
  <c r="J215" i="5"/>
  <c r="U215" i="5" s="1"/>
  <c r="I215" i="5"/>
  <c r="T215" i="5" s="1"/>
  <c r="K219" i="5"/>
  <c r="V219" i="5" s="1"/>
  <c r="J219" i="5"/>
  <c r="U219" i="5" s="1"/>
  <c r="I219" i="5"/>
  <c r="T219" i="5" s="1"/>
  <c r="K223" i="5"/>
  <c r="V223" i="5" s="1"/>
  <c r="J223" i="5"/>
  <c r="U223" i="5" s="1"/>
  <c r="I223" i="5"/>
  <c r="T223" i="5" s="1"/>
  <c r="K227" i="5"/>
  <c r="V227" i="5" s="1"/>
  <c r="J227" i="5"/>
  <c r="U227" i="5" s="1"/>
  <c r="I227" i="5"/>
  <c r="T227" i="5" s="1"/>
  <c r="K231" i="5"/>
  <c r="V231" i="5" s="1"/>
  <c r="J231" i="5"/>
  <c r="U231" i="5" s="1"/>
  <c r="I231" i="5"/>
  <c r="T231" i="5" s="1"/>
  <c r="K235" i="5"/>
  <c r="V235" i="5" s="1"/>
  <c r="J235" i="5"/>
  <c r="U235" i="5" s="1"/>
  <c r="I235" i="5"/>
  <c r="T235" i="5" s="1"/>
  <c r="K239" i="5"/>
  <c r="V239" i="5" s="1"/>
  <c r="J239" i="5"/>
  <c r="U239" i="5" s="1"/>
  <c r="I239" i="5"/>
  <c r="T239" i="5" s="1"/>
  <c r="K243" i="5"/>
  <c r="V243" i="5" s="1"/>
  <c r="J243" i="5"/>
  <c r="U243" i="5" s="1"/>
  <c r="I243" i="5"/>
  <c r="T243" i="5" s="1"/>
  <c r="K247" i="5"/>
  <c r="V247" i="5" s="1"/>
  <c r="J247" i="5"/>
  <c r="U247" i="5" s="1"/>
  <c r="I247" i="5"/>
  <c r="T247" i="5" s="1"/>
  <c r="K251" i="5"/>
  <c r="V251" i="5" s="1"/>
  <c r="J251" i="5"/>
  <c r="U251" i="5" s="1"/>
  <c r="I251" i="5"/>
  <c r="T251" i="5" s="1"/>
  <c r="K255" i="5"/>
  <c r="V255" i="5" s="1"/>
  <c r="J255" i="5"/>
  <c r="U255" i="5" s="1"/>
  <c r="I255" i="5"/>
  <c r="T255" i="5" s="1"/>
  <c r="K259" i="5"/>
  <c r="V259" i="5" s="1"/>
  <c r="J259" i="5"/>
  <c r="U259" i="5" s="1"/>
  <c r="I259" i="5"/>
  <c r="T259" i="5" s="1"/>
  <c r="J263" i="5"/>
  <c r="U263" i="5" s="1"/>
  <c r="I263" i="5"/>
  <c r="T263" i="5" s="1"/>
  <c r="K263" i="5"/>
  <c r="V263" i="5" s="1"/>
  <c r="J267" i="5"/>
  <c r="U267" i="5" s="1"/>
  <c r="K267" i="5"/>
  <c r="V267" i="5" s="1"/>
  <c r="I267" i="5"/>
  <c r="T267" i="5" s="1"/>
  <c r="J271" i="5"/>
  <c r="U271" i="5" s="1"/>
  <c r="K271" i="5"/>
  <c r="V271" i="5" s="1"/>
  <c r="I271" i="5"/>
  <c r="T271" i="5" s="1"/>
  <c r="J275" i="5"/>
  <c r="U275" i="5" s="1"/>
  <c r="K275" i="5"/>
  <c r="V275" i="5" s="1"/>
  <c r="I275" i="5"/>
  <c r="T275" i="5" s="1"/>
  <c r="J279" i="5"/>
  <c r="U279" i="5" s="1"/>
  <c r="K279" i="5"/>
  <c r="V279" i="5" s="1"/>
  <c r="I279" i="5"/>
  <c r="T279" i="5" s="1"/>
  <c r="J283" i="5"/>
  <c r="U283" i="5" s="1"/>
  <c r="K283" i="5"/>
  <c r="V283" i="5" s="1"/>
  <c r="I283" i="5"/>
  <c r="T283" i="5" s="1"/>
  <c r="I287" i="5"/>
  <c r="T287" i="5" s="1"/>
  <c r="J287" i="5"/>
  <c r="U287" i="5" s="1"/>
  <c r="K287" i="5"/>
  <c r="V287" i="5" s="1"/>
  <c r="I291" i="5"/>
  <c r="T291" i="5" s="1"/>
  <c r="J291" i="5"/>
  <c r="U291" i="5" s="1"/>
  <c r="K291" i="5"/>
  <c r="V291" i="5" s="1"/>
  <c r="I295" i="5"/>
  <c r="T295" i="5" s="1"/>
  <c r="J295" i="5"/>
  <c r="U295" i="5" s="1"/>
  <c r="K295" i="5"/>
  <c r="V295" i="5" s="1"/>
  <c r="I299" i="5"/>
  <c r="T299" i="5" s="1"/>
  <c r="J299" i="5"/>
  <c r="U299" i="5" s="1"/>
  <c r="K299" i="5"/>
  <c r="V299" i="5" s="1"/>
  <c r="I303" i="5"/>
  <c r="T303" i="5" s="1"/>
  <c r="J303" i="5"/>
  <c r="U303" i="5" s="1"/>
  <c r="K303" i="5"/>
  <c r="V303" i="5" s="1"/>
  <c r="I307" i="5"/>
  <c r="T307" i="5" s="1"/>
  <c r="J307" i="5"/>
  <c r="U307" i="5" s="1"/>
  <c r="K307" i="5"/>
  <c r="V307" i="5" s="1"/>
  <c r="I13" i="5"/>
  <c r="T13" i="5" s="1"/>
  <c r="J13" i="5"/>
  <c r="U13" i="5" s="1"/>
  <c r="K13" i="5"/>
  <c r="V13" i="5" s="1"/>
  <c r="I17" i="5"/>
  <c r="T17" i="5" s="1"/>
  <c r="K17" i="5"/>
  <c r="V17" i="5" s="1"/>
  <c r="J17" i="5"/>
  <c r="U17" i="5" s="1"/>
  <c r="I25" i="5"/>
  <c r="T25" i="5" s="1"/>
  <c r="K25" i="5"/>
  <c r="V25" i="5" s="1"/>
  <c r="J25" i="5"/>
  <c r="U25" i="5" s="1"/>
  <c r="I29" i="5"/>
  <c r="T29" i="5" s="1"/>
  <c r="J29" i="5"/>
  <c r="U29" i="5" s="1"/>
  <c r="K29" i="5"/>
  <c r="V29" i="5" s="1"/>
  <c r="I37" i="5"/>
  <c r="T37" i="5" s="1"/>
  <c r="K37" i="5"/>
  <c r="V37" i="5" s="1"/>
  <c r="J37" i="5"/>
  <c r="U37" i="5" s="1"/>
  <c r="I45" i="5"/>
  <c r="T45" i="5" s="1"/>
  <c r="J45" i="5"/>
  <c r="U45" i="5" s="1"/>
  <c r="K45" i="5"/>
  <c r="V45" i="5" s="1"/>
  <c r="I49" i="5"/>
  <c r="T49" i="5" s="1"/>
  <c r="K49" i="5"/>
  <c r="V49" i="5" s="1"/>
  <c r="J49" i="5"/>
  <c r="U49" i="5" s="1"/>
  <c r="I57" i="5"/>
  <c r="T57" i="5" s="1"/>
  <c r="K57" i="5"/>
  <c r="V57" i="5" s="1"/>
  <c r="J57" i="5"/>
  <c r="U57" i="5" s="1"/>
  <c r="I61" i="5"/>
  <c r="T61" i="5" s="1"/>
  <c r="J61" i="5"/>
  <c r="U61" i="5" s="1"/>
  <c r="K61" i="5"/>
  <c r="V61" i="5" s="1"/>
  <c r="I69" i="5"/>
  <c r="T69" i="5" s="1"/>
  <c r="K69" i="5"/>
  <c r="V69" i="5" s="1"/>
  <c r="J69" i="5"/>
  <c r="U69" i="5" s="1"/>
  <c r="I77" i="5"/>
  <c r="T77" i="5" s="1"/>
  <c r="K77" i="5"/>
  <c r="V77" i="5" s="1"/>
  <c r="J77" i="5"/>
  <c r="U77" i="5" s="1"/>
  <c r="I85" i="5"/>
  <c r="T85" i="5" s="1"/>
  <c r="J85" i="5"/>
  <c r="U85" i="5" s="1"/>
  <c r="K85" i="5"/>
  <c r="V85" i="5" s="1"/>
  <c r="K89" i="5"/>
  <c r="V89" i="5" s="1"/>
  <c r="J89" i="5"/>
  <c r="U89" i="5" s="1"/>
  <c r="I89" i="5"/>
  <c r="T89" i="5" s="1"/>
  <c r="K93" i="5"/>
  <c r="V93" i="5" s="1"/>
  <c r="I93" i="5"/>
  <c r="T93" i="5" s="1"/>
  <c r="J93" i="5"/>
  <c r="U93" i="5" s="1"/>
  <c r="I101" i="5"/>
  <c r="T101" i="5" s="1"/>
  <c r="J101" i="5"/>
  <c r="U101" i="5" s="1"/>
  <c r="K101" i="5"/>
  <c r="V101" i="5" s="1"/>
  <c r="I109" i="5"/>
  <c r="T109" i="5" s="1"/>
  <c r="J109" i="5"/>
  <c r="U109" i="5" s="1"/>
  <c r="K109" i="5"/>
  <c r="V109" i="5" s="1"/>
  <c r="I117" i="5"/>
  <c r="T117" i="5" s="1"/>
  <c r="J117" i="5"/>
  <c r="U117" i="5" s="1"/>
  <c r="K117" i="5"/>
  <c r="V117" i="5" s="1"/>
  <c r="I121" i="5"/>
  <c r="T121" i="5" s="1"/>
  <c r="J121" i="5"/>
  <c r="U121" i="5" s="1"/>
  <c r="K121" i="5"/>
  <c r="V121" i="5" s="1"/>
  <c r="I129" i="5"/>
  <c r="T129" i="5" s="1"/>
  <c r="J129" i="5"/>
  <c r="U129" i="5" s="1"/>
  <c r="K129" i="5"/>
  <c r="V129" i="5" s="1"/>
  <c r="I133" i="5"/>
  <c r="T133" i="5" s="1"/>
  <c r="J133" i="5"/>
  <c r="U133" i="5" s="1"/>
  <c r="K133" i="5"/>
  <c r="V133" i="5" s="1"/>
  <c r="K141" i="5"/>
  <c r="V141" i="5" s="1"/>
  <c r="J141" i="5"/>
  <c r="U141" i="5" s="1"/>
  <c r="I141" i="5"/>
  <c r="T141" i="5" s="1"/>
  <c r="K149" i="5"/>
  <c r="V149" i="5" s="1"/>
  <c r="J149" i="5"/>
  <c r="U149" i="5" s="1"/>
  <c r="I149" i="5"/>
  <c r="T149" i="5" s="1"/>
  <c r="K153" i="5"/>
  <c r="V153" i="5" s="1"/>
  <c r="J153" i="5"/>
  <c r="U153" i="5" s="1"/>
  <c r="I153" i="5"/>
  <c r="T153" i="5" s="1"/>
  <c r="K161" i="5"/>
  <c r="V161" i="5" s="1"/>
  <c r="J161" i="5"/>
  <c r="U161" i="5" s="1"/>
  <c r="I161" i="5"/>
  <c r="T161" i="5" s="1"/>
  <c r="K169" i="5"/>
  <c r="V169" i="5" s="1"/>
  <c r="J169" i="5"/>
  <c r="U169" i="5" s="1"/>
  <c r="I169" i="5"/>
  <c r="T169" i="5" s="1"/>
  <c r="K173" i="5"/>
  <c r="V173" i="5" s="1"/>
  <c r="J173" i="5"/>
  <c r="U173" i="5" s="1"/>
  <c r="I173" i="5"/>
  <c r="T173" i="5" s="1"/>
  <c r="K177" i="5"/>
  <c r="V177" i="5" s="1"/>
  <c r="J177" i="5"/>
  <c r="U177" i="5" s="1"/>
  <c r="I177" i="5"/>
  <c r="T177" i="5" s="1"/>
  <c r="K185" i="5"/>
  <c r="V185" i="5" s="1"/>
  <c r="J185" i="5"/>
  <c r="U185" i="5" s="1"/>
  <c r="I185" i="5"/>
  <c r="T185" i="5" s="1"/>
  <c r="K193" i="5"/>
  <c r="V193" i="5" s="1"/>
  <c r="J193" i="5"/>
  <c r="U193" i="5" s="1"/>
  <c r="I193" i="5"/>
  <c r="T193" i="5" s="1"/>
  <c r="K197" i="5"/>
  <c r="V197" i="5" s="1"/>
  <c r="J197" i="5"/>
  <c r="U197" i="5" s="1"/>
  <c r="I197" i="5"/>
  <c r="T197" i="5" s="1"/>
  <c r="K205" i="5"/>
  <c r="V205" i="5" s="1"/>
  <c r="J205" i="5"/>
  <c r="U205" i="5" s="1"/>
  <c r="I205" i="5"/>
  <c r="T205" i="5" s="1"/>
  <c r="K213" i="5"/>
  <c r="V213" i="5" s="1"/>
  <c r="J213" i="5"/>
  <c r="U213" i="5" s="1"/>
  <c r="I213" i="5"/>
  <c r="T213" i="5" s="1"/>
  <c r="K217" i="5"/>
  <c r="V217" i="5" s="1"/>
  <c r="J217" i="5"/>
  <c r="U217" i="5" s="1"/>
  <c r="I217" i="5"/>
  <c r="T217" i="5" s="1"/>
  <c r="K225" i="5"/>
  <c r="V225" i="5" s="1"/>
  <c r="J225" i="5"/>
  <c r="U225" i="5" s="1"/>
  <c r="I225" i="5"/>
  <c r="T225" i="5" s="1"/>
  <c r="K233" i="5"/>
  <c r="V233" i="5" s="1"/>
  <c r="J233" i="5"/>
  <c r="U233" i="5" s="1"/>
  <c r="I233" i="5"/>
  <c r="T233" i="5" s="1"/>
  <c r="K237" i="5"/>
  <c r="V237" i="5" s="1"/>
  <c r="J237" i="5"/>
  <c r="U237" i="5" s="1"/>
  <c r="I237" i="5"/>
  <c r="T237" i="5" s="1"/>
  <c r="K245" i="5"/>
  <c r="V245" i="5" s="1"/>
  <c r="J245" i="5"/>
  <c r="U245" i="5" s="1"/>
  <c r="I245" i="5"/>
  <c r="T245" i="5" s="1"/>
  <c r="K249" i="5"/>
  <c r="V249" i="5" s="1"/>
  <c r="J249" i="5"/>
  <c r="U249" i="5" s="1"/>
  <c r="I249" i="5"/>
  <c r="T249" i="5" s="1"/>
  <c r="K257" i="5"/>
  <c r="V257" i="5" s="1"/>
  <c r="J257" i="5"/>
  <c r="U257" i="5" s="1"/>
  <c r="I257" i="5"/>
  <c r="T257" i="5" s="1"/>
  <c r="J265" i="5"/>
  <c r="U265" i="5" s="1"/>
  <c r="I265" i="5"/>
  <c r="T265" i="5" s="1"/>
  <c r="K265" i="5"/>
  <c r="V265" i="5" s="1"/>
  <c r="J273" i="5"/>
  <c r="U273" i="5" s="1"/>
  <c r="I273" i="5"/>
  <c r="T273" i="5" s="1"/>
  <c r="K273" i="5"/>
  <c r="V273" i="5" s="1"/>
  <c r="J277" i="5"/>
  <c r="U277" i="5" s="1"/>
  <c r="I277" i="5"/>
  <c r="T277" i="5" s="1"/>
  <c r="K277" i="5"/>
  <c r="V277" i="5" s="1"/>
  <c r="I285" i="5"/>
  <c r="T285" i="5" s="1"/>
  <c r="J285" i="5"/>
  <c r="U285" i="5" s="1"/>
  <c r="K285" i="5"/>
  <c r="V285" i="5" s="1"/>
  <c r="I289" i="5"/>
  <c r="T289" i="5" s="1"/>
  <c r="J289" i="5"/>
  <c r="U289" i="5" s="1"/>
  <c r="K289" i="5"/>
  <c r="V289" i="5" s="1"/>
  <c r="I297" i="5"/>
  <c r="T297" i="5" s="1"/>
  <c r="J297" i="5"/>
  <c r="U297" i="5" s="1"/>
  <c r="K297" i="5"/>
  <c r="V297" i="5" s="1"/>
  <c r="I301" i="5"/>
  <c r="T301" i="5" s="1"/>
  <c r="J301" i="5"/>
  <c r="U301" i="5" s="1"/>
  <c r="K301" i="5"/>
  <c r="V301" i="5" s="1"/>
  <c r="I305" i="5"/>
  <c r="T305" i="5" s="1"/>
  <c r="J305" i="5"/>
  <c r="U305" i="5" s="1"/>
  <c r="K305" i="5"/>
  <c r="V305" i="5" s="1"/>
  <c r="J10" i="5"/>
  <c r="U10" i="5" s="1"/>
  <c r="K10" i="5"/>
  <c r="V10" i="5" s="1"/>
  <c r="I14" i="5"/>
  <c r="T14" i="5" s="1"/>
  <c r="J14" i="5"/>
  <c r="U14" i="5" s="1"/>
  <c r="K14" i="5"/>
  <c r="V14" i="5" s="1"/>
  <c r="I22" i="5"/>
  <c r="T22" i="5" s="1"/>
  <c r="J22" i="5"/>
  <c r="U22" i="5" s="1"/>
  <c r="K22" i="5"/>
  <c r="V22" i="5" s="1"/>
  <c r="I26" i="5"/>
  <c r="T26" i="5" s="1"/>
  <c r="J26" i="5"/>
  <c r="U26" i="5" s="1"/>
  <c r="K26" i="5"/>
  <c r="V26" i="5" s="1"/>
  <c r="I34" i="5"/>
  <c r="T34" i="5" s="1"/>
  <c r="J34" i="5"/>
  <c r="U34" i="5" s="1"/>
  <c r="K34" i="5"/>
  <c r="V34" i="5" s="1"/>
  <c r="I38" i="5"/>
  <c r="T38" i="5" s="1"/>
  <c r="J38" i="5"/>
  <c r="U38" i="5" s="1"/>
  <c r="K38" i="5"/>
  <c r="V38" i="5" s="1"/>
  <c r="I46" i="5"/>
  <c r="T46" i="5" s="1"/>
  <c r="J46" i="5"/>
  <c r="U46" i="5" s="1"/>
  <c r="K46" i="5"/>
  <c r="V46" i="5" s="1"/>
  <c r="I50" i="5"/>
  <c r="T50" i="5" s="1"/>
  <c r="J50" i="5"/>
  <c r="U50" i="5" s="1"/>
  <c r="K50" i="5"/>
  <c r="V50" i="5" s="1"/>
  <c r="I58" i="5"/>
  <c r="T58" i="5" s="1"/>
  <c r="J58" i="5"/>
  <c r="U58" i="5" s="1"/>
  <c r="K58" i="5"/>
  <c r="V58" i="5" s="1"/>
  <c r="I62" i="5"/>
  <c r="T62" i="5" s="1"/>
  <c r="J62" i="5"/>
  <c r="U62" i="5" s="1"/>
  <c r="K62" i="5"/>
  <c r="V62" i="5" s="1"/>
  <c r="I70" i="5"/>
  <c r="T70" i="5" s="1"/>
  <c r="J70" i="5"/>
  <c r="U70" i="5" s="1"/>
  <c r="K70" i="5"/>
  <c r="V70" i="5" s="1"/>
  <c r="I78" i="5"/>
  <c r="T78" i="5" s="1"/>
  <c r="J78" i="5"/>
  <c r="U78" i="5" s="1"/>
  <c r="K78" i="5"/>
  <c r="I86" i="5"/>
  <c r="T86" i="5" s="1"/>
  <c r="J86" i="5"/>
  <c r="U86" i="5" s="1"/>
  <c r="K86" i="5"/>
  <c r="V86" i="5" s="1"/>
  <c r="I90" i="5"/>
  <c r="T90" i="5" s="1"/>
  <c r="J90" i="5"/>
  <c r="U90" i="5" s="1"/>
  <c r="K90" i="5"/>
  <c r="V90" i="5" s="1"/>
  <c r="I98" i="5"/>
  <c r="T98" i="5" s="1"/>
  <c r="K98" i="5"/>
  <c r="V98" i="5" s="1"/>
  <c r="J98" i="5"/>
  <c r="U98" i="5" s="1"/>
  <c r="I102" i="5"/>
  <c r="T102" i="5" s="1"/>
  <c r="K102" i="5"/>
  <c r="V102" i="5" s="1"/>
  <c r="J102" i="5"/>
  <c r="U102" i="5" s="1"/>
  <c r="I110" i="5"/>
  <c r="T110" i="5" s="1"/>
  <c r="K110" i="5"/>
  <c r="V110" i="5" s="1"/>
  <c r="J110" i="5"/>
  <c r="U110" i="5" s="1"/>
  <c r="I114" i="5"/>
  <c r="T114" i="5" s="1"/>
  <c r="K114" i="5"/>
  <c r="V114" i="5" s="1"/>
  <c r="J114" i="5"/>
  <c r="U114" i="5" s="1"/>
  <c r="I122" i="5"/>
  <c r="T122" i="5" s="1"/>
  <c r="K122" i="5"/>
  <c r="V122" i="5" s="1"/>
  <c r="J122" i="5"/>
  <c r="U122" i="5" s="1"/>
  <c r="I126" i="5"/>
  <c r="T126" i="5" s="1"/>
  <c r="K126" i="5"/>
  <c r="V126" i="5" s="1"/>
  <c r="J126" i="5"/>
  <c r="U126" i="5" s="1"/>
  <c r="I134" i="5"/>
  <c r="T134" i="5" s="1"/>
  <c r="K134" i="5"/>
  <c r="V134" i="5" s="1"/>
  <c r="J134" i="5"/>
  <c r="U134" i="5" s="1"/>
  <c r="K142" i="5"/>
  <c r="V142" i="5" s="1"/>
  <c r="J142" i="5"/>
  <c r="U142" i="5" s="1"/>
  <c r="I142" i="5"/>
  <c r="T142" i="5" s="1"/>
  <c r="K146" i="5"/>
  <c r="V146" i="5" s="1"/>
  <c r="I146" i="5"/>
  <c r="T146" i="5" s="1"/>
  <c r="J146" i="5"/>
  <c r="U146" i="5" s="1"/>
  <c r="K154" i="5"/>
  <c r="V154" i="5" s="1"/>
  <c r="I154" i="5"/>
  <c r="T154" i="5" s="1"/>
  <c r="J154" i="5"/>
  <c r="U154" i="5" s="1"/>
  <c r="K162" i="5"/>
  <c r="V162" i="5" s="1"/>
  <c r="I162" i="5"/>
  <c r="T162" i="5" s="1"/>
  <c r="J162" i="5"/>
  <c r="U162" i="5" s="1"/>
  <c r="K166" i="5"/>
  <c r="V166" i="5" s="1"/>
  <c r="I166" i="5"/>
  <c r="T166" i="5" s="1"/>
  <c r="J166" i="5"/>
  <c r="U166" i="5" s="1"/>
  <c r="K174" i="5"/>
  <c r="V174" i="5" s="1"/>
  <c r="J174" i="5"/>
  <c r="U174" i="5" s="1"/>
  <c r="I174" i="5"/>
  <c r="T174" i="5" s="1"/>
  <c r="K178" i="5"/>
  <c r="V178" i="5" s="1"/>
  <c r="I178" i="5"/>
  <c r="T178" i="5" s="1"/>
  <c r="J178" i="5"/>
  <c r="U178" i="5" s="1"/>
  <c r="K186" i="5"/>
  <c r="V186" i="5" s="1"/>
  <c r="I186" i="5"/>
  <c r="T186" i="5" s="1"/>
  <c r="J186" i="5"/>
  <c r="U186" i="5" s="1"/>
  <c r="K194" i="5"/>
  <c r="V194" i="5" s="1"/>
  <c r="I194" i="5"/>
  <c r="T194" i="5" s="1"/>
  <c r="J194" i="5"/>
  <c r="U194" i="5" s="1"/>
  <c r="K198" i="5"/>
  <c r="V198" i="5" s="1"/>
  <c r="I198" i="5"/>
  <c r="T198" i="5" s="1"/>
  <c r="J198" i="5"/>
  <c r="U198" i="5" s="1"/>
  <c r="K206" i="5"/>
  <c r="V206" i="5" s="1"/>
  <c r="J206" i="5"/>
  <c r="U206" i="5" s="1"/>
  <c r="I206" i="5"/>
  <c r="T206" i="5" s="1"/>
  <c r="K210" i="5"/>
  <c r="V210" i="5" s="1"/>
  <c r="I210" i="5"/>
  <c r="T210" i="5" s="1"/>
  <c r="J210" i="5"/>
  <c r="U210" i="5" s="1"/>
  <c r="K218" i="5"/>
  <c r="V218" i="5" s="1"/>
  <c r="I218" i="5"/>
  <c r="T218" i="5" s="1"/>
  <c r="J218" i="5"/>
  <c r="U218" i="5" s="1"/>
  <c r="K226" i="5"/>
  <c r="V226" i="5" s="1"/>
  <c r="I226" i="5"/>
  <c r="T226" i="5" s="1"/>
  <c r="J226" i="5"/>
  <c r="U226" i="5" s="1"/>
  <c r="K230" i="5"/>
  <c r="V230" i="5" s="1"/>
  <c r="I230" i="5"/>
  <c r="T230" i="5" s="1"/>
  <c r="J230" i="5"/>
  <c r="U230" i="5" s="1"/>
  <c r="K238" i="5"/>
  <c r="V238" i="5" s="1"/>
  <c r="J238" i="5"/>
  <c r="U238" i="5" s="1"/>
  <c r="I238" i="5"/>
  <c r="T238" i="5" s="1"/>
  <c r="K242" i="5"/>
  <c r="V242" i="5" s="1"/>
  <c r="I242" i="5"/>
  <c r="T242" i="5" s="1"/>
  <c r="J242" i="5"/>
  <c r="U242" i="5" s="1"/>
  <c r="K250" i="5"/>
  <c r="V250" i="5" s="1"/>
  <c r="I250" i="5"/>
  <c r="T250" i="5" s="1"/>
  <c r="J250" i="5"/>
  <c r="U250" i="5" s="1"/>
  <c r="K254" i="5"/>
  <c r="V254" i="5" s="1"/>
  <c r="I254" i="5"/>
  <c r="T254" i="5" s="1"/>
  <c r="J254" i="5"/>
  <c r="U254" i="5" s="1"/>
  <c r="K262" i="5"/>
  <c r="V262" i="5" s="1"/>
  <c r="I262" i="5"/>
  <c r="T262" i="5" s="1"/>
  <c r="J262" i="5"/>
  <c r="U262" i="5" s="1"/>
  <c r="J270" i="5"/>
  <c r="U270" i="5" s="1"/>
  <c r="I270" i="5"/>
  <c r="T270" i="5" s="1"/>
  <c r="K270" i="5"/>
  <c r="V270" i="5" s="1"/>
  <c r="J274" i="5"/>
  <c r="U274" i="5" s="1"/>
  <c r="I274" i="5"/>
  <c r="T274" i="5" s="1"/>
  <c r="K274" i="5"/>
  <c r="V274" i="5" s="1"/>
  <c r="J282" i="5"/>
  <c r="U282" i="5" s="1"/>
  <c r="I282" i="5"/>
  <c r="T282" i="5" s="1"/>
  <c r="K282" i="5"/>
  <c r="V282" i="5" s="1"/>
  <c r="I290" i="5"/>
  <c r="T290" i="5" s="1"/>
  <c r="J290" i="5"/>
  <c r="U290" i="5" s="1"/>
  <c r="K290" i="5"/>
  <c r="V290" i="5" s="1"/>
  <c r="I294" i="5"/>
  <c r="T294" i="5" s="1"/>
  <c r="K294" i="5"/>
  <c r="V294" i="5" s="1"/>
  <c r="J294" i="5"/>
  <c r="U294" i="5" s="1"/>
  <c r="I302" i="5"/>
  <c r="T302" i="5" s="1"/>
  <c r="J302" i="5"/>
  <c r="U302" i="5" s="1"/>
  <c r="K302" i="5"/>
  <c r="V302" i="5" s="1"/>
  <c r="I11" i="5"/>
  <c r="T11" i="5" s="1"/>
  <c r="J11" i="5"/>
  <c r="U11" i="5" s="1"/>
  <c r="K11" i="5"/>
  <c r="V11" i="5" s="1"/>
  <c r="I15" i="5"/>
  <c r="T15" i="5" s="1"/>
  <c r="J15" i="5"/>
  <c r="U15" i="5" s="1"/>
  <c r="K15" i="5"/>
  <c r="V15" i="5" s="1"/>
  <c r="I23" i="5"/>
  <c r="T23" i="5" s="1"/>
  <c r="J23" i="5"/>
  <c r="U23" i="5" s="1"/>
  <c r="K23" i="5"/>
  <c r="V23" i="5" s="1"/>
  <c r="I27" i="5"/>
  <c r="T27" i="5" s="1"/>
  <c r="J27" i="5"/>
  <c r="U27" i="5" s="1"/>
  <c r="K27" i="5"/>
  <c r="V27" i="5" s="1"/>
  <c r="I35" i="5"/>
  <c r="T35" i="5" s="1"/>
  <c r="J35" i="5"/>
  <c r="U35" i="5" s="1"/>
  <c r="K35" i="5"/>
  <c r="V35" i="5" s="1"/>
  <c r="I39" i="5"/>
  <c r="T39" i="5" s="1"/>
  <c r="J39" i="5"/>
  <c r="U39" i="5" s="1"/>
  <c r="K39" i="5"/>
  <c r="V39" i="5" s="1"/>
  <c r="I47" i="5"/>
  <c r="T47" i="5" s="1"/>
  <c r="J47" i="5"/>
  <c r="U47" i="5" s="1"/>
  <c r="K47" i="5"/>
  <c r="V47" i="5" s="1"/>
  <c r="I51" i="5"/>
  <c r="T51" i="5" s="1"/>
  <c r="J51" i="5"/>
  <c r="U51" i="5" s="1"/>
  <c r="K51" i="5"/>
  <c r="V51" i="5" s="1"/>
  <c r="I55" i="5"/>
  <c r="T55" i="5" s="1"/>
  <c r="J55" i="5"/>
  <c r="U55" i="5" s="1"/>
  <c r="K55" i="5"/>
  <c r="V55" i="5" s="1"/>
  <c r="I63" i="5"/>
  <c r="T63" i="5" s="1"/>
  <c r="J63" i="5"/>
  <c r="U63" i="5" s="1"/>
  <c r="K63" i="5"/>
  <c r="V63" i="5" s="1"/>
  <c r="I67" i="5"/>
  <c r="T67" i="5" s="1"/>
  <c r="J67" i="5"/>
  <c r="U67" i="5" s="1"/>
  <c r="K67" i="5"/>
  <c r="V67" i="5" s="1"/>
  <c r="I75" i="5"/>
  <c r="T75" i="5" s="1"/>
  <c r="J75" i="5"/>
  <c r="U75" i="5" s="1"/>
  <c r="K75" i="5"/>
  <c r="V75" i="5" s="1"/>
  <c r="I79" i="5"/>
  <c r="T79" i="5" s="1"/>
  <c r="J79" i="5"/>
  <c r="U79" i="5" s="1"/>
  <c r="K79" i="5"/>
  <c r="V79" i="5" s="1"/>
  <c r="I87" i="5"/>
  <c r="T87" i="5" s="1"/>
  <c r="J87" i="5"/>
  <c r="U87" i="5" s="1"/>
  <c r="K87" i="5"/>
  <c r="V87" i="5" s="1"/>
  <c r="I91" i="5"/>
  <c r="T91" i="5" s="1"/>
  <c r="J91" i="5"/>
  <c r="U91" i="5" s="1"/>
  <c r="K91" i="5"/>
  <c r="V91" i="5" s="1"/>
  <c r="I99" i="5"/>
  <c r="T99" i="5" s="1"/>
  <c r="J99" i="5"/>
  <c r="U99" i="5" s="1"/>
  <c r="K99" i="5"/>
  <c r="V99" i="5" s="1"/>
  <c r="I103" i="5"/>
  <c r="T103" i="5" s="1"/>
  <c r="J103" i="5"/>
  <c r="U103" i="5" s="1"/>
  <c r="K103" i="5"/>
  <c r="V103" i="5" s="1"/>
  <c r="I111" i="5"/>
  <c r="T111" i="5" s="1"/>
  <c r="J111" i="5"/>
  <c r="U111" i="5" s="1"/>
  <c r="K111" i="5"/>
  <c r="V111" i="5" s="1"/>
  <c r="I115" i="5"/>
  <c r="T115" i="5" s="1"/>
  <c r="J115" i="5"/>
  <c r="U115" i="5" s="1"/>
  <c r="K115" i="5"/>
  <c r="V115" i="5" s="1"/>
  <c r="I119" i="5"/>
  <c r="T119" i="5" s="1"/>
  <c r="J119" i="5"/>
  <c r="U119" i="5" s="1"/>
  <c r="K119" i="5"/>
  <c r="V119" i="5" s="1"/>
  <c r="I127" i="5"/>
  <c r="T127" i="5" s="1"/>
  <c r="J127" i="5"/>
  <c r="U127" i="5" s="1"/>
  <c r="K127" i="5"/>
  <c r="V127" i="5" s="1"/>
  <c r="I131" i="5"/>
  <c r="T131" i="5" s="1"/>
  <c r="J131" i="5"/>
  <c r="U131" i="5" s="1"/>
  <c r="K131" i="5"/>
  <c r="V131" i="5" s="1"/>
  <c r="K139" i="5"/>
  <c r="V139" i="5" s="1"/>
  <c r="J139" i="5"/>
  <c r="U139" i="5" s="1"/>
  <c r="I139" i="5"/>
  <c r="T139" i="5" s="1"/>
  <c r="K147" i="5"/>
  <c r="V147" i="5" s="1"/>
  <c r="J147" i="5"/>
  <c r="U147" i="5" s="1"/>
  <c r="I147" i="5"/>
  <c r="T147" i="5" s="1"/>
  <c r="K151" i="5"/>
  <c r="V151" i="5" s="1"/>
  <c r="J151" i="5"/>
  <c r="U151" i="5" s="1"/>
  <c r="I151" i="5"/>
  <c r="T151" i="5" s="1"/>
  <c r="K159" i="5"/>
  <c r="V159" i="5" s="1"/>
  <c r="J159" i="5"/>
  <c r="U159" i="5" s="1"/>
  <c r="I159" i="5"/>
  <c r="T159" i="5" s="1"/>
  <c r="K163" i="5"/>
  <c r="V163" i="5" s="1"/>
  <c r="J163" i="5"/>
  <c r="U163" i="5" s="1"/>
  <c r="I163" i="5"/>
  <c r="T163" i="5" s="1"/>
  <c r="K171" i="5"/>
  <c r="V171" i="5" s="1"/>
  <c r="J171" i="5"/>
  <c r="U171" i="5" s="1"/>
  <c r="I171" i="5"/>
  <c r="T171" i="5" s="1"/>
  <c r="K175" i="5"/>
  <c r="V175" i="5" s="1"/>
  <c r="J175" i="5"/>
  <c r="U175" i="5" s="1"/>
  <c r="I175" i="5"/>
  <c r="T175" i="5" s="1"/>
  <c r="K183" i="5"/>
  <c r="V183" i="5" s="1"/>
  <c r="J183" i="5"/>
  <c r="U183" i="5" s="1"/>
  <c r="I183" i="5"/>
  <c r="T183" i="5" s="1"/>
  <c r="K191" i="5"/>
  <c r="V191" i="5" s="1"/>
  <c r="J191" i="5"/>
  <c r="U191" i="5" s="1"/>
  <c r="I191" i="5"/>
  <c r="T191" i="5" s="1"/>
  <c r="I12" i="5"/>
  <c r="T12" i="5" s="1"/>
  <c r="J12" i="5"/>
  <c r="U12" i="5" s="1"/>
  <c r="K12" i="5"/>
  <c r="V12" i="5" s="1"/>
  <c r="I16" i="5"/>
  <c r="T16" i="5" s="1"/>
  <c r="J16" i="5"/>
  <c r="U16" i="5" s="1"/>
  <c r="K16" i="5"/>
  <c r="V16" i="5" s="1"/>
  <c r="I20" i="5"/>
  <c r="T20" i="5" s="1"/>
  <c r="J20" i="5"/>
  <c r="U20" i="5" s="1"/>
  <c r="K20" i="5"/>
  <c r="V20" i="5" s="1"/>
  <c r="I24" i="5"/>
  <c r="T24" i="5" s="1"/>
  <c r="J24" i="5"/>
  <c r="U24" i="5" s="1"/>
  <c r="K24" i="5"/>
  <c r="V24" i="5" s="1"/>
  <c r="I28" i="5"/>
  <c r="T28" i="5" s="1"/>
  <c r="J28" i="5"/>
  <c r="U28" i="5" s="1"/>
  <c r="K28" i="5"/>
  <c r="V28" i="5" s="1"/>
  <c r="I32" i="5"/>
  <c r="T32" i="5" s="1"/>
  <c r="J32" i="5"/>
  <c r="U32" i="5" s="1"/>
  <c r="K32" i="5"/>
  <c r="V32" i="5" s="1"/>
  <c r="I36" i="5"/>
  <c r="T36" i="5" s="1"/>
  <c r="J36" i="5"/>
  <c r="U36" i="5" s="1"/>
  <c r="K36" i="5"/>
  <c r="V36" i="5" s="1"/>
  <c r="I40" i="5"/>
  <c r="T40" i="5" s="1"/>
  <c r="J40" i="5"/>
  <c r="U40" i="5" s="1"/>
  <c r="K40" i="5"/>
  <c r="V40" i="5" s="1"/>
  <c r="I44" i="5"/>
  <c r="T44" i="5" s="1"/>
  <c r="J44" i="5"/>
  <c r="U44" i="5" s="1"/>
  <c r="K44" i="5"/>
  <c r="V44" i="5" s="1"/>
  <c r="I48" i="5"/>
  <c r="T48" i="5" s="1"/>
  <c r="J48" i="5"/>
  <c r="U48" i="5" s="1"/>
  <c r="K48" i="5"/>
  <c r="V48" i="5" s="1"/>
  <c r="I52" i="5"/>
  <c r="T52" i="5" s="1"/>
  <c r="J52" i="5"/>
  <c r="U52" i="5" s="1"/>
  <c r="K52" i="5"/>
  <c r="V52" i="5" s="1"/>
  <c r="I56" i="5"/>
  <c r="T56" i="5" s="1"/>
  <c r="J56" i="5"/>
  <c r="U56" i="5" s="1"/>
  <c r="K56" i="5"/>
  <c r="V56" i="5" s="1"/>
  <c r="I60" i="5"/>
  <c r="T60" i="5" s="1"/>
  <c r="J60" i="5"/>
  <c r="U60" i="5" s="1"/>
  <c r="K60" i="5"/>
  <c r="V60" i="5" s="1"/>
  <c r="I64" i="5"/>
  <c r="T64" i="5" s="1"/>
  <c r="J64" i="5"/>
  <c r="U64" i="5" s="1"/>
  <c r="K64" i="5"/>
  <c r="V64" i="5" s="1"/>
  <c r="I68" i="5"/>
  <c r="T68" i="5" s="1"/>
  <c r="J68" i="5"/>
  <c r="U68" i="5" s="1"/>
  <c r="K68" i="5"/>
  <c r="V68" i="5" s="1"/>
  <c r="I72" i="5"/>
  <c r="T72" i="5" s="1"/>
  <c r="J72" i="5"/>
  <c r="U72" i="5" s="1"/>
  <c r="K72" i="5"/>
  <c r="V72" i="5" s="1"/>
  <c r="I76" i="5"/>
  <c r="T76" i="5" s="1"/>
  <c r="J76" i="5"/>
  <c r="U76" i="5" s="1"/>
  <c r="K76" i="5"/>
  <c r="V76" i="5" s="1"/>
  <c r="I80" i="5"/>
  <c r="T80" i="5" s="1"/>
  <c r="J80" i="5"/>
  <c r="U80" i="5" s="1"/>
  <c r="K80" i="5"/>
  <c r="V80" i="5" s="1"/>
  <c r="I84" i="5"/>
  <c r="T84" i="5" s="1"/>
  <c r="J84" i="5"/>
  <c r="U84" i="5" s="1"/>
  <c r="K84" i="5"/>
  <c r="V84" i="5" s="1"/>
  <c r="I88" i="5"/>
  <c r="T88" i="5" s="1"/>
  <c r="J88" i="5"/>
  <c r="U88" i="5" s="1"/>
  <c r="K88" i="5"/>
  <c r="V88" i="5" s="1"/>
  <c r="J92" i="5"/>
  <c r="U92" i="5" s="1"/>
  <c r="K92" i="5"/>
  <c r="V92" i="5" s="1"/>
  <c r="I92" i="5"/>
  <c r="T92" i="5" s="1"/>
  <c r="I96" i="5"/>
  <c r="T96" i="5" s="1"/>
  <c r="K96" i="5"/>
  <c r="V96" i="5" s="1"/>
  <c r="J96" i="5"/>
  <c r="U96" i="5" s="1"/>
  <c r="I100" i="5"/>
  <c r="T100" i="5" s="1"/>
  <c r="J100" i="5"/>
  <c r="U100" i="5" s="1"/>
  <c r="K100" i="5"/>
  <c r="V100" i="5" s="1"/>
  <c r="I104" i="5"/>
  <c r="T104" i="5" s="1"/>
  <c r="J104" i="5"/>
  <c r="U104" i="5" s="1"/>
  <c r="K104" i="5"/>
  <c r="V104" i="5" s="1"/>
  <c r="I108" i="5"/>
  <c r="T108" i="5" s="1"/>
  <c r="J108" i="5"/>
  <c r="U108" i="5" s="1"/>
  <c r="K108" i="5"/>
  <c r="V108" i="5" s="1"/>
  <c r="I112" i="5"/>
  <c r="T112" i="5" s="1"/>
  <c r="K112" i="5"/>
  <c r="V112" i="5" s="1"/>
  <c r="J112" i="5"/>
  <c r="U112" i="5" s="1"/>
  <c r="I116" i="5"/>
  <c r="T116" i="5" s="1"/>
  <c r="J116" i="5"/>
  <c r="U116" i="5" s="1"/>
  <c r="K116" i="5"/>
  <c r="V116" i="5" s="1"/>
  <c r="I120" i="5"/>
  <c r="T120" i="5" s="1"/>
  <c r="K120" i="5"/>
  <c r="V120" i="5" s="1"/>
  <c r="J120" i="5"/>
  <c r="U120" i="5" s="1"/>
  <c r="I124" i="5"/>
  <c r="T124" i="5" s="1"/>
  <c r="J124" i="5"/>
  <c r="U124" i="5" s="1"/>
  <c r="K124" i="5"/>
  <c r="V124" i="5" s="1"/>
  <c r="I128" i="5"/>
  <c r="T128" i="5" s="1"/>
  <c r="K128" i="5"/>
  <c r="V128" i="5" s="1"/>
  <c r="J128" i="5"/>
  <c r="U128" i="5" s="1"/>
  <c r="I132" i="5"/>
  <c r="T132" i="5" s="1"/>
  <c r="J132" i="5"/>
  <c r="U132" i="5" s="1"/>
  <c r="K132" i="5"/>
  <c r="V132" i="5" s="1"/>
  <c r="K136" i="5"/>
  <c r="V136" i="5" s="1"/>
  <c r="I136" i="5"/>
  <c r="T136" i="5" s="1"/>
  <c r="J136" i="5"/>
  <c r="U136" i="5" s="1"/>
  <c r="K140" i="5"/>
  <c r="V140" i="5" s="1"/>
  <c r="J140" i="5"/>
  <c r="U140" i="5" s="1"/>
  <c r="I140" i="5"/>
  <c r="T140" i="5" s="1"/>
  <c r="K144" i="5"/>
  <c r="V144" i="5" s="1"/>
  <c r="I144" i="5"/>
  <c r="T144" i="5" s="1"/>
  <c r="J144" i="5"/>
  <c r="U144" i="5" s="1"/>
  <c r="K148" i="5"/>
  <c r="V148" i="5" s="1"/>
  <c r="J148" i="5"/>
  <c r="U148" i="5" s="1"/>
  <c r="I148" i="5"/>
  <c r="T148" i="5" s="1"/>
  <c r="K152" i="5"/>
  <c r="V152" i="5" s="1"/>
  <c r="I152" i="5"/>
  <c r="T152" i="5" s="1"/>
  <c r="J152" i="5"/>
  <c r="U152" i="5" s="1"/>
  <c r="K156" i="5"/>
  <c r="V156" i="5" s="1"/>
  <c r="J156" i="5"/>
  <c r="U156" i="5" s="1"/>
  <c r="I156" i="5"/>
  <c r="T156" i="5" s="1"/>
  <c r="K160" i="5"/>
  <c r="V160" i="5" s="1"/>
  <c r="J160" i="5"/>
  <c r="U160" i="5" s="1"/>
  <c r="I160" i="5"/>
  <c r="T160" i="5" s="1"/>
  <c r="K164" i="5"/>
  <c r="V164" i="5" s="1"/>
  <c r="J164" i="5"/>
  <c r="U164" i="5" s="1"/>
  <c r="I164" i="5"/>
  <c r="T164" i="5" s="1"/>
  <c r="K168" i="5"/>
  <c r="V168" i="5" s="1"/>
  <c r="I168" i="5"/>
  <c r="T168" i="5" s="1"/>
  <c r="J168" i="5"/>
  <c r="U168" i="5" s="1"/>
  <c r="K172" i="5"/>
  <c r="V172" i="5" s="1"/>
  <c r="J172" i="5"/>
  <c r="U172" i="5" s="1"/>
  <c r="I172" i="5"/>
  <c r="T172" i="5" s="1"/>
  <c r="K176" i="5"/>
  <c r="V176" i="5" s="1"/>
  <c r="I176" i="5"/>
  <c r="T176" i="5" s="1"/>
  <c r="J176" i="5"/>
  <c r="U176" i="5" s="1"/>
  <c r="K180" i="5"/>
  <c r="V180" i="5" s="1"/>
  <c r="J180" i="5"/>
  <c r="U180" i="5" s="1"/>
  <c r="I180" i="5"/>
  <c r="T180" i="5" s="1"/>
  <c r="K184" i="5"/>
  <c r="V184" i="5" s="1"/>
  <c r="I184" i="5"/>
  <c r="T184" i="5" s="1"/>
  <c r="J184" i="5"/>
  <c r="U184" i="5" s="1"/>
  <c r="K188" i="5"/>
  <c r="V188" i="5" s="1"/>
  <c r="J188" i="5"/>
  <c r="U188" i="5" s="1"/>
  <c r="I188" i="5"/>
  <c r="T188" i="5" s="1"/>
  <c r="K192" i="5"/>
  <c r="V192" i="5" s="1"/>
  <c r="J192" i="5"/>
  <c r="U192" i="5" s="1"/>
  <c r="I192" i="5"/>
  <c r="T192" i="5" s="1"/>
  <c r="K196" i="5"/>
  <c r="V196" i="5" s="1"/>
  <c r="J196" i="5"/>
  <c r="U196" i="5" s="1"/>
  <c r="I196" i="5"/>
  <c r="T196" i="5" s="1"/>
  <c r="K200" i="5"/>
  <c r="V200" i="5" s="1"/>
  <c r="I200" i="5"/>
  <c r="T200" i="5" s="1"/>
  <c r="J200" i="5"/>
  <c r="U200" i="5" s="1"/>
  <c r="K204" i="5"/>
  <c r="V204" i="5" s="1"/>
  <c r="J204" i="5"/>
  <c r="U204" i="5" s="1"/>
  <c r="I204" i="5"/>
  <c r="T204" i="5" s="1"/>
  <c r="K208" i="5"/>
  <c r="V208" i="5" s="1"/>
  <c r="I208" i="5"/>
  <c r="T208" i="5" s="1"/>
  <c r="J208" i="5"/>
  <c r="U208" i="5" s="1"/>
  <c r="K212" i="5"/>
  <c r="V212" i="5" s="1"/>
  <c r="J212" i="5"/>
  <c r="U212" i="5" s="1"/>
  <c r="I212" i="5"/>
  <c r="T212" i="5" s="1"/>
  <c r="K216" i="5"/>
  <c r="V216" i="5" s="1"/>
  <c r="I216" i="5"/>
  <c r="T216" i="5" s="1"/>
  <c r="J216" i="5"/>
  <c r="U216" i="5" s="1"/>
  <c r="K220" i="5"/>
  <c r="V220" i="5" s="1"/>
  <c r="J220" i="5"/>
  <c r="U220" i="5" s="1"/>
  <c r="I220" i="5"/>
  <c r="T220" i="5" s="1"/>
  <c r="K224" i="5"/>
  <c r="V224" i="5" s="1"/>
  <c r="J224" i="5"/>
  <c r="U224" i="5" s="1"/>
  <c r="I224" i="5"/>
  <c r="T224" i="5" s="1"/>
  <c r="K228" i="5"/>
  <c r="V228" i="5" s="1"/>
  <c r="J228" i="5"/>
  <c r="U228" i="5" s="1"/>
  <c r="I228" i="5"/>
  <c r="T228" i="5" s="1"/>
  <c r="K232" i="5"/>
  <c r="V232" i="5" s="1"/>
  <c r="I232" i="5"/>
  <c r="T232" i="5" s="1"/>
  <c r="J232" i="5"/>
  <c r="U232" i="5" s="1"/>
  <c r="K236" i="5"/>
  <c r="V236" i="5" s="1"/>
  <c r="J236" i="5"/>
  <c r="U236" i="5" s="1"/>
  <c r="I236" i="5"/>
  <c r="T236" i="5" s="1"/>
  <c r="K240" i="5"/>
  <c r="V240" i="5" s="1"/>
  <c r="I240" i="5"/>
  <c r="T240" i="5" s="1"/>
  <c r="J240" i="5"/>
  <c r="U240" i="5" s="1"/>
  <c r="K244" i="5"/>
  <c r="V244" i="5" s="1"/>
  <c r="J244" i="5"/>
  <c r="U244" i="5" s="1"/>
  <c r="I244" i="5"/>
  <c r="T244" i="5" s="1"/>
  <c r="K248" i="5"/>
  <c r="V248" i="5" s="1"/>
  <c r="I248" i="5"/>
  <c r="T248" i="5" s="1"/>
  <c r="J248" i="5"/>
  <c r="U248" i="5" s="1"/>
  <c r="K252" i="5"/>
  <c r="V252" i="5" s="1"/>
  <c r="J252" i="5"/>
  <c r="U252" i="5" s="1"/>
  <c r="I252" i="5"/>
  <c r="T252" i="5" s="1"/>
  <c r="K256" i="5"/>
  <c r="V256" i="5" s="1"/>
  <c r="J256" i="5"/>
  <c r="U256" i="5" s="1"/>
  <c r="I256" i="5"/>
  <c r="T256" i="5" s="1"/>
  <c r="K260" i="5"/>
  <c r="V260" i="5" s="1"/>
  <c r="J260" i="5"/>
  <c r="U260" i="5" s="1"/>
  <c r="I260" i="5"/>
  <c r="T260" i="5" s="1"/>
  <c r="J264" i="5"/>
  <c r="U264" i="5" s="1"/>
  <c r="I264" i="5"/>
  <c r="T264" i="5" s="1"/>
  <c r="K264" i="5"/>
  <c r="V264" i="5" s="1"/>
  <c r="J268" i="5"/>
  <c r="U268" i="5" s="1"/>
  <c r="I268" i="5"/>
  <c r="T268" i="5" s="1"/>
  <c r="K268" i="5"/>
  <c r="V268" i="5" s="1"/>
  <c r="J272" i="5"/>
  <c r="U272" i="5" s="1"/>
  <c r="I272" i="5"/>
  <c r="T272" i="5" s="1"/>
  <c r="K272" i="5"/>
  <c r="V272" i="5" s="1"/>
  <c r="J276" i="5"/>
  <c r="U276" i="5" s="1"/>
  <c r="I276" i="5"/>
  <c r="T276" i="5" s="1"/>
  <c r="K276" i="5"/>
  <c r="V276" i="5" s="1"/>
  <c r="J280" i="5"/>
  <c r="U280" i="5" s="1"/>
  <c r="I280" i="5"/>
  <c r="T280" i="5" s="1"/>
  <c r="K280" i="5"/>
  <c r="V280" i="5" s="1"/>
  <c r="J284" i="5"/>
  <c r="U284" i="5" s="1"/>
  <c r="I284" i="5"/>
  <c r="T284" i="5" s="1"/>
  <c r="K284" i="5"/>
  <c r="V284" i="5" s="1"/>
  <c r="I288" i="5"/>
  <c r="T288" i="5" s="1"/>
  <c r="J288" i="5"/>
  <c r="U288" i="5" s="1"/>
  <c r="K288" i="5"/>
  <c r="V288" i="5" s="1"/>
  <c r="I292" i="5"/>
  <c r="T292" i="5" s="1"/>
  <c r="J292" i="5"/>
  <c r="U292" i="5" s="1"/>
  <c r="K292" i="5"/>
  <c r="V292" i="5" s="1"/>
  <c r="I296" i="5"/>
  <c r="T296" i="5" s="1"/>
  <c r="J296" i="5"/>
  <c r="U296" i="5" s="1"/>
  <c r="K296" i="5"/>
  <c r="V296" i="5" s="1"/>
  <c r="I300" i="5"/>
  <c r="T300" i="5" s="1"/>
  <c r="J300" i="5"/>
  <c r="U300" i="5" s="1"/>
  <c r="K300" i="5"/>
  <c r="V300" i="5" s="1"/>
  <c r="I304" i="5"/>
  <c r="T304" i="5" s="1"/>
  <c r="K304" i="5"/>
  <c r="V304" i="5" s="1"/>
  <c r="J304" i="5"/>
  <c r="U304" i="5" s="1"/>
  <c r="I308" i="5"/>
  <c r="T308" i="5" s="1"/>
  <c r="K308" i="5"/>
  <c r="V308" i="5" s="1"/>
  <c r="J308" i="5"/>
  <c r="U308" i="5" s="1"/>
  <c r="M7" i="5"/>
  <c r="N7" i="5"/>
  <c r="AA78" i="5" l="1"/>
  <c r="AA7" i="5" s="1"/>
  <c r="Z78" i="5"/>
  <c r="Z7" i="5" s="1"/>
  <c r="W78" i="5"/>
  <c r="W9" i="5"/>
  <c r="L7" i="5"/>
  <c r="V78" i="5"/>
  <c r="S7" i="5"/>
  <c r="V7" i="5"/>
  <c r="K7" i="5"/>
  <c r="W7" i="5" l="1"/>
  <c r="U7" i="5"/>
  <c r="T7" i="5" l="1"/>
  <c r="M3" i="1" l="1"/>
  <c r="N3" i="1"/>
  <c r="V3" i="1" l="1"/>
  <c r="K3" i="1"/>
  <c r="L3" i="1"/>
  <c r="J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4" i="1"/>
  <c r="E7" i="5" l="1"/>
  <c r="F7" i="5"/>
  <c r="G7" i="5"/>
  <c r="H7" i="5" l="1"/>
  <c r="J7" i="5" l="1"/>
  <c r="I7" i="5"/>
  <c r="B29" i="3" l="1"/>
  <c r="B29" i="10" s="1"/>
  <c r="V5" i="1" l="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6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4" i="1"/>
  <c r="A1" i="3" l="1"/>
  <c r="D37" i="3" s="1"/>
  <c r="A1" i="10"/>
  <c r="D34" i="3" l="1"/>
  <c r="D34" i="10" s="1"/>
  <c r="E31" i="3"/>
  <c r="E42" i="3" s="1"/>
  <c r="E42" i="10" s="1"/>
  <c r="G37" i="3"/>
  <c r="G43" i="3" s="1"/>
  <c r="G43" i="10" s="1"/>
  <c r="E34" i="3"/>
  <c r="E34" i="10" s="1"/>
  <c r="D31" i="3"/>
  <c r="D31" i="10" s="1"/>
  <c r="F37" i="3"/>
  <c r="F43" i="3" s="1"/>
  <c r="E37" i="3"/>
  <c r="E43" i="3" s="1"/>
  <c r="C71" i="3"/>
  <c r="C58" i="3"/>
  <c r="C68" i="3" s="1"/>
  <c r="C34" i="3"/>
  <c r="C34" i="10" s="1"/>
  <c r="C60" i="3"/>
  <c r="C21" i="3"/>
  <c r="C32" i="3"/>
  <c r="C32" i="10" s="1"/>
  <c r="C66" i="3"/>
  <c r="C59" i="3"/>
  <c r="C37" i="3"/>
  <c r="C43" i="3" s="1"/>
  <c r="C43" i="10" s="1"/>
  <c r="C35" i="3"/>
  <c r="C35" i="10" s="1"/>
  <c r="C29" i="3"/>
  <c r="B76" i="3"/>
  <c r="A76" i="3" s="1"/>
  <c r="D29" i="3"/>
  <c r="E29" i="3"/>
  <c r="G29" i="3"/>
  <c r="F29" i="3"/>
  <c r="F34" i="3"/>
  <c r="F34" i="10" s="1"/>
  <c r="G34" i="3"/>
  <c r="G34" i="10" s="1"/>
  <c r="C31" i="3"/>
  <c r="G31" i="3"/>
  <c r="F31" i="3"/>
  <c r="D37" i="10"/>
  <c r="D43" i="3"/>
  <c r="D43" i="10" s="1"/>
  <c r="G37" i="10"/>
  <c r="E37" i="10"/>
  <c r="E43" i="10"/>
  <c r="E31" i="10" l="1"/>
  <c r="D42" i="3"/>
  <c r="D42" i="10" s="1"/>
  <c r="F37" i="10"/>
  <c r="E53" i="3"/>
  <c r="G27" i="6"/>
  <c r="E29" i="10"/>
  <c r="E54" i="10" s="1"/>
  <c r="D29" i="10"/>
  <c r="D54" i="10" s="1"/>
  <c r="D55" i="10" s="1"/>
  <c r="D53" i="3"/>
  <c r="E77" i="3"/>
  <c r="G77" i="3"/>
  <c r="C78" i="3"/>
  <c r="D77" i="3"/>
  <c r="F77" i="3"/>
  <c r="C77" i="3"/>
  <c r="C53" i="3"/>
  <c r="C29" i="10"/>
  <c r="C54" i="10" s="1"/>
  <c r="C37" i="10"/>
  <c r="F42" i="3"/>
  <c r="F31" i="10"/>
  <c r="D21" i="3"/>
  <c r="C21" i="10"/>
  <c r="G42" i="3"/>
  <c r="G31" i="10"/>
  <c r="G29" i="10"/>
  <c r="G54" i="10" s="1"/>
  <c r="G55" i="10" s="1"/>
  <c r="G53" i="3"/>
  <c r="C42" i="3"/>
  <c r="C31" i="10"/>
  <c r="C76" i="3"/>
  <c r="C51" i="10"/>
  <c r="F82" i="3"/>
  <c r="F83" i="3" s="1"/>
  <c r="F84" i="3" s="1"/>
  <c r="F29" i="10"/>
  <c r="F54" i="10" s="1"/>
  <c r="F55" i="10" s="1"/>
  <c r="F53" i="3"/>
  <c r="D52" i="10"/>
  <c r="D53" i="10" s="1"/>
  <c r="D56" i="10" s="1"/>
  <c r="D51" i="3"/>
  <c r="D52" i="3" s="1"/>
  <c r="D55" i="3" s="1"/>
  <c r="E52" i="10"/>
  <c r="E53" i="10" s="1"/>
  <c r="E56" i="10" s="1"/>
  <c r="E51" i="3"/>
  <c r="E52" i="3" s="1"/>
  <c r="C82" i="3"/>
  <c r="F43" i="10"/>
  <c r="E55" i="10"/>
  <c r="D44" i="3"/>
  <c r="D44" i="10" s="1"/>
  <c r="E82" i="3"/>
  <c r="E83" i="3" s="1"/>
  <c r="G51" i="3"/>
  <c r="G82" i="3" s="1"/>
  <c r="D82" i="3"/>
  <c r="C52" i="10" l="1"/>
  <c r="C53" i="10" s="1"/>
  <c r="C56" i="10" s="1"/>
  <c r="D83" i="3"/>
  <c r="C55" i="10"/>
  <c r="C83" i="3"/>
  <c r="C84" i="3" s="1"/>
  <c r="C54" i="3"/>
  <c r="C34" i="6" s="1"/>
  <c r="C35" i="6"/>
  <c r="F54" i="3"/>
  <c r="F34" i="6" s="1"/>
  <c r="F35" i="6"/>
  <c r="G54" i="3"/>
  <c r="G34" i="6" s="1"/>
  <c r="G35" i="6"/>
  <c r="D54" i="3"/>
  <c r="D34" i="6" s="1"/>
  <c r="D35" i="6"/>
  <c r="G42" i="10"/>
  <c r="G52" i="10" s="1"/>
  <c r="G53" i="10" s="1"/>
  <c r="G56" i="10" s="1"/>
  <c r="G57" i="10" s="1"/>
  <c r="G58" i="10" s="1"/>
  <c r="F42" i="10"/>
  <c r="F52" i="10" s="1"/>
  <c r="F53" i="10" s="1"/>
  <c r="F56" i="10" s="1"/>
  <c r="F57" i="10" s="1"/>
  <c r="F58" i="10" s="1"/>
  <c r="F51" i="3"/>
  <c r="F52" i="3" s="1"/>
  <c r="F55" i="3" s="1"/>
  <c r="F56" i="3" s="1"/>
  <c r="F57" i="3" s="1"/>
  <c r="F69" i="3" s="1"/>
  <c r="C51" i="3"/>
  <c r="C52" i="3" s="1"/>
  <c r="C55" i="3" s="1"/>
  <c r="C56" i="3" s="1"/>
  <c r="C57" i="3" s="1"/>
  <c r="C42" i="10"/>
  <c r="C44" i="3"/>
  <c r="E21" i="3"/>
  <c r="D21" i="10"/>
  <c r="E35" i="6"/>
  <c r="E54" i="3"/>
  <c r="E34" i="6" s="1"/>
  <c r="D84" i="3"/>
  <c r="D57" i="10"/>
  <c r="D58" i="10" s="1"/>
  <c r="C57" i="10"/>
  <c r="C58" i="10" s="1"/>
  <c r="E57" i="10"/>
  <c r="E58" i="10" s="1"/>
  <c r="E84" i="3"/>
  <c r="D45" i="3"/>
  <c r="D45" i="10" s="1"/>
  <c r="G83" i="3"/>
  <c r="G84" i="3" s="1"/>
  <c r="G52" i="3"/>
  <c r="G55" i="3" s="1"/>
  <c r="G56" i="3" s="1"/>
  <c r="D70" i="3" l="1"/>
  <c r="C69" i="3"/>
  <c r="G70" i="3"/>
  <c r="C45" i="3"/>
  <c r="C44" i="10"/>
  <c r="F21" i="3"/>
  <c r="E21" i="10"/>
  <c r="E44" i="3"/>
  <c r="C72" i="3"/>
  <c r="D46" i="3"/>
  <c r="D47" i="3"/>
  <c r="E55" i="3"/>
  <c r="E56" i="3" s="1"/>
  <c r="E57" i="3" s="1"/>
  <c r="D56" i="3"/>
  <c r="D57" i="3" s="1"/>
  <c r="G57" i="3"/>
  <c r="C46" i="3" l="1"/>
  <c r="C46" i="10" s="1"/>
  <c r="C47" i="3"/>
  <c r="C64" i="3" s="1"/>
  <c r="C45" i="10"/>
  <c r="G21" i="3"/>
  <c r="F21" i="10"/>
  <c r="F44" i="3"/>
  <c r="E45" i="3"/>
  <c r="E44" i="10"/>
  <c r="G69" i="3"/>
  <c r="G72" i="3" s="1"/>
  <c r="D69" i="3"/>
  <c r="E70" i="3"/>
  <c r="F70" i="3"/>
  <c r="F72" i="3" s="1"/>
  <c r="E69" i="3"/>
  <c r="D46" i="10"/>
  <c r="D37" i="6"/>
  <c r="D64" i="3"/>
  <c r="D36" i="6"/>
  <c r="D47" i="10"/>
  <c r="E65" i="3"/>
  <c r="G21" i="10" l="1"/>
  <c r="G44" i="3"/>
  <c r="E47" i="3"/>
  <c r="E45" i="10"/>
  <c r="E46" i="3"/>
  <c r="D65" i="3"/>
  <c r="D67" i="3" s="1"/>
  <c r="C47" i="10"/>
  <c r="C67" i="3"/>
  <c r="C73" i="3" s="1"/>
  <c r="F44" i="10"/>
  <c r="F45" i="3"/>
  <c r="G26" i="6"/>
  <c r="C36" i="6"/>
  <c r="D40" i="6" s="1"/>
  <c r="D64" i="6" s="1"/>
  <c r="C37" i="6"/>
  <c r="E36" i="6" l="1"/>
  <c r="E47" i="10"/>
  <c r="F65" i="3"/>
  <c r="E27" i="6"/>
  <c r="E64" i="3"/>
  <c r="E67" i="3" s="1"/>
  <c r="G44" i="10"/>
  <c r="G45" i="3"/>
  <c r="F47" i="3"/>
  <c r="F45" i="10"/>
  <c r="F46" i="3"/>
  <c r="E37" i="6"/>
  <c r="E46" i="10"/>
  <c r="E72" i="3"/>
  <c r="E73" i="3" s="1"/>
  <c r="D72" i="3"/>
  <c r="D73" i="3" s="1"/>
  <c r="F2" i="4"/>
  <c r="F298" i="4"/>
  <c r="C2" i="4"/>
  <c r="C298" i="4"/>
  <c r="H3" i="1"/>
  <c r="E2" i="4"/>
  <c r="E298" i="4"/>
  <c r="G2" i="4"/>
  <c r="G298" i="4"/>
  <c r="D298" i="4"/>
  <c r="D2" i="4"/>
  <c r="H2" i="4"/>
  <c r="H298" i="4"/>
  <c r="I2" i="4"/>
  <c r="I298" i="4"/>
  <c r="J2" i="4"/>
  <c r="J298" i="4"/>
  <c r="F36" i="6" l="1"/>
  <c r="F47" i="10"/>
  <c r="F64" i="3"/>
  <c r="F67" i="3" s="1"/>
  <c r="F73" i="3" s="1"/>
  <c r="G65" i="3"/>
  <c r="G47" i="3"/>
  <c r="G46" i="3"/>
  <c r="G45" i="10"/>
  <c r="F46" i="10"/>
  <c r="F37" i="6"/>
  <c r="F40" i="6"/>
  <c r="F64" i="6" s="1"/>
  <c r="E40" i="6"/>
  <c r="E64" i="6" s="1"/>
  <c r="G37" i="6" l="1"/>
  <c r="G46" i="10"/>
  <c r="G36" i="6"/>
  <c r="G40" i="6" s="1"/>
  <c r="G64" i="6" s="1"/>
  <c r="G47" i="10"/>
  <c r="G64" i="3"/>
  <c r="G67" i="3" s="1"/>
  <c r="G73" i="3" s="1"/>
</calcChain>
</file>

<file path=xl/sharedStrings.xml><?xml version="1.0" encoding="utf-8"?>
<sst xmlns="http://schemas.openxmlformats.org/spreadsheetml/2006/main" count="3087" uniqueCount="1202">
  <si>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</si>
  <si>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</si>
  <si>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</si>
  <si>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</si>
  <si>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</si>
  <si>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</si>
  <si>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</si>
  <si>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</si>
  <si>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</si>
  <si>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</si>
  <si>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</si>
  <si>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</si>
  <si>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</si>
  <si>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</si>
  <si>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</si>
  <si>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</si>
  <si>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</si>
  <si>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</si>
  <si>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</si>
  <si>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</si>
  <si>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</si>
  <si>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</si>
  <si>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</si>
  <si>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</si>
  <si>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</si>
  <si>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</si>
  <si>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</si>
  <si>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</si>
  <si>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</si>
  <si>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</si>
  <si>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</si>
  <si>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</si>
  <si>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</si>
  <si>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</si>
  <si>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</si>
  <si>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</si>
  <si>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</si>
  <si>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</si>
  <si>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</si>
  <si>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</si>
  <si>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</si>
  <si>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</si>
  <si>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</si>
  <si>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</si>
  <si>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</si>
  <si>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</si>
  <si>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</si>
  <si>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</si>
  <si>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</si>
  <si>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</si>
  <si>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</si>
  <si>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</si>
  <si>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</si>
  <si>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</si>
  <si>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</si>
  <si>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</si>
  <si>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</si>
  <si>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</si>
  <si>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</si>
  <si>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</si>
  <si>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</si>
  <si>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</si>
  <si>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</si>
  <si>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</si>
  <si>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</si>
  <si>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</si>
  <si>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</si>
  <si>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</si>
  <si>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</si>
  <si>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</si>
  <si>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</si>
  <si>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</si>
  <si>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</si>
  <si>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</si>
  <si>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</si>
  <si>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</si>
  <si>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</si>
  <si>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</si>
  <si>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</si>
  <si>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</si>
  <si>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</si>
  <si>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</si>
  <si>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</si>
  <si>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</si>
  <si>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</si>
  <si>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</si>
  <si>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</si>
  <si>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</si>
  <si>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</si>
  <si>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</si>
  <si>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</si>
  <si>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</si>
  <si>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</si>
  <si>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</si>
  <si>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</si>
  <si>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</si>
  <si>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</si>
  <si>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</si>
  <si>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</si>
  <si>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</si>
  <si>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</si>
  <si>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</si>
  <si>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</si>
  <si>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</si>
  <si>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</si>
  <si>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</si>
  <si>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</si>
  <si>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</si>
  <si>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</si>
  <si>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</si>
  <si>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</si>
  <si>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</si>
  <si>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</si>
  <si>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</si>
  <si>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</si>
  <si>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</si>
  <si>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</si>
  <si>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</si>
  <si>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</si>
  <si>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</si>
  <si>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</si>
  <si>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</si>
  <si>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</si>
  <si>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</si>
  <si>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</si>
  <si>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</si>
  <si>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</si>
  <si>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</si>
  <si>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</si>
  <si>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</si>
  <si>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</si>
  <si>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</si>
  <si>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</si>
  <si>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</si>
  <si>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</si>
  <si>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</si>
  <si>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</si>
  <si>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</si>
  <si>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</si>
  <si>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</si>
  <si>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</si>
  <si>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</si>
  <si>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</si>
  <si>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</si>
  <si>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</si>
  <si>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</si>
  <si>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</si>
  <si>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</si>
  <si>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</si>
  <si>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</si>
  <si>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</si>
  <si>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</si>
  <si>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</si>
  <si>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</si>
  <si>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</si>
  <si>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</si>
  <si>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</si>
  <si>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</si>
  <si>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</si>
  <si>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</si>
  <si>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</si>
  <si>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</si>
  <si>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</si>
  <si>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</si>
  <si>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</si>
  <si>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</si>
  <si>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</si>
  <si>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</si>
  <si>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</si>
  <si>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</si>
  <si>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</si>
  <si>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</si>
  <si>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</si>
  <si>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</si>
  <si>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</si>
  <si>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</si>
  <si>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</si>
  <si>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</si>
  <si>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</si>
  <si>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</si>
  <si>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</si>
  <si>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</si>
  <si>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</si>
  <si>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</si>
  <si>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</si>
  <si>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</si>
  <si>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</si>
  <si>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</si>
  <si>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</si>
  <si>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</si>
  <si>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</si>
  <si>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</si>
  <si>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</si>
  <si>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</si>
  <si>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</si>
  <si>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</si>
  <si>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</si>
  <si>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</si>
  <si>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</si>
  <si>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</si>
  <si>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</si>
  <si>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</si>
  <si>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</si>
  <si>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</si>
  <si>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</si>
  <si>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</si>
  <si>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</si>
  <si>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</si>
  <si>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</si>
  <si>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</si>
  <si>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</si>
  <si>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</si>
  <si>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</si>
  <si>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</si>
  <si>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</si>
  <si>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18100</t>
  </si>
  <si>
    <t>BREMERTON</t>
  </si>
  <si>
    <t>18303</t>
  </si>
  <si>
    <t>BAINBRIDGE</t>
  </si>
  <si>
    <t>18400</t>
  </si>
  <si>
    <t>NORTH KITSAP</t>
  </si>
  <si>
    <t>18401</t>
  </si>
  <si>
    <t>CENTRAL KITSAP</t>
  </si>
  <si>
    <t>18402</t>
  </si>
  <si>
    <t>SOUTH KITSAP</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</si>
  <si>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</si>
  <si>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</si>
  <si>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</si>
  <si>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</si>
  <si>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</si>
  <si>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</si>
  <si>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</si>
  <si>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</si>
  <si>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</si>
  <si>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</si>
  <si>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</si>
  <si>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</si>
  <si>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</si>
  <si>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</si>
  <si>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</si>
  <si>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</si>
  <si>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</si>
  <si>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</si>
  <si>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</si>
  <si>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</si>
  <si>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</si>
  <si>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</si>
  <si>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</si>
  <si>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</si>
  <si>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</si>
  <si>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</si>
  <si>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</si>
  <si>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</si>
  <si>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</si>
  <si>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</si>
  <si>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</si>
  <si>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</si>
  <si>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</si>
  <si>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</si>
  <si>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</si>
  <si>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</si>
  <si>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</si>
  <si>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</si>
  <si>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</si>
  <si>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</si>
  <si>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</si>
  <si>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</si>
  <si>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</si>
  <si>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</si>
  <si>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</si>
  <si>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</si>
  <si>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</si>
  <si>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</si>
  <si>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</si>
  <si>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</si>
  <si>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</si>
  <si>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</si>
  <si>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</si>
  <si>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</si>
  <si>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</si>
  <si>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</si>
  <si>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</si>
  <si>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</si>
  <si>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</si>
  <si>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</si>
  <si>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</si>
  <si>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</si>
  <si>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</si>
  <si>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</si>
  <si>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</si>
  <si>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</si>
  <si>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</si>
  <si>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</si>
  <si>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</si>
  <si>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</si>
  <si>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</si>
  <si>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</si>
  <si>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</si>
  <si>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</si>
  <si>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</si>
  <si>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</si>
  <si>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</si>
  <si>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</si>
  <si>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</si>
  <si>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</si>
  <si>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</si>
  <si>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</si>
  <si>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</si>
  <si>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</si>
  <si>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</si>
  <si>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</si>
  <si>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</si>
  <si>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</si>
  <si>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</si>
  <si>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</si>
  <si>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</si>
  <si>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</si>
  <si>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</si>
  <si>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</si>
  <si>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</si>
  <si>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</si>
  <si>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</si>
  <si>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</si>
  <si>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</si>
  <si>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</si>
  <si>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</si>
  <si>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</si>
  <si>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</si>
  <si>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</si>
  <si>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</si>
  <si>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</si>
  <si>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</si>
  <si>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</si>
  <si>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</si>
  <si>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</si>
  <si>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</si>
  <si>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</si>
  <si>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</si>
  <si>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</si>
  <si>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</si>
  <si>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</si>
  <si>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</si>
  <si>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</si>
  <si>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</si>
  <si>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</si>
  <si>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</si>
  <si>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</si>
  <si>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</si>
  <si>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</si>
  <si>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</si>
  <si>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</si>
  <si>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</si>
  <si>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</si>
  <si>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</si>
  <si>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</si>
  <si>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</si>
  <si>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</si>
  <si>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</si>
  <si>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</si>
  <si>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</si>
  <si>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</si>
  <si>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</si>
  <si>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</si>
  <si>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</si>
  <si>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</si>
  <si>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</si>
  <si>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</si>
  <si>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</si>
  <si>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</si>
  <si>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</si>
  <si>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</si>
  <si>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</si>
  <si>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</si>
  <si>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</si>
  <si>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</si>
  <si>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</si>
  <si>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</si>
  <si>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</si>
  <si>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</si>
  <si>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</si>
  <si>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</si>
  <si>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</si>
  <si>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</si>
  <si>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</si>
  <si>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</si>
  <si>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</si>
  <si>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</si>
  <si>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</si>
  <si>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</si>
  <si>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</si>
  <si>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</si>
  <si>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</si>
  <si>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</si>
  <si>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</si>
  <si>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</si>
  <si>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</si>
  <si>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</si>
  <si>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</si>
  <si>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</si>
  <si>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</si>
  <si>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</si>
  <si>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</si>
  <si>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</si>
  <si>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</si>
  <si>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</si>
  <si>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</si>
  <si>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</si>
  <si>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</si>
  <si>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</si>
  <si>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</si>
  <si>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</si>
  <si>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</si>
  <si>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</si>
  <si>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</si>
  <si>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</si>
  <si>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</si>
  <si>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</si>
  <si>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</si>
  <si>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</si>
  <si>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</si>
  <si>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</si>
  <si>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</si>
  <si>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</si>
  <si>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</si>
  <si>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</si>
  <si>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</si>
  <si>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</si>
  <si>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</si>
  <si>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</si>
  <si>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</si>
  <si>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</si>
  <si>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</si>
  <si>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</si>
  <si>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</si>
  <si>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</si>
  <si>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</si>
  <si>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</si>
  <si>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</si>
  <si>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</si>
  <si>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</si>
  <si>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</si>
  <si>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</si>
  <si>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</si>
  <si>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</si>
  <si>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</si>
  <si>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</si>
  <si>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</si>
  <si>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</si>
  <si>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</si>
  <si>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</si>
  <si>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</si>
  <si>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</si>
  <si>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</si>
  <si>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</si>
  <si>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</si>
  <si>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</si>
  <si>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</si>
  <si>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</si>
  <si>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</si>
  <si>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</si>
  <si>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</si>
  <si>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</si>
  <si>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</si>
  <si>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</si>
  <si>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</si>
  <si>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</si>
  <si>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</si>
  <si>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</si>
  <si>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</si>
  <si>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</si>
  <si>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</si>
  <si>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</si>
  <si>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</si>
  <si>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</si>
  <si>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</si>
  <si>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</si>
  <si>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</si>
  <si>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</si>
  <si>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</si>
  <si>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</si>
  <si>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</si>
  <si>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</si>
  <si>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</si>
  <si>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</si>
  <si>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</si>
  <si>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</si>
  <si>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</si>
  <si>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</si>
  <si>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</si>
  <si>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</si>
  <si>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</si>
  <si>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</si>
  <si>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</si>
  <si>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</si>
  <si>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</si>
  <si>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</si>
  <si>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</si>
  <si>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</si>
  <si>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</si>
  <si>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</si>
  <si>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</si>
  <si>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</si>
  <si>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</si>
  <si>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</si>
  <si>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</si>
  <si>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</si>
  <si>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</si>
  <si>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</si>
  <si>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</si>
  <si>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</si>
  <si>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</si>
  <si>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</si>
  <si>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</si>
  <si>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</si>
  <si>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</si>
  <si>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</si>
  <si>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</si>
  <si>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</si>
  <si>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</si>
  <si>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</si>
  <si>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</si>
  <si>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</si>
  <si>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</si>
  <si>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</si>
  <si>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</si>
  <si>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</si>
  <si>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</si>
  <si>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</si>
  <si>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</si>
  <si>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</si>
  <si>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</si>
  <si>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</si>
  <si>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</si>
  <si>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</si>
  <si>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</si>
  <si>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</si>
  <si>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</si>
  <si>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</si>
  <si>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</si>
  <si>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</si>
  <si>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</si>
  <si>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</si>
  <si>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</si>
  <si>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</si>
  <si>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</si>
  <si>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</si>
  <si>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</si>
  <si>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</si>
  <si>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</si>
  <si>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</si>
  <si>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</si>
  <si>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</si>
  <si>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</si>
  <si>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</si>
  <si>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</si>
  <si>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</si>
  <si>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</si>
  <si>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</si>
  <si>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</si>
  <si>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</si>
  <si>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</si>
  <si>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</si>
  <si>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</si>
  <si>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</si>
  <si>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</si>
  <si>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</si>
  <si>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</si>
  <si>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</si>
  <si>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</si>
  <si>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</si>
  <si>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</si>
  <si>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</si>
  <si>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</si>
  <si>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</si>
  <si>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</si>
  <si>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</si>
  <si>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</si>
  <si>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</si>
  <si>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</si>
  <si>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</si>
  <si>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</si>
  <si>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</si>
  <si>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</si>
  <si>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</si>
  <si>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</si>
  <si>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</si>
  <si>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</si>
  <si>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</si>
  <si>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</si>
  <si>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2019 Certified Levy</t>
  </si>
  <si>
    <t>2019 Voter Aproved Levy</t>
  </si>
  <si>
    <t>Assumptions</t>
  </si>
  <si>
    <t>Max Per Pupil</t>
  </si>
  <si>
    <t>Max Tax Rate</t>
  </si>
  <si>
    <t>LEA Max Per Pupil</t>
  </si>
  <si>
    <t>CCDDD</t>
  </si>
  <si>
    <t>District</t>
  </si>
  <si>
    <t>Select District</t>
  </si>
  <si>
    <t>Assessed Value w/Timber</t>
  </si>
  <si>
    <t>CCDDD Sort</t>
  </si>
  <si>
    <t>Estimated Levy Revenue</t>
  </si>
  <si>
    <t>A.</t>
  </si>
  <si>
    <t>B.</t>
  </si>
  <si>
    <t>C.</t>
  </si>
  <si>
    <t>D.</t>
  </si>
  <si>
    <t>F.</t>
  </si>
  <si>
    <t>Row Labels</t>
  </si>
  <si>
    <t>Input alternate enrollment estimate:</t>
  </si>
  <si>
    <t>Calendar Year</t>
  </si>
  <si>
    <t>Estimated Local Effort Assistance (LEA)</t>
  </si>
  <si>
    <t>I.</t>
  </si>
  <si>
    <t>J.</t>
  </si>
  <si>
    <t>K.</t>
  </si>
  <si>
    <t>L.</t>
  </si>
  <si>
    <t>N.</t>
  </si>
  <si>
    <t>School Year Levy Total</t>
  </si>
  <si>
    <t>Estimated Payable Levy Revenue Calendar Year</t>
  </si>
  <si>
    <t>2021-22</t>
  </si>
  <si>
    <t>Estimated LEA Payable Calendar Year</t>
  </si>
  <si>
    <t>School Year</t>
  </si>
  <si>
    <t>School Year Totals</t>
  </si>
  <si>
    <t>Spring Levy 52.62%</t>
  </si>
  <si>
    <t>Fall Levy 47.38%</t>
  </si>
  <si>
    <t>January-August LEA 72%</t>
  </si>
  <si>
    <t>September-December LEA 28%</t>
  </si>
  <si>
    <t>Total Estimated Local Funds (Levy + LEA)</t>
  </si>
  <si>
    <t>S.</t>
  </si>
  <si>
    <t>M.</t>
  </si>
  <si>
    <t>O.</t>
  </si>
  <si>
    <t>P.</t>
  </si>
  <si>
    <t>Q.</t>
  </si>
  <si>
    <t>R.</t>
  </si>
  <si>
    <t>T.</t>
  </si>
  <si>
    <t>V.</t>
  </si>
  <si>
    <t>00000</t>
  </si>
  <si>
    <t>State Total</t>
  </si>
  <si>
    <t>Input Alternate Voter Approved Levy:</t>
  </si>
  <si>
    <t>Input alternate Assessed Value:</t>
  </si>
  <si>
    <t>Enter any revised data into colored cells (Voter Approved Levy, Enrollment or Assessed Value)</t>
  </si>
  <si>
    <t>Notes for use:</t>
  </si>
  <si>
    <t>&lt;---------Select District with dropdown here</t>
  </si>
  <si>
    <t>X.</t>
  </si>
  <si>
    <t>Input alternate enrollment transfer:</t>
  </si>
  <si>
    <t>High / Non-high enrollment Transfer &amp; Innovative Academy</t>
  </si>
  <si>
    <t>Enrollment Growth</t>
  </si>
  <si>
    <t>Transfers in/out by year</t>
  </si>
  <si>
    <t>Grow Enroll</t>
  </si>
  <si>
    <t>non-high district?</t>
  </si>
  <si>
    <t>Transfer Out</t>
  </si>
  <si>
    <t>Transfer In</t>
  </si>
  <si>
    <t>State Summary</t>
  </si>
  <si>
    <t>YES</t>
  </si>
  <si>
    <t>Washtucna School District</t>
  </si>
  <si>
    <t>No</t>
  </si>
  <si>
    <t>Benge School District</t>
  </si>
  <si>
    <t>Yes</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</si>
  <si>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</si>
  <si>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</si>
  <si>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</si>
  <si>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</si>
  <si>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</si>
  <si>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</si>
  <si>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</si>
  <si>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</si>
  <si>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</si>
  <si>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</si>
  <si>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</si>
  <si>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</si>
  <si>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</si>
  <si>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</si>
  <si>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</si>
  <si>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CASHMERE SCHOOL DISTRICT</t>
  </si>
  <si>
    <t>Cascade School District</t>
  </si>
  <si>
    <t>Wenatchee School District</t>
  </si>
  <si>
    <t>Port Angeles School District</t>
  </si>
  <si>
    <t>Crescent School District</t>
  </si>
  <si>
    <t>Sequim School District</t>
  </si>
  <si>
    <t>Cape Flattery School District</t>
  </si>
  <si>
    <t>Quillayute Valley School District</t>
  </si>
  <si>
    <t>05903</t>
  </si>
  <si>
    <t>Quileute Tribal School District</t>
  </si>
  <si>
    <t>Vancouver School District</t>
  </si>
  <si>
    <t>Hockinson School District</t>
  </si>
  <si>
    <t>Green Mountain School District</t>
  </si>
  <si>
    <t>Washougal School District</t>
  </si>
  <si>
    <t>Evergreen School District (Clark)</t>
  </si>
  <si>
    <t>Camas School District</t>
  </si>
  <si>
    <t>Battle Ground School District</t>
  </si>
  <si>
    <t>Ridgefield School District</t>
  </si>
  <si>
    <t>Dayton School District</t>
  </si>
  <si>
    <t>Starbuck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</si>
  <si>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</si>
  <si>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</si>
  <si>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</si>
  <si>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</si>
  <si>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</si>
  <si>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</si>
  <si>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</si>
  <si>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</si>
  <si>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</si>
  <si>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</si>
  <si>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</si>
  <si>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</si>
  <si>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</si>
  <si>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</si>
  <si>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</si>
  <si>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</si>
  <si>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</si>
  <si>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</si>
  <si>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</si>
  <si>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</si>
  <si>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</si>
  <si>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</si>
  <si>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</si>
  <si>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</si>
  <si>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</si>
  <si>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</si>
  <si>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</si>
  <si>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</si>
  <si>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</si>
  <si>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</si>
  <si>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</si>
  <si>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</si>
  <si>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</si>
  <si>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</si>
  <si>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</si>
  <si>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</si>
  <si>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</si>
  <si>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</si>
  <si>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</si>
  <si>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</si>
  <si>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</si>
  <si>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</si>
  <si>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</si>
  <si>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</si>
  <si>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</si>
  <si>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</si>
  <si>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</si>
  <si>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</si>
  <si>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</si>
  <si>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</si>
  <si>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</si>
  <si>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</si>
  <si>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</si>
  <si>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Public Schools</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</si>
  <si>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</si>
  <si>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</si>
  <si>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</si>
  <si>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</si>
  <si>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</si>
  <si>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</si>
  <si>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</si>
  <si>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</si>
  <si>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</si>
  <si>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</si>
  <si>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</si>
  <si>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</si>
  <si>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</si>
  <si>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</si>
  <si>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</si>
  <si>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</si>
  <si>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</si>
  <si>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</si>
  <si>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17903</t>
  </si>
  <si>
    <t>Muckleshoot Indian Tribe</t>
  </si>
  <si>
    <t>Bremerton School District</t>
  </si>
  <si>
    <t>Bainbridge Island School District</t>
  </si>
  <si>
    <t>North Kitsap School District</t>
  </si>
  <si>
    <t>Central Kitsap School District</t>
  </si>
  <si>
    <t>South Kitsap School District</t>
  </si>
  <si>
    <t>18902</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</si>
  <si>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</si>
  <si>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</si>
  <si>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</si>
  <si>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</si>
  <si>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</si>
  <si>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</si>
  <si>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</si>
  <si>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</si>
  <si>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</si>
  <si>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</si>
  <si>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</si>
  <si>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</si>
  <si>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</si>
  <si>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</si>
  <si>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</si>
  <si>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</si>
  <si>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</si>
  <si>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</si>
  <si>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</si>
  <si>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</si>
  <si>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</si>
  <si>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</si>
  <si>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</si>
  <si>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</si>
  <si>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</si>
  <si>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</si>
  <si>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</si>
  <si>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</si>
  <si>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</si>
  <si>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</si>
  <si>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</si>
  <si>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</si>
  <si>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</si>
  <si>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</si>
  <si>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</si>
  <si>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</si>
  <si>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</si>
  <si>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</si>
  <si>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</si>
  <si>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</si>
  <si>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</si>
  <si>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</si>
  <si>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</si>
  <si>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</si>
  <si>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</si>
  <si>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</si>
  <si>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</si>
  <si>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</si>
  <si>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</si>
  <si>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</si>
  <si>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</si>
  <si>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</si>
  <si>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</si>
  <si>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</si>
  <si>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</si>
  <si>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</si>
  <si>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</si>
  <si>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</si>
  <si>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</si>
  <si>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</si>
  <si>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</si>
  <si>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</si>
  <si>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</si>
  <si>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</si>
  <si>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</si>
  <si>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</si>
  <si>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</si>
  <si>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</si>
  <si>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</si>
  <si>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</si>
  <si>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</si>
  <si>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</si>
  <si>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</si>
  <si>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</si>
  <si>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</si>
  <si>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</si>
  <si>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</si>
  <si>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</si>
  <si>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</si>
  <si>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</si>
  <si>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</si>
  <si>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</si>
  <si>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</si>
  <si>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</si>
  <si>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</si>
  <si>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</si>
  <si>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</si>
  <si>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</si>
  <si>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</si>
  <si>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</si>
  <si>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</si>
  <si>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</si>
  <si>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</si>
  <si>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</si>
  <si>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</si>
  <si>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</si>
  <si>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</si>
  <si>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School District</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</si>
  <si>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</si>
  <si>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</si>
  <si>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</si>
  <si>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</si>
  <si>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</si>
  <si>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</si>
  <si>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</si>
  <si>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</si>
  <si>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</si>
  <si>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</si>
  <si>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</si>
  <si>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</si>
  <si>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</si>
  <si>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</si>
  <si>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</si>
  <si>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</si>
  <si>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</si>
  <si>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</si>
  <si>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</si>
  <si>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</si>
  <si>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</si>
  <si>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Onion Creek School District</t>
  </si>
  <si>
    <t>Chewelah School District</t>
  </si>
  <si>
    <t>Wellpinit School District</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</si>
  <si>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</si>
  <si>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</si>
  <si>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</si>
  <si>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</si>
  <si>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</si>
  <si>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</si>
  <si>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</si>
  <si>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</si>
  <si>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</si>
  <si>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</si>
  <si>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</si>
  <si>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</si>
  <si>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</si>
  <si>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</si>
  <si>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</si>
  <si>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</si>
  <si>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</si>
  <si>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34901</t>
  </si>
  <si>
    <t>WA HE LUT Indian School Agency</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</si>
  <si>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</si>
  <si>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</si>
  <si>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</si>
  <si>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</si>
  <si>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</si>
  <si>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</si>
  <si>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</si>
  <si>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</si>
  <si>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</si>
  <si>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</si>
  <si>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</si>
  <si>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</si>
  <si>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</si>
  <si>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</si>
  <si>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</si>
  <si>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37903</t>
  </si>
  <si>
    <t>Lummi Tribal Agency</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</si>
  <si>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</si>
  <si>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</si>
  <si>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</si>
  <si>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</si>
  <si>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</si>
  <si>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</si>
  <si>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</si>
  <si>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</si>
  <si>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</si>
  <si>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</si>
  <si>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</si>
  <si>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</si>
  <si>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</si>
  <si>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</si>
  <si>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</si>
  <si>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</si>
  <si>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</si>
  <si>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</si>
  <si>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</si>
  <si>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</si>
  <si>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</si>
  <si>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</si>
  <si>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</si>
  <si>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</si>
  <si>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</si>
  <si>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</si>
  <si>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</si>
  <si>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TUKWILA</t>
  </si>
  <si>
    <t>La Center School District</t>
  </si>
  <si>
    <t>LaCrosse School District</t>
  </si>
  <si>
    <t>STATE SUMMARY</t>
  </si>
  <si>
    <t>CY 2018 AV for CY 2019 Levy</t>
  </si>
  <si>
    <t>27901</t>
  </si>
  <si>
    <t>2022-23</t>
  </si>
  <si>
    <t>Total
SY 2021-22</t>
  </si>
  <si>
    <t>SY 2021-22</t>
  </si>
  <si>
    <t>LEA Max Tax Rate</t>
  </si>
  <si>
    <t>39901</t>
  </si>
  <si>
    <t>Yakama Nation Tribal Compact</t>
  </si>
  <si>
    <t>CY 2019 AV for CY 2020 Levy</t>
  </si>
  <si>
    <t>Total
SY 2022-23</t>
  </si>
  <si>
    <t>SY 2022-23</t>
  </si>
  <si>
    <t>CY 2023 AV for CY 2024 Levy (Proj)</t>
  </si>
  <si>
    <t>2023-24</t>
  </si>
  <si>
    <t>No Tribal Adj</t>
  </si>
  <si>
    <t>Assessed Valuations are only estimations and are adjustable for all years.</t>
  </si>
  <si>
    <t>Total
SY 2023-24</t>
  </si>
  <si>
    <t>SY 2023-24</t>
  </si>
  <si>
    <t>CY 2020 AV for CY 2021 Levy</t>
  </si>
  <si>
    <t>CY 2024 AV for CY 2025 Levy (Proj)</t>
  </si>
  <si>
    <t>2024-25</t>
  </si>
  <si>
    <t>Toppenish</t>
  </si>
  <si>
    <t>Puyallup</t>
  </si>
  <si>
    <t>Wa He Lut Indian</t>
  </si>
  <si>
    <t>North Thurston</t>
  </si>
  <si>
    <t>Quillayute Valley</t>
  </si>
  <si>
    <t>Muckleshoot</t>
  </si>
  <si>
    <t>Enumclaw</t>
  </si>
  <si>
    <t>Suquamish</t>
  </si>
  <si>
    <t>North Kitsap</t>
  </si>
  <si>
    <t>Lummi</t>
  </si>
  <si>
    <t>Ferndale</t>
  </si>
  <si>
    <t>Yakama Nation</t>
  </si>
  <si>
    <t>Chief Leschi</t>
  </si>
  <si>
    <t>Quileute</t>
  </si>
  <si>
    <t>V.1</t>
  </si>
  <si>
    <t>Estimated LEA Eligible Calendar Year</t>
  </si>
  <si>
    <t>State Funded Tribal Compact Local Effort Assistance (LEA) - If Applicable</t>
  </si>
  <si>
    <t>Total
SY 2019-20</t>
  </si>
  <si>
    <t>Tribal Adj</t>
  </si>
  <si>
    <t>G.1.a</t>
  </si>
  <si>
    <t>G.1.b</t>
  </si>
  <si>
    <t>Nespelem School District #14</t>
  </si>
  <si>
    <t>Chief Leschi Tribal Compact</t>
  </si>
  <si>
    <t>Voter Approved Levy are actual amounts for each year, if the value is zero there isn't an approval levy as of August 2021 elections</t>
  </si>
  <si>
    <t>Enrollment 2019-20</t>
  </si>
  <si>
    <t>E.1.</t>
  </si>
  <si>
    <t>E.2.</t>
  </si>
  <si>
    <t>Input Alternate CPI for Levy:</t>
  </si>
  <si>
    <t>Input Alternate CPI for LEA:</t>
  </si>
  <si>
    <t>ESSB 5251 Taxes and Revenue</t>
  </si>
  <si>
    <t>Section 22 in the budget bill above, amended in the 2021 legislative session, defines CPI inflation for Levy as the most recent 12-month period as of September 25th of the year before taxes are payable.  LEA CPI rates are based on calendar year and are not yet final for 2022.  CPI rates in model for out years are based on 2021 calendar year estimates. Out year CPI rates and 2022 LEA CPI rate are adjustable using row 24 and row 26.</t>
  </si>
  <si>
    <t>Anticipated Month of Ballot</t>
  </si>
  <si>
    <t xml:space="preserve">Select Here </t>
  </si>
  <si>
    <t>Anticipated Year of Ballot</t>
  </si>
  <si>
    <t>Primary Contact Name and Email</t>
  </si>
  <si>
    <t>name</t>
  </si>
  <si>
    <t>e-mail</t>
  </si>
  <si>
    <t>Districts are to fill out the green highlighted cells before printing and obtaining approver's signature.</t>
  </si>
  <si>
    <t>Part I.  Basic Education Assurances</t>
  </si>
  <si>
    <t>Will your district comply with WAC chapter 392-127 (46:1,000 compliance) using only state funds?</t>
  </si>
  <si>
    <t>Yes or No</t>
  </si>
  <si>
    <t xml:space="preserve">Will your district provide 180 days of instruction or obtain a waiver from SBE on an alternative calendar? </t>
  </si>
  <si>
    <t>Part II. Narrative of Proposed Levy Expenditure Plan*</t>
  </si>
  <si>
    <t>*OSPI approval of this plan does not constitute a legal opinion or approval of your official ballot language.</t>
  </si>
  <si>
    <t>Part III.  Enrichment Levy Authority</t>
  </si>
  <si>
    <t>Your maximum allowable levy is limited by which of the following?</t>
  </si>
  <si>
    <t>$2.50/$1,000AV</t>
  </si>
  <si>
    <t>Part IV.  Enrichment Levy Revenues and Expenditures</t>
  </si>
  <si>
    <t>Current Year</t>
  </si>
  <si>
    <t>Future Anticipated Collections</t>
  </si>
  <si>
    <t>Estimated Per Pupil Levy or Rate per $1,000</t>
  </si>
  <si>
    <t>Estimated Enrichment Levy Collections</t>
  </si>
  <si>
    <t>Estimated School Year Collection</t>
  </si>
  <si>
    <t>Estimated Expenditure Program</t>
  </si>
  <si>
    <t>Regular Instruction - 00</t>
  </si>
  <si>
    <t>Special Education Instruction - 20</t>
  </si>
  <si>
    <t xml:space="preserve">Vocational Education - 30 </t>
  </si>
  <si>
    <t>Skill Center Instruction - 40</t>
  </si>
  <si>
    <t>Compensatory Education - 50/60</t>
  </si>
  <si>
    <t>Other Instructional Programs - 70</t>
  </si>
  <si>
    <t>Community Services - 80</t>
  </si>
  <si>
    <t>Support Services - 90</t>
  </si>
  <si>
    <t>Totals By Program</t>
  </si>
  <si>
    <t>And</t>
  </si>
  <si>
    <t>Estimated Expenditures by Object</t>
  </si>
  <si>
    <t>Salaries - Certified Employees - 02</t>
  </si>
  <si>
    <t>Salaries - Classified Employees - 03</t>
  </si>
  <si>
    <t>Benefits and Payroll Taxes - 04</t>
  </si>
  <si>
    <t>Supplies, Instructional Resources and Non-capitalized items - 05</t>
  </si>
  <si>
    <t>Purchased Services - 07</t>
  </si>
  <si>
    <t>Travel - 08</t>
  </si>
  <si>
    <t>Capital Outlay - 09</t>
  </si>
  <si>
    <t>Totals By Object</t>
  </si>
  <si>
    <t>Variance Must Be Zero</t>
  </si>
  <si>
    <t>Variance to School Year Collection</t>
  </si>
  <si>
    <t>Part V. Certification / Signature</t>
  </si>
  <si>
    <t>I attest that all is true and correct.</t>
  </si>
  <si>
    <t>Printed Name</t>
  </si>
  <si>
    <t>Signature</t>
  </si>
  <si>
    <t xml:space="preserve">Superintendent </t>
  </si>
  <si>
    <t>Date</t>
  </si>
  <si>
    <t>Part VI. OSPI Decision</t>
  </si>
  <si>
    <t>Approved</t>
  </si>
  <si>
    <t>Revision Requested</t>
  </si>
  <si>
    <t>Nespelem School District</t>
  </si>
  <si>
    <t>District Name:</t>
  </si>
  <si>
    <t>January</t>
  </si>
  <si>
    <t>Per Pupil</t>
  </si>
  <si>
    <t>February</t>
  </si>
  <si>
    <t>March</t>
  </si>
  <si>
    <t>2025-26</t>
  </si>
  <si>
    <t>April</t>
  </si>
  <si>
    <t>2026-27</t>
  </si>
  <si>
    <t>May</t>
  </si>
  <si>
    <t>2027-28</t>
  </si>
  <si>
    <t>June</t>
  </si>
  <si>
    <t>2028-29</t>
  </si>
  <si>
    <t>July</t>
  </si>
  <si>
    <t>August</t>
  </si>
  <si>
    <t>September</t>
  </si>
  <si>
    <t>October</t>
  </si>
  <si>
    <t>November</t>
  </si>
  <si>
    <t>December</t>
  </si>
  <si>
    <t>per pupil or $2.50 per $1000 AV</t>
  </si>
  <si>
    <t>Total</t>
  </si>
  <si>
    <t>per pupil</t>
  </si>
  <si>
    <t>CY 2025 AV for CY 2026 Levy (Proj)</t>
  </si>
  <si>
    <t>SY 2024-25</t>
  </si>
  <si>
    <t>Total
SY 2024-25</t>
  </si>
  <si>
    <t>Greater of 19-20 or 21-22</t>
  </si>
  <si>
    <r>
      <t xml:space="preserve">Estimated Enrichment Levy </t>
    </r>
    <r>
      <rPr>
        <b/>
        <sz val="11"/>
        <rFont val="Segoe UI"/>
        <family val="2"/>
      </rPr>
      <t>Authority</t>
    </r>
    <r>
      <rPr>
        <sz val="11"/>
        <color theme="1"/>
        <rFont val="Segoe UI"/>
        <family val="2"/>
      </rPr>
      <t xml:space="preserve"> of first collection Year?</t>
    </r>
  </si>
  <si>
    <r>
      <t xml:space="preserve">Max Levy Per Tax Rate </t>
    </r>
    <r>
      <rPr>
        <sz val="11"/>
        <color theme="4"/>
        <rFont val="Segoe UI"/>
        <family val="2"/>
      </rPr>
      <t>(B * I / $1,000)</t>
    </r>
  </si>
  <si>
    <r>
      <t xml:space="preserve">Max Levy Per Pupil </t>
    </r>
    <r>
      <rPr>
        <sz val="11"/>
        <color theme="4"/>
        <rFont val="Segoe UI"/>
        <family val="2"/>
      </rPr>
      <t>(J * A)</t>
    </r>
  </si>
  <si>
    <r>
      <t xml:space="preserve">Maximum Levy: Lesser of Pupil </t>
    </r>
    <r>
      <rPr>
        <sz val="11"/>
        <color theme="4"/>
        <rFont val="Segoe UI"/>
        <family val="2"/>
      </rPr>
      <t>(L)</t>
    </r>
    <r>
      <rPr>
        <sz val="11"/>
        <color theme="1"/>
        <rFont val="Segoe UI"/>
        <family val="2"/>
      </rPr>
      <t xml:space="preserve"> or Tax Rate </t>
    </r>
    <r>
      <rPr>
        <sz val="11"/>
        <color theme="4"/>
        <rFont val="Segoe UI"/>
        <family val="2"/>
      </rPr>
      <t>(K)</t>
    </r>
  </si>
  <si>
    <r>
      <t xml:space="preserve">Rollback </t>
    </r>
    <r>
      <rPr>
        <sz val="11"/>
        <color theme="4"/>
        <rFont val="Segoe UI"/>
        <family val="2"/>
      </rPr>
      <t>If (R &gt; M, R - M)</t>
    </r>
  </si>
  <si>
    <r>
      <t xml:space="preserve">Max LEA per Pupil </t>
    </r>
    <r>
      <rPr>
        <sz val="11"/>
        <color theme="4"/>
        <rFont val="Segoe UI"/>
        <family val="2"/>
      </rPr>
      <t>(C - P)</t>
    </r>
  </si>
  <si>
    <r>
      <t xml:space="preserve">Voter Approved Levy </t>
    </r>
    <r>
      <rPr>
        <sz val="11"/>
        <color theme="4"/>
        <rFont val="Segoe UI"/>
        <family val="2"/>
      </rPr>
      <t xml:space="preserve">(F) </t>
    </r>
  </si>
  <si>
    <r>
      <t xml:space="preserve">Voter Approved Levy Rate </t>
    </r>
    <r>
      <rPr>
        <sz val="11"/>
        <color theme="4"/>
        <rFont val="Segoe UI"/>
        <family val="2"/>
      </rPr>
      <t>(R / F * $1,000)</t>
    </r>
  </si>
  <si>
    <r>
      <t xml:space="preserve">Estimated Maximum LEA </t>
    </r>
    <r>
      <rPr>
        <sz val="11"/>
        <color theme="4"/>
        <rFont val="Segoe UI"/>
        <family val="2"/>
      </rPr>
      <t>(Q * J)</t>
    </r>
  </si>
  <si>
    <r>
      <t xml:space="preserve">Estimated Max Payable LEA </t>
    </r>
    <r>
      <rPr>
        <sz val="11"/>
        <color theme="4"/>
        <rFont val="Segoe UI"/>
        <family val="2"/>
      </rPr>
      <t>(T * (Min(S,D)/D))</t>
    </r>
  </si>
  <si>
    <t xml:space="preserve">Completed forms can be returned to </t>
  </si>
  <si>
    <t>PreBallotApprovals@k12.wa.us.</t>
  </si>
  <si>
    <t>Purpose of Enrichment Levy Pre-Ballot Approval Form:</t>
  </si>
  <si>
    <t>E2SSB 6362 Section 304 (1):</t>
  </si>
  <si>
    <t>"As required by RCW 84.52.053 (4), before a school district may submit an enrichment levy under RCW 84.52.053 to the voters, it must have received approval from the office of the superintendent of public instruction of an expenditure plan for the district's enrichment levy and other local revenues as defined in RCW 28A.150.276."</t>
  </si>
  <si>
    <t>Instructions</t>
  </si>
  <si>
    <t>Part I - Provide Basic Education Assurances</t>
  </si>
  <si>
    <t>Answer the two simple 'Yes' or 'No' questions that provide basic education assurances under Part I that are assumed to be applicable for the duration of the levy which you are submitting for approval.</t>
  </si>
  <si>
    <t>Part II - Provide Narrative of Proposed Expenditure Plan</t>
  </si>
  <si>
    <t>This is a free text box in which you explain at a high level how your district plans on spending the proceeds of your enrichment levy.</t>
  </si>
  <si>
    <t>Note: OSPI approval of your plan and the language contained in this narrative does NOT constitute a legal opinion or approval of your official ballot language.</t>
  </si>
  <si>
    <t>Part III - Provide Narrative of Proposed Expenditure Plan</t>
  </si>
  <si>
    <t>Part IV - Provide Estimate of Enrichment Levy Revenues and Expenditures</t>
  </si>
  <si>
    <t>Part V - Certification / Signature</t>
  </si>
  <si>
    <t>Ensure all green highlighlighted cells are completed before obtaining approver's signature.</t>
  </si>
  <si>
    <t>District Superintendent must sign and date (electronic signature acceptable) submission.</t>
  </si>
  <si>
    <t>Part VI - OSPI Decision</t>
  </si>
  <si>
    <t>OSPI will indicate either approval or that a revision of the plan has been requested within five working days.</t>
  </si>
  <si>
    <t>Note: OSPI approval will be issued electronically via email from either an EDS system or an individual.</t>
  </si>
  <si>
    <r>
      <t xml:space="preserve">Completed forms can be returned to </t>
    </r>
    <r>
      <rPr>
        <u/>
        <sz val="11"/>
        <color rgb="FFFF0000"/>
        <rFont val="Segoe UI"/>
        <family val="2"/>
      </rPr>
      <t>PreBallotApprovals@k12.wa.us.</t>
    </r>
  </si>
  <si>
    <r>
      <t xml:space="preserve">Note: </t>
    </r>
    <r>
      <rPr>
        <b/>
        <sz val="11"/>
        <color rgb="FFFF0000"/>
        <rFont val="Segoe UI"/>
        <family val="2"/>
      </rPr>
      <t>Levy Authority</t>
    </r>
    <r>
      <rPr>
        <sz val="11"/>
        <color rgb="FFFF0000"/>
        <rFont val="Segoe UI"/>
        <family val="2"/>
      </rPr>
      <t xml:space="preserve"> is defined as the LESSOR OF A) calendar year per pupil amount * enrollment or B) $2.50 / $1,000 * Assessed Values.  This is calculated in row "M" on the LevyCal sheet and will auto populate.</t>
    </r>
  </si>
  <si>
    <t xml:space="preserve">Estimated Per Pupil Levy or Rate per $1,000 in line 34.  </t>
  </si>
  <si>
    <t>Note: This is calculated in row "O" on the LevyCal sheet and will populate automatically or can be entered manually.</t>
  </si>
  <si>
    <t>&lt;----- Select district in "LevyCalc" Tab cell C3</t>
  </si>
  <si>
    <t>"LevyCalc" tab</t>
  </si>
  <si>
    <t>Tab Colors key:</t>
  </si>
  <si>
    <t>Drop Down</t>
  </si>
  <si>
    <t>Input</t>
  </si>
  <si>
    <t>Formula</t>
  </si>
  <si>
    <t>Anticipated Voter Approved Levy</t>
  </si>
  <si>
    <t>Rollback (row 35 - row 36)</t>
  </si>
  <si>
    <t>Line 64 will display any difference between estimated expenditures (line 51) and estimated school year collections (line 40).</t>
  </si>
  <si>
    <t>Notes: Linking program to object will not be required. However, the total on line 51 and line 61 must tie. Line 62 will show you in red if you have a variance been program or object expenditure detail.</t>
  </si>
  <si>
    <t>Enter estimated expenditures by object in lines 54 through 60. Sheet will total objects on line 61.</t>
  </si>
  <si>
    <t>Enter estimated expenditures by program in lines 43 through 50. Sheet will total programs on line 51.</t>
  </si>
  <si>
    <t>If voter approved levy amount is higher than the amount expected to collect, line 37 is for the rollback amount to show the amount that will not be collected. This is pulled from the VAL prior to calculating the school year collection amounts in row 40 as districts do not need to show estimated expenditure breakdown on this amount.</t>
  </si>
  <si>
    <t>Anticipated enrichment levy revenue by calendar year on line 36.  Tool will automatically convert these amounts into school year on line 40.</t>
  </si>
  <si>
    <t>Note: This is pulled from row "R" on the LevyCal sheet and will populate automatically or can be entered manually.</t>
  </si>
  <si>
    <t xml:space="preserve">Amount of Levy per calendar year going to voter for and needing advance approval on in line 35. Note, current calendar year is included for school year calculation only. </t>
  </si>
  <si>
    <t>Note: This is calculated in row "S" on the LevyCal sheet and will populate automatically or can be entered manually.</t>
  </si>
  <si>
    <t>The estimated Levy Authority of first collection year in line 27, both per pupil and total. This will be auto populated by the "LevyCalc" tab.</t>
  </si>
  <si>
    <t>The levy your district expected to be limited by in row 26 - per pupil or $2.50rate/$1,000AV. Will be auto populated by the "LevyCalc" tab.</t>
  </si>
  <si>
    <t>Complete the "LevyCalc" tab prior to the "Pre-Ballot Approval" tab and the pink cells will auto populate from worksheet.  Input the amount requesting pre-approval for in row 28 of the "LevyCalc" tab (alternate input for "F") and it will flow through the tool and into the "Pre-Ballot Approval" tab.</t>
  </si>
  <si>
    <t>Greater of 19-20 or 22-23</t>
  </si>
  <si>
    <t>The budget bill in the link above, amended in the 2021 legislative session, allows districts to use either  2019-20 or 2020-21 enrollment, whichever is greater, for levy CY 2022 if all grades have the option of in-person for at least 40 hours of instruction per month. For purposes of state modeling, this tool uses the greater of, however districts can modify enrollment in cell C31 for CY 2022.</t>
  </si>
  <si>
    <t>CY 2021 AV for CY 2022 Levy</t>
  </si>
  <si>
    <t>CY 2026 AV for CY 2027 Levy (Proj)</t>
  </si>
  <si>
    <t>CY 2027 AV for CY 2028 Levy (Proj)</t>
  </si>
  <si>
    <t>SHB 1590 Enrollment Stabilization</t>
  </si>
  <si>
    <t>ESHB 1476 School Enrichment Levies</t>
  </si>
  <si>
    <t>The budget bill in the link above, amended in the 2022 legislative session, ammends ESHB 1476 to use the greater of 2019-20 or 2021-22 enrollment for CY 2023. The greater of enrollment of 2019-20 or 2020-21 and 2021-22 for levy CY 2022 and CY 2023 respectivly. For purposes of state modeling, this tool uses the greater of, however districts can modify enrollment in cell C31 for CY 2022 and D31 for CY 2023.</t>
  </si>
  <si>
    <t>G.1. and G.2. have been added for 2022 and 2023 calendar years so Levy calculations will chose the greater of 2019-20 or 2020-21 enrollment then apply the high/non-high enroll.</t>
  </si>
  <si>
    <t xml:space="preserve">Calendar 2022 is based on SY 2020-21 August AAFTE enrollment, Non-high / high transfers are pulled out on separate line (this also includes Innovative Academy).  Out years are increased according to caseload forecasted projections. </t>
  </si>
  <si>
    <t>G.2.a</t>
  </si>
  <si>
    <t>G.2.b</t>
  </si>
  <si>
    <t>Q.1</t>
  </si>
  <si>
    <r>
      <t xml:space="preserve">Max LEA per Pupil </t>
    </r>
    <r>
      <rPr>
        <sz val="11"/>
        <color theme="4"/>
        <rFont val="Segoe UI"/>
        <family val="2"/>
      </rPr>
      <t>Max(P,C)</t>
    </r>
  </si>
  <si>
    <t>***Tribal Compact Schools - select district to be used as base for per pupil calculation to estimate LEA funding (estimate begins with row 71)***</t>
  </si>
  <si>
    <t>Stabilization Funds</t>
  </si>
  <si>
    <r>
      <t xml:space="preserve">Per Pupil Eligible for LEA </t>
    </r>
    <r>
      <rPr>
        <sz val="11"/>
        <color theme="4"/>
        <rFont val="Segoe UI"/>
        <family val="2"/>
      </rPr>
      <t>(I * D / $1,000) / G.1.a</t>
    </r>
    <r>
      <rPr>
        <sz val="11"/>
        <color theme="1"/>
        <rFont val="Segoe UI"/>
        <family val="2"/>
      </rPr>
      <t xml:space="preserve"> </t>
    </r>
  </si>
  <si>
    <t>LEA without Stabilization</t>
  </si>
  <si>
    <t>2019-20 Transfers</t>
  </si>
  <si>
    <t>School Year LEA Total including Stabilization</t>
  </si>
  <si>
    <t>**Stabilization seperated so school year LEA values would calculate correctly.</t>
  </si>
  <si>
    <t>**updated as of 9/12/22</t>
  </si>
  <si>
    <t>2022 Fall Levy</t>
  </si>
  <si>
    <t>Sept-Dec 2022 Est LEA (28%)</t>
  </si>
  <si>
    <t>Worksheet for Estimating 2023 through 2027 Levy Authority and LEA</t>
  </si>
  <si>
    <t>CPI for Levy as of September 2022</t>
  </si>
  <si>
    <t xml:space="preserve">Calendar 2023 is based on SY 2021-22 August AAFTE enrollment, Non-high / high transfers are pulled out on separate line (this also includes Innovative Academy).  Out years are increased according to caseload forecasted projections. </t>
  </si>
  <si>
    <t>The budget bill in the link above, amended in the 2021 legislative session, allows districts to use either  2019-20 or 2021-22 enrollment, whichever is greater, for levy CY 2023 if all grades have the option of in-person for at least 40 hours of instruction per month. For purposes of state modeling, this tool uses the greater of, however districts can modify enrollment in cell C33 for CY 2023.</t>
  </si>
  <si>
    <t>The budget bill in the link above, amended in the 2022 legislative session, ammends ESHB 1476 to use the greater of 2019-20 or 2021-22 enrollment for CY 2023. The greater of enrollment of 2019-20 or 2021-22 for levy CY 2023. For purposes of state modeling, this tool uses the greater of, however districts can modify enrollment in cell C33 for CY 2023.</t>
  </si>
  <si>
    <t>G.1. and G.2. have been added for the 2023 calendar year so Levy calculations will chose the greater of 2019-20 or 2021-22 enrollment then apply the high/non-high enroll.</t>
  </si>
  <si>
    <t>Enrollment 2021-22/ Out years includes caseload forecast</t>
  </si>
  <si>
    <t>Section 22 in the budget bill above, amended in the 2021 legislative session, defines CPI inflation for Levy as the most recent 12-month period as of September 25th of the year before taxes are payable.  LEA CPI rates are based on calendar year and are not yet final for 2023.  CPI rates in model for out years are based on 2022 calendar year estimates. Out year CPI rates and 2022 LEA CPI rate are adjustable using row 24 and row 28.</t>
  </si>
  <si>
    <t>Voter Approved Levy are actual amounts for each year, if the value is zero there isn't an approval levy as of August 2022 elections</t>
  </si>
  <si>
    <r>
      <t xml:space="preserve">Per Pupil Eligible for LEA </t>
    </r>
    <r>
      <rPr>
        <sz val="11"/>
        <color theme="4"/>
        <rFont val="Segoe UI"/>
        <family val="2"/>
      </rPr>
      <t>(I * D / $1,000) / G.1.a</t>
    </r>
    <r>
      <rPr>
        <sz val="11"/>
        <color theme="1"/>
        <rFont val="Segoe UI"/>
        <family val="2"/>
      </rPr>
      <t xml:space="preserve"> </t>
    </r>
    <r>
      <rPr>
        <sz val="11"/>
        <color rgb="FFFF0000"/>
        <rFont val="Segoe UI"/>
        <family val="2"/>
      </rPr>
      <t>(Max of G.1's 2023 only)</t>
    </r>
  </si>
  <si>
    <t>Through August 2022</t>
  </si>
  <si>
    <t>SY 2021-22 Enroll</t>
  </si>
  <si>
    <t>Total
SY 2025-26</t>
  </si>
  <si>
    <t>SY 2025-26</t>
  </si>
  <si>
    <t>2021-22 Enroll w/Transfers</t>
  </si>
  <si>
    <r>
      <t xml:space="preserve">Estimated Max Payable LEA </t>
    </r>
    <r>
      <rPr>
        <sz val="11"/>
        <color theme="4"/>
        <rFont val="Segoe UI"/>
        <family val="2"/>
      </rPr>
      <t xml:space="preserve">(Q.1 * G.2) </t>
    </r>
    <r>
      <rPr>
        <sz val="11"/>
        <color rgb="FFFF0000"/>
        <rFont val="Segoe UI"/>
        <family val="2"/>
      </rPr>
      <t>(Max of G.2's 2023 only)</t>
    </r>
  </si>
  <si>
    <t>2019-20 No Transfers</t>
  </si>
  <si>
    <t>H.1.</t>
  </si>
  <si>
    <t>H.2.</t>
  </si>
  <si>
    <t>Transfers for 2019-20</t>
  </si>
  <si>
    <r>
      <t xml:space="preserve">Total Enrollment From Above </t>
    </r>
    <r>
      <rPr>
        <sz val="11"/>
        <color theme="4"/>
        <rFont val="Segoe UI"/>
        <family val="2"/>
      </rPr>
      <t xml:space="preserve">(G.1 + H) </t>
    </r>
    <r>
      <rPr>
        <sz val="11"/>
        <color rgb="FFFF0000"/>
        <rFont val="Segoe UI"/>
        <family val="2"/>
      </rPr>
      <t>(Max of G.1's 2023 only)</t>
    </r>
  </si>
  <si>
    <t>2022 Fall only 47.38%</t>
  </si>
  <si>
    <t>2022 September - December LEA only 28%</t>
  </si>
  <si>
    <t>Select the year in cell C27 for the first collection year to populate data in rows 26 &amp; 27.</t>
  </si>
  <si>
    <t>LEA Sept-Dec 2022 values were corrected</t>
  </si>
  <si>
    <t>Fe</t>
  </si>
  <si>
    <t>Federal Stabilization Funding</t>
  </si>
  <si>
    <t>State Stabilization Funding</t>
  </si>
  <si>
    <t>Additional Funding LEAP Doc 4</t>
  </si>
  <si>
    <t>CY 2022 AV for CY 2023 Levy</t>
  </si>
  <si>
    <t>Federal Stabilization Funds Revenue 611133</t>
  </si>
  <si>
    <t>State Stabilization Funds Revenue 330001</t>
  </si>
  <si>
    <t>Additional Funds from LEAP Doc 4 Revenue 330001</t>
  </si>
  <si>
    <t>CY 2028 AV for CY 2029 Levy (Proj)</t>
  </si>
  <si>
    <t>CPI for LEA as of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</si>
</sst>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_(* #,##0.0_);_(* \(#,##0.0\);_(* &quot;-&quot;??_);_(@_)"/>
    <numFmt numFmtId="169" formatCode="mm/dd/yyyy"/>
  </numFmts>
  <fonts count="35" x14ac:knownFonts="1">
    <font>
      <sz val="11"/>
      <color theme="1"/>
      <name val="Calibri"/>
      <family val="2"/>
      <scheme val="minor"/>
    </font>
    <font>
      <sz val="11"/>
      <color theme="1"/>
      <name val="Calibri"/>
      <family val="2"/>
      <scheme val="minor"/>
    </font>
    <font>
      <sz val="11"/>
      <color theme="4" tint="0.59999389629810485"/>
      <name val="Calibri"/>
      <family val="2"/>
      <scheme val="minor"/>
    </font>
    <font>
      <b/>
      <sz val="11"/>
      <color theme="1"/>
      <name val="Calibri"/>
      <family val="2"/>
      <scheme val="minor"/>
    </font>
    <font>
      <b/>
      <sz val="11"/>
      <name val="Calibri"/>
      <family val="2"/>
      <scheme val="minor"/>
    </font>
    <font>
      <sz val="11"/>
      <color theme="1"/>
      <name val="Calibri"/>
      <family val="2"/>
    </font>
    <font>
      <sz val="11"/>
      <name val="Calibri"/>
      <family val="2"/>
      <scheme val="minor"/>
    </font>
    <font>
      <b/>
      <u/>
      <sz val="11"/>
      <color theme="1"/>
      <name val="Calibri"/>
      <family val="2"/>
    </font>
    <font>
      <b/>
      <sz val="11"/>
      <color theme="1"/>
      <name val="Calibri"/>
      <family val="2"/>
    </font>
    <font>
      <sz val="11"/>
      <name val="Calibri"/>
      <family val="2"/>
    </font>
    <font>
      <u/>
      <sz val="11"/>
      <color theme="10"/>
      <name val="Calibri"/>
      <family val="2"/>
      <scheme val="minor"/>
    </font>
    <font>
      <sz val="8"/>
      <name val="Calibri"/>
      <family val="2"/>
      <scheme val="minor"/>
    </font>
    <font>
      <sz val="8"/>
      <color theme="1"/>
      <name val="Calibri"/>
      <family val="2"/>
      <scheme val="minor"/>
    </font>
    <font>
      <sz val="9"/>
      <color theme="1"/>
      <name val="Segoe UI"/>
      <family val="2"/>
    </font>
    <font>
      <i/>
      <sz val="11"/>
      <color theme="1"/>
      <name val="Segoe UI"/>
      <family val="2"/>
    </font>
    <font>
      <sz val="11"/>
      <color theme="1"/>
      <name val="Segoe UI"/>
      <family val="2"/>
    </font>
    <font>
      <i/>
      <sz val="9"/>
      <color theme="1"/>
      <name val="Segoe UI"/>
      <family val="2"/>
    </font>
    <font>
      <b/>
      <u/>
      <sz val="11"/>
      <color theme="1"/>
      <name val="Segoe UI"/>
      <family val="2"/>
    </font>
    <font>
      <b/>
      <sz val="11"/>
      <name val="Segoe UI"/>
      <family val="2"/>
    </font>
    <font>
      <b/>
      <sz val="11"/>
      <color theme="1"/>
      <name val="Segoe UI"/>
      <family val="2"/>
    </font>
    <font>
      <sz val="8"/>
      <color theme="0" tint="-0.249977111117893"/>
      <name val="Segoe UI"/>
      <family val="2"/>
    </font>
    <font>
      <b/>
      <sz val="14"/>
      <name val="Segoe UI"/>
      <family val="2"/>
    </font>
    <font>
      <sz val="9"/>
      <color theme="0" tint="-0.249977111117893"/>
      <name val="Segoe UI"/>
      <family val="2"/>
    </font>
    <font>
      <b/>
      <sz val="14"/>
      <color theme="1"/>
      <name val="Segoe UI"/>
      <family val="2"/>
    </font>
    <font>
      <sz val="11"/>
      <color rgb="FFFF0000"/>
      <name val="Segoe UI"/>
      <family val="2"/>
    </font>
    <font>
      <sz val="11"/>
      <color theme="0"/>
      <name val="Segoe UI"/>
      <family val="2"/>
    </font>
    <font>
      <u/>
      <sz val="11"/>
      <color theme="10"/>
      <name val="Segoe UI"/>
      <family val="2"/>
    </font>
    <font>
      <b/>
      <i/>
      <sz val="11"/>
      <color theme="1"/>
      <name val="Segoe UI"/>
      <family val="2"/>
    </font>
    <font>
      <sz val="11"/>
      <color theme="4"/>
      <name val="Segoe UI"/>
      <family val="2"/>
    </font>
    <font>
      <b/>
      <sz val="12"/>
      <color theme="1"/>
      <name val="Segoe UI"/>
      <family val="2"/>
    </font>
    <font>
      <sz val="14"/>
      <color theme="1"/>
      <name val="Segoe UI"/>
      <family val="2"/>
    </font>
    <font>
      <b/>
      <sz val="18"/>
      <color theme="1"/>
      <name val="Segoe UI"/>
      <family val="2"/>
    </font>
    <font>
      <b/>
      <sz val="11"/>
      <color rgb="FFFF0000"/>
      <name val="Segoe UI"/>
      <family val="2"/>
    </font>
    <font>
      <u/>
      <sz val="11"/>
      <color rgb="FFFF0000"/>
      <name val="Segoe UI"/>
      <family val="2"/>
    </font>
    <font>
      <u/>
      <sz val="11"/>
      <color theme="1"/>
      <name val="Segoe UI"/>
      <family val="2"/>
    </font>
  </fonts>
  <fills count="1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cellStyleXfs>
  <cellXfs count="181">
    <xf numFmtId="0" fontId="0" fillId="0" borderId="0" xfId="0"/>
    <xf numFmtId="43" fontId="0" fillId="0" borderId="0" xfId="1" applyFont="1"/>
    <xf numFmtId="164" fontId="0" fillId="0" borderId="0" xfId="1" applyNumberFormat="1" applyFont="1"/>
    <xf numFmtId="0" fontId="0" fillId="0" borderId="0" xfId="0" applyAlignment="1">
      <alignment wrapText="1"/>
    </xf>
    <xf numFmtId="0" fontId="2" fillId="0" borderId="0" xfId="0" applyFont="1"/>
    <xf numFmtId="0" fontId="3" fillId="0" borderId="0" xfId="0" applyFont="1" applyAlignment="1">
      <alignment horizontal="center"/>
    </xf>
    <xf numFmtId="164" fontId="0" fillId="0" borderId="0" xfId="0" applyNumberFormat="1"/>
    <xf numFmtId="164" fontId="0" fillId="0" borderId="0" xfId="1" applyNumberFormat="1" applyFont="1" applyAlignment="1">
      <alignment wrapText="1"/>
    </xf>
    <xf numFmtId="0" fontId="5" fillId="0" borderId="0" xfId="3"/>
    <xf numFmtId="0" fontId="5" fillId="0" borderId="0" xfId="3" applyAlignment="1">
      <alignment horizontal="right"/>
    </xf>
    <xf numFmtId="0" fontId="5" fillId="0" borderId="0" xfId="3" applyAlignment="1">
      <alignment horizontal="center"/>
    </xf>
    <xf numFmtId="43" fontId="0" fillId="0" borderId="0" xfId="4" applyFont="1"/>
    <xf numFmtId="167" fontId="0" fillId="0" borderId="0" xfId="5" applyNumberFormat="1" applyFont="1"/>
    <xf numFmtId="167" fontId="0" fillId="0" borderId="0" xfId="5" applyNumberFormat="1" applyFont="1" applyFill="1"/>
    <xf numFmtId="0" fontId="6" fillId="0" borderId="0" xfId="3" applyFont="1"/>
    <xf numFmtId="0" fontId="4" fillId="0" borderId="1" xfId="3" applyFont="1" applyBorder="1"/>
    <xf numFmtId="0" fontId="4" fillId="0" borderId="2" xfId="3" applyFont="1" applyBorder="1"/>
    <xf numFmtId="0" fontId="7" fillId="0" borderId="0" xfId="3" applyFont="1"/>
    <xf numFmtId="0" fontId="7" fillId="0" borderId="0" xfId="3" applyFont="1" applyAlignment="1">
      <alignment horizontal="center"/>
    </xf>
    <xf numFmtId="0" fontId="7" fillId="0" borderId="0" xfId="3" applyFont="1" applyAlignment="1">
      <alignment horizontal="center" wrapText="1"/>
    </xf>
    <xf numFmtId="0" fontId="4" fillId="0" borderId="0" xfId="3" quotePrefix="1" applyFont="1"/>
    <xf numFmtId="43" fontId="4" fillId="0" borderId="0" xfId="3" applyNumberFormat="1" applyFont="1" applyAlignment="1">
      <alignment horizontal="center"/>
    </xf>
    <xf numFmtId="0" fontId="8" fillId="0" borderId="0" xfId="3" applyFont="1" applyAlignment="1">
      <alignment horizontal="center"/>
    </xf>
    <xf numFmtId="43" fontId="8" fillId="0" borderId="0" xfId="4" applyFont="1"/>
    <xf numFmtId="43" fontId="8" fillId="0" borderId="0" xfId="4" applyFont="1" applyFill="1"/>
    <xf numFmtId="43" fontId="5" fillId="0" borderId="0" xfId="3" applyNumberFormat="1"/>
    <xf numFmtId="49" fontId="6" fillId="0" borderId="0" xfId="3" applyNumberFormat="1" applyFont="1"/>
    <xf numFmtId="43" fontId="6" fillId="0" borderId="0" xfId="0" applyNumberFormat="1" applyFont="1"/>
    <xf numFmtId="0" fontId="0" fillId="0" borderId="0" xfId="0" applyAlignment="1">
      <alignment horizontal="center"/>
    </xf>
    <xf numFmtId="0" fontId="0" fillId="0" borderId="0" xfId="0" applyAlignment="1">
      <alignment horizontal="left"/>
    </xf>
    <xf numFmtId="0" fontId="6" fillId="0" borderId="0" xfId="0" applyFont="1"/>
    <xf numFmtId="0" fontId="9" fillId="0" borderId="0" xfId="0" quotePrefix="1" applyFont="1" applyAlignment="1">
      <alignment horizontal="left"/>
    </xf>
    <xf numFmtId="0" fontId="9" fillId="0" borderId="0" xfId="0" applyFont="1" applyAlignment="1">
      <alignment horizontal="left"/>
    </xf>
    <xf numFmtId="49" fontId="9" fillId="0" borderId="0" xfId="0" applyNumberFormat="1" applyFont="1" applyAlignment="1">
      <alignment horizontal="left"/>
    </xf>
    <xf numFmtId="49" fontId="6" fillId="0" borderId="0" xfId="0" applyNumberFormat="1" applyFont="1"/>
    <xf numFmtId="0" fontId="0" fillId="0" borderId="0" xfId="0" applyAlignment="1">
      <alignment horizontal="right"/>
    </xf>
    <xf numFmtId="0" fontId="7" fillId="0" borderId="0" xfId="0" applyFont="1" applyAlignment="1">
      <alignment horizontal="center" wrapText="1"/>
    </xf>
    <xf numFmtId="43" fontId="0" fillId="0" borderId="0" xfId="0" applyNumberFormat="1"/>
    <xf numFmtId="43" fontId="5" fillId="0" borderId="0" xfId="1" applyFont="1"/>
    <xf numFmtId="0" fontId="5" fillId="7" borderId="0" xfId="3" applyFill="1"/>
    <xf numFmtId="0" fontId="7" fillId="7" borderId="0" xfId="0" applyFont="1" applyFill="1" applyAlignment="1">
      <alignment horizontal="center" wrapText="1"/>
    </xf>
    <xf numFmtId="0" fontId="5" fillId="8" borderId="0" xfId="3" applyFill="1"/>
    <xf numFmtId="0" fontId="7" fillId="8" borderId="0" xfId="0" applyFont="1" applyFill="1" applyAlignment="1">
      <alignment horizontal="center" wrapText="1"/>
    </xf>
    <xf numFmtId="43" fontId="5" fillId="9" borderId="0" xfId="1" applyFont="1" applyFill="1"/>
    <xf numFmtId="0" fontId="4" fillId="0" borderId="0" xfId="0" applyFont="1"/>
    <xf numFmtId="0" fontId="0" fillId="10" borderId="0" xfId="0" applyFill="1" applyAlignment="1">
      <alignment horizontal="center"/>
    </xf>
    <xf numFmtId="0" fontId="12" fillId="0" borderId="0" xfId="0" applyFont="1"/>
    <xf numFmtId="167" fontId="0" fillId="7" borderId="0" xfId="5" applyNumberFormat="1" applyFont="1" applyFill="1"/>
    <xf numFmtId="0" fontId="13" fillId="0" borderId="0" xfId="0" applyFont="1" applyAlignment="1">
      <alignment horizontal="center"/>
    </xf>
    <xf numFmtId="0" fontId="14" fillId="0" borderId="0" xfId="0" applyFont="1"/>
    <xf numFmtId="0" fontId="15" fillId="0" borderId="0" xfId="0" applyFont="1"/>
    <xf numFmtId="169" fontId="15" fillId="3" borderId="0" xfId="0" applyNumberFormat="1" applyFont="1" applyFill="1" applyAlignment="1">
      <alignment horizontal="center"/>
    </xf>
    <xf numFmtId="1" fontId="15" fillId="3" borderId="4" xfId="0" applyNumberFormat="1" applyFont="1" applyFill="1" applyBorder="1" applyAlignment="1">
      <alignment horizontal="center"/>
    </xf>
    <xf numFmtId="0" fontId="16" fillId="0" borderId="0" xfId="0" applyFont="1" applyAlignment="1">
      <alignment horizontal="center" vertical="top"/>
    </xf>
    <xf numFmtId="0" fontId="17" fillId="0" borderId="0" xfId="0" applyFont="1"/>
    <xf numFmtId="0" fontId="15" fillId="0" borderId="0" xfId="0" applyFont="1" applyAlignment="1">
      <alignment horizontal="right"/>
    </xf>
    <xf numFmtId="0" fontId="15" fillId="3" borderId="7" xfId="0" applyFont="1" applyFill="1" applyBorder="1" applyAlignment="1">
      <alignment horizontal="center"/>
    </xf>
    <xf numFmtId="0" fontId="15" fillId="0" borderId="0" xfId="0" applyFont="1" applyAlignment="1">
      <alignment horizontal="left"/>
    </xf>
    <xf numFmtId="0" fontId="15" fillId="0" borderId="0" xfId="0" applyFont="1" applyAlignment="1">
      <alignment horizontal="center"/>
    </xf>
    <xf numFmtId="165" fontId="15" fillId="11" borderId="7" xfId="2" applyNumberFormat="1" applyFont="1" applyFill="1" applyBorder="1"/>
    <xf numFmtId="0" fontId="19" fillId="0" borderId="0" xfId="0" applyFont="1" applyAlignment="1">
      <alignment horizontal="center"/>
    </xf>
    <xf numFmtId="0" fontId="19" fillId="0" borderId="0" xfId="0" applyFont="1"/>
    <xf numFmtId="1" fontId="19" fillId="0" borderId="0" xfId="0" applyNumberFormat="1" applyFont="1" applyAlignment="1">
      <alignment horizontal="center" wrapText="1"/>
    </xf>
    <xf numFmtId="1" fontId="19" fillId="0" borderId="0" xfId="0" applyNumberFormat="1" applyFont="1" applyAlignment="1">
      <alignment horizontal="center"/>
    </xf>
    <xf numFmtId="0" fontId="19" fillId="0" borderId="0" xfId="0" applyFont="1" applyAlignment="1">
      <alignment horizontal="left" indent="2"/>
    </xf>
    <xf numFmtId="165" fontId="15" fillId="5" borderId="7" xfId="2" applyNumberFormat="1" applyFont="1" applyFill="1" applyBorder="1"/>
    <xf numFmtId="0" fontId="17" fillId="0" borderId="0" xfId="0" applyFont="1" applyAlignment="1">
      <alignment horizontal="center"/>
    </xf>
    <xf numFmtId="165" fontId="19" fillId="11" borderId="7" xfId="2" applyNumberFormat="1" applyFont="1" applyFill="1" applyBorder="1" applyAlignment="1"/>
    <xf numFmtId="165" fontId="19" fillId="5" borderId="7" xfId="2" applyNumberFormat="1" applyFont="1" applyFill="1" applyBorder="1"/>
    <xf numFmtId="165" fontId="19" fillId="11" borderId="7" xfId="2" applyNumberFormat="1" applyFont="1" applyFill="1" applyBorder="1"/>
    <xf numFmtId="165" fontId="19" fillId="11" borderId="7" xfId="2" applyNumberFormat="1" applyFont="1" applyFill="1" applyBorder="1" applyAlignment="1">
      <alignment vertical="center"/>
    </xf>
    <xf numFmtId="169" fontId="15" fillId="0" borderId="6" xfId="0" applyNumberFormat="1" applyFont="1" applyBorder="1" applyAlignment="1">
      <alignment horizontal="center"/>
    </xf>
    <xf numFmtId="0" fontId="15" fillId="0" borderId="0" xfId="0" applyFont="1" applyAlignment="1">
      <alignment horizontal="right" vertical="center"/>
    </xf>
    <xf numFmtId="0" fontId="15" fillId="0" borderId="7" xfId="0" applyFont="1" applyBorder="1"/>
    <xf numFmtId="0" fontId="15" fillId="0" borderId="0" xfId="0" applyFont="1" applyAlignment="1">
      <alignment horizontal="right" vertical="center" wrapText="1"/>
    </xf>
    <xf numFmtId="0" fontId="20" fillId="0" borderId="0" xfId="0" applyFont="1"/>
    <xf numFmtId="0" fontId="15" fillId="0" borderId="0" xfId="0" applyFont="1" applyProtection="1">
      <protection locked="0"/>
    </xf>
    <xf numFmtId="0" fontId="22" fillId="0" borderId="0" xfId="0" applyFont="1"/>
    <xf numFmtId="0" fontId="21" fillId="0" borderId="0" xfId="0" applyFont="1" applyAlignment="1">
      <alignment horizontal="center"/>
    </xf>
    <xf numFmtId="0" fontId="23" fillId="0" borderId="0" xfId="0" applyFont="1" applyAlignment="1">
      <alignment horizontal="right"/>
    </xf>
    <xf numFmtId="0" fontId="24" fillId="0" borderId="0" xfId="0" applyFont="1"/>
    <xf numFmtId="0" fontId="24" fillId="0" borderId="0" xfId="0" applyFont="1" applyAlignment="1">
      <alignment horizontal="left"/>
    </xf>
    <xf numFmtId="0" fontId="23" fillId="0" borderId="0" xfId="0" applyFont="1" applyAlignment="1" applyProtection="1">
      <alignment horizontal="center"/>
      <protection locked="0"/>
    </xf>
    <xf numFmtId="0" fontId="24" fillId="0" borderId="0" xfId="0" applyFont="1" applyAlignment="1">
      <alignment horizontal="left" indent="2"/>
    </xf>
    <xf numFmtId="0" fontId="26" fillId="0" borderId="0" xfId="7" applyFont="1" applyFill="1" applyAlignment="1">
      <alignment horizontal="left" wrapText="1" indent="2"/>
    </xf>
    <xf numFmtId="0" fontId="24" fillId="0" borderId="0" xfId="0" applyFont="1" applyAlignment="1">
      <alignment horizontal="left" wrapText="1" indent="2"/>
    </xf>
    <xf numFmtId="0" fontId="19" fillId="0" borderId="0" xfId="0" applyFont="1" applyAlignment="1">
      <alignment horizontal="right"/>
    </xf>
    <xf numFmtId="0" fontId="19" fillId="0" borderId="0" xfId="0" applyFont="1" applyProtection="1">
      <protection locked="0"/>
    </xf>
    <xf numFmtId="44" fontId="15" fillId="0" borderId="0" xfId="2" applyFont="1"/>
    <xf numFmtId="44" fontId="15" fillId="0" borderId="0" xfId="0" applyNumberFormat="1" applyFont="1"/>
    <xf numFmtId="44" fontId="15" fillId="0" borderId="0" xfId="0" applyNumberFormat="1" applyFont="1" applyProtection="1">
      <protection locked="0"/>
    </xf>
    <xf numFmtId="44" fontId="15" fillId="0" borderId="0" xfId="2" applyFont="1" applyProtection="1">
      <protection locked="0"/>
    </xf>
    <xf numFmtId="165" fontId="15" fillId="0" borderId="0" xfId="0" applyNumberFormat="1" applyFont="1" applyProtection="1">
      <protection locked="0"/>
    </xf>
    <xf numFmtId="166" fontId="15" fillId="0" borderId="0" xfId="0" applyNumberFormat="1" applyFont="1"/>
    <xf numFmtId="166" fontId="15" fillId="0" borderId="0" xfId="0" applyNumberFormat="1" applyFont="1" applyProtection="1">
      <protection locked="0"/>
    </xf>
    <xf numFmtId="0" fontId="27" fillId="0" borderId="0" xfId="0" applyFont="1"/>
    <xf numFmtId="0" fontId="27" fillId="0" borderId="0" xfId="0" applyFont="1" applyAlignment="1">
      <alignment horizontal="right"/>
    </xf>
    <xf numFmtId="43" fontId="15" fillId="4" borderId="0" xfId="1" applyFont="1" applyFill="1"/>
    <xf numFmtId="164" fontId="27" fillId="3" borderId="0" xfId="1" applyNumberFormat="1" applyFont="1" applyFill="1" applyProtection="1">
      <protection locked="0"/>
    </xf>
    <xf numFmtId="166" fontId="27" fillId="0" borderId="0" xfId="0" applyNumberFormat="1" applyFont="1" applyProtection="1">
      <protection locked="0"/>
    </xf>
    <xf numFmtId="0" fontId="27" fillId="0" borderId="0" xfId="0" applyFont="1" applyProtection="1">
      <protection locked="0"/>
    </xf>
    <xf numFmtId="166" fontId="27" fillId="3" borderId="0" xfId="8" applyNumberFormat="1" applyFont="1" applyFill="1" applyProtection="1">
      <protection locked="0"/>
    </xf>
    <xf numFmtId="165" fontId="15" fillId="0" borderId="0" xfId="2" applyNumberFormat="1" applyFont="1"/>
    <xf numFmtId="43" fontId="15" fillId="0" borderId="0" xfId="1" applyFont="1"/>
    <xf numFmtId="43" fontId="27" fillId="3" borderId="0" xfId="1" applyFont="1" applyFill="1" applyProtection="1">
      <protection locked="0"/>
    </xf>
    <xf numFmtId="168" fontId="15" fillId="0" borderId="0" xfId="1" applyNumberFormat="1" applyFont="1"/>
    <xf numFmtId="165" fontId="27" fillId="3" borderId="0" xfId="2" applyNumberFormat="1" applyFont="1" applyFill="1" applyProtection="1">
      <protection locked="0"/>
    </xf>
    <xf numFmtId="43" fontId="14" fillId="0" borderId="0" xfId="1" applyFont="1"/>
    <xf numFmtId="43" fontId="15" fillId="0" borderId="0" xfId="0" applyNumberFormat="1" applyFont="1" applyProtection="1">
      <protection locked="0"/>
    </xf>
    <xf numFmtId="0" fontId="29" fillId="2" borderId="0" xfId="0" applyFont="1" applyFill="1" applyAlignment="1">
      <alignment horizontal="right"/>
    </xf>
    <xf numFmtId="165" fontId="29" fillId="2" borderId="0" xfId="2" applyNumberFormat="1" applyFont="1" applyFill="1"/>
    <xf numFmtId="165" fontId="15" fillId="0" borderId="0" xfId="2" applyNumberFormat="1" applyFont="1" applyFill="1"/>
    <xf numFmtId="165" fontId="15" fillId="2" borderId="0" xfId="2" applyNumberFormat="1" applyFont="1" applyFill="1"/>
    <xf numFmtId="44" fontId="15" fillId="0" borderId="0" xfId="2" applyFont="1" applyFill="1"/>
    <xf numFmtId="0" fontId="30" fillId="0" borderId="0" xfId="0" applyFont="1"/>
    <xf numFmtId="0" fontId="23" fillId="4" borderId="0" xfId="0" applyFont="1" applyFill="1" applyAlignment="1">
      <alignment horizontal="right"/>
    </xf>
    <xf numFmtId="165" fontId="23" fillId="4" borderId="0" xfId="2" applyNumberFormat="1" applyFont="1" applyFill="1"/>
    <xf numFmtId="0" fontId="30" fillId="0" borderId="0" xfId="0" applyFont="1" applyProtection="1">
      <protection locked="0"/>
    </xf>
    <xf numFmtId="0" fontId="23" fillId="5" borderId="0" xfId="0" applyFont="1" applyFill="1" applyAlignment="1">
      <alignment horizontal="right"/>
    </xf>
    <xf numFmtId="0" fontId="10" fillId="0" borderId="0" xfId="7" applyAlignment="1">
      <alignment horizontal="left" vertical="top"/>
    </xf>
    <xf numFmtId="0" fontId="31" fillId="5" borderId="0" xfId="0" applyFont="1" applyFill="1"/>
    <xf numFmtId="0" fontId="15" fillId="5" borderId="0" xfId="0" applyFont="1" applyFill="1"/>
    <xf numFmtId="14" fontId="15" fillId="7" borderId="0" xfId="0" applyNumberFormat="1" applyFont="1" applyFill="1"/>
    <xf numFmtId="165" fontId="15" fillId="12" borderId="7" xfId="2" applyNumberFormat="1" applyFont="1" applyFill="1" applyBorder="1"/>
    <xf numFmtId="0" fontId="15" fillId="12" borderId="7" xfId="0" applyFont="1" applyFill="1" applyBorder="1" applyAlignment="1">
      <alignment horizontal="center"/>
    </xf>
    <xf numFmtId="0" fontId="15" fillId="0" borderId="0" xfId="0" applyFont="1" applyAlignment="1">
      <alignment wrapText="1"/>
    </xf>
    <xf numFmtId="0" fontId="15" fillId="3" borderId="16" xfId="0" applyFont="1" applyFill="1" applyBorder="1"/>
    <xf numFmtId="0" fontId="15" fillId="5" borderId="17" xfId="0" applyFont="1" applyFill="1" applyBorder="1"/>
    <xf numFmtId="0" fontId="15" fillId="12" borderId="18" xfId="0" applyFont="1" applyFill="1" applyBorder="1"/>
    <xf numFmtId="0" fontId="15" fillId="11" borderId="19" xfId="0" applyFont="1" applyFill="1" applyBorder="1"/>
    <xf numFmtId="44" fontId="15" fillId="12" borderId="7" xfId="2" applyFont="1" applyFill="1" applyBorder="1"/>
    <xf numFmtId="0" fontId="23" fillId="0" borderId="0" xfId="0" applyFont="1"/>
    <xf numFmtId="0" fontId="5" fillId="0" borderId="0" xfId="3" applyAlignment="1">
      <alignment horizontal="center" vertical="center"/>
    </xf>
    <xf numFmtId="165" fontId="14" fillId="0" borderId="0" xfId="2" applyNumberFormat="1" applyFont="1" applyFill="1"/>
    <xf numFmtId="0" fontId="10" fillId="0" borderId="0" xfId="7" applyFill="1" applyAlignment="1">
      <alignment horizontal="left" wrapText="1" indent="2"/>
    </xf>
    <xf numFmtId="165" fontId="14" fillId="0" borderId="0" xfId="2" applyNumberFormat="1" applyFont="1"/>
    <xf numFmtId="0" fontId="5" fillId="7" borderId="0" xfId="3" applyFill="1" applyAlignment="1">
      <alignment wrapText="1"/>
    </xf>
    <xf numFmtId="164" fontId="15" fillId="0" borderId="0" xfId="1" applyNumberFormat="1" applyFont="1"/>
    <xf numFmtId="164" fontId="0" fillId="10" borderId="0" xfId="1" applyNumberFormat="1" applyFont="1" applyFill="1"/>
    <xf numFmtId="164" fontId="0" fillId="0" borderId="0" xfId="1" applyNumberFormat="1" applyFont="1" applyFill="1"/>
    <xf numFmtId="0" fontId="4" fillId="0" borderId="3" xfId="0" applyFont="1" applyBorder="1" applyAlignment="1">
      <alignment horizontal="center" wrapText="1"/>
    </xf>
    <xf numFmtId="168" fontId="14" fillId="0" borderId="0" xfId="1" applyNumberFormat="1" applyFont="1"/>
    <xf numFmtId="43" fontId="21" fillId="0" borderId="0" xfId="1" applyFont="1" applyAlignment="1">
      <alignment horizontal="center"/>
    </xf>
    <xf numFmtId="0" fontId="15"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15" fillId="0" borderId="0" xfId="0" applyFont="1" applyAlignment="1">
      <alignment horizontal="left" wrapText="1" indent="4"/>
    </xf>
    <xf numFmtId="0" fontId="15" fillId="12" borderId="0" xfId="0" applyFont="1" applyFill="1" applyAlignment="1">
      <alignment horizontal="left" wrapText="1"/>
    </xf>
    <xf numFmtId="0" fontId="23" fillId="5" borderId="0" xfId="0" applyFont="1" applyFill="1" applyAlignment="1">
      <alignment horizontal="left"/>
    </xf>
    <xf numFmtId="0" fontId="23" fillId="4" borderId="0" xfId="0" applyFont="1" applyFill="1" applyAlignment="1">
      <alignment horizontal="center"/>
    </xf>
    <xf numFmtId="0" fontId="21" fillId="0" borderId="0" xfId="0" applyFont="1" applyAlignment="1">
      <alignment horizontal="center"/>
    </xf>
    <xf numFmtId="0" fontId="23" fillId="3" borderId="0" xfId="0" applyFont="1" applyFill="1" applyAlignment="1" applyProtection="1">
      <alignment horizontal="center"/>
      <protection locked="0"/>
    </xf>
    <xf numFmtId="0" fontId="24" fillId="0" borderId="0" xfId="0" applyFont="1" applyAlignment="1">
      <alignment horizontal="left" wrapText="1" indent="2"/>
    </xf>
    <xf numFmtId="0" fontId="25" fillId="6" borderId="0" xfId="0" applyFont="1" applyFill="1" applyAlignment="1">
      <alignment horizontal="left" wrapText="1" indent="2"/>
    </xf>
    <xf numFmtId="0" fontId="24" fillId="0" borderId="0" xfId="0" applyFont="1" applyAlignment="1">
      <alignment horizontal="left" vertical="center" wrapText="1" indent="2"/>
    </xf>
    <xf numFmtId="0" fontId="17" fillId="0" borderId="0" xfId="0" applyFont="1" applyAlignment="1">
      <alignment horizontal="center"/>
    </xf>
    <xf numFmtId="0" fontId="19" fillId="0" borderId="0" xfId="0" applyFont="1" applyAlignment="1">
      <alignment horizontal="left" indent="2"/>
    </xf>
    <xf numFmtId="0" fontId="34" fillId="0" borderId="14" xfId="0" applyFont="1" applyBorder="1" applyAlignment="1">
      <alignment horizontal="center" wrapText="1"/>
    </xf>
    <xf numFmtId="0" fontId="34" fillId="0" borderId="15" xfId="0" applyFont="1" applyBorder="1" applyAlignment="1">
      <alignment horizontal="center" wrapText="1"/>
    </xf>
    <xf numFmtId="0" fontId="15" fillId="0" borderId="4" xfId="0" applyFont="1" applyBorder="1" applyAlignment="1">
      <alignment horizontal="center"/>
    </xf>
    <xf numFmtId="0" fontId="17" fillId="0" borderId="0" xfId="0" applyFont="1" applyAlignment="1">
      <alignment horizontal="left"/>
    </xf>
    <xf numFmtId="0" fontId="15" fillId="0" borderId="0" xfId="0" applyFont="1" applyAlignment="1">
      <alignment horizontal="right" indent="3"/>
    </xf>
    <xf numFmtId="0" fontId="15" fillId="0" borderId="11" xfId="0" applyFont="1" applyBorder="1" applyAlignment="1">
      <alignment horizontal="right" indent="3"/>
    </xf>
    <xf numFmtId="0" fontId="19" fillId="0" borderId="0" xfId="0" applyFont="1" applyAlignment="1">
      <alignment horizontal="right" indent="3"/>
    </xf>
    <xf numFmtId="0" fontId="19" fillId="0" borderId="11" xfId="0" applyFont="1" applyBorder="1" applyAlignment="1">
      <alignment horizontal="right" indent="3"/>
    </xf>
    <xf numFmtId="0" fontId="15" fillId="0" borderId="0" xfId="0" applyFont="1" applyAlignment="1">
      <alignment horizontal="right" wrapText="1" indent="3"/>
    </xf>
    <xf numFmtId="0" fontId="15" fillId="12" borderId="4" xfId="0" applyFont="1" applyFill="1" applyBorder="1" applyAlignment="1">
      <alignment horizontal="center"/>
    </xf>
    <xf numFmtId="169" fontId="15" fillId="0" borderId="5" xfId="0" applyNumberFormat="1" applyFont="1" applyBorder="1" applyAlignment="1">
      <alignment horizontal="center"/>
    </xf>
    <xf numFmtId="0" fontId="15" fillId="5" borderId="6" xfId="0" applyFont="1" applyFill="1" applyBorder="1" applyAlignment="1">
      <alignment horizontal="center"/>
    </xf>
    <xf numFmtId="0" fontId="15" fillId="5" borderId="4" xfId="0" applyFont="1" applyFill="1" applyBorder="1" applyAlignment="1">
      <alignment horizontal="center"/>
    </xf>
    <xf numFmtId="0" fontId="16" fillId="0" borderId="5" xfId="0" applyFont="1" applyBorder="1" applyAlignment="1">
      <alignment horizontal="center" vertical="top"/>
    </xf>
    <xf numFmtId="0" fontId="15" fillId="5" borderId="8" xfId="0" applyFont="1" applyFill="1" applyBorder="1" applyAlignment="1">
      <alignment horizontal="center"/>
    </xf>
    <xf numFmtId="0" fontId="15" fillId="5" borderId="5"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9" fillId="0" borderId="0" xfId="0" applyFont="1" applyAlignment="1">
      <alignment horizontal="center"/>
    </xf>
    <xf numFmtId="0" fontId="5" fillId="0" borderId="0" xfId="3" applyAlignment="1">
      <alignment horizontal="center"/>
    </xf>
  </cellXfs>
  <cellStyles count="9">
    <cellStyle name="Comma" xfId="1" builtinId="3"/>
    <cellStyle name="Comma 2" xfId="4" xr:uid="{00000000-0005-0000-0000-000001000000}"/>
    <cellStyle name="Currency" xfId="2" builtinId="4"/>
    <cellStyle name="Hyperlink" xfId="7" builtinId="8"/>
    <cellStyle name="Normal" xfId="0" builtinId="0"/>
    <cellStyle name="Normal 2" xfId="3" xr:uid="{00000000-0005-0000-0000-000005000000}"/>
    <cellStyle name="Normal 23" xfId="6" xr:uid="{00000000-0005-0000-0000-000006000000}"/>
    <cellStyle name="Percent" xfId="8" builtinId="5"/>
    <cellStyle name="Percent 2" xfId="5" xr:uid="{00000000-0005-0000-0000-00000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lawfilesext.leg.wa.gov/biennium/2021-22/Pdf/Bills/Session%20Laws/House/1590-S.SL.pdf?q=20220331141555" TargetMode="External"/><Relationship Id="rId2" Type="http://schemas.openxmlformats.org/officeDocument/2006/relationships/hyperlink" Target="https://lawfilesext.leg.wa.gov/biennium/2021-22/Pdf/Bills/House%20Passed%20Legislature/1476-S.PL.pdf?q=20210512101409" TargetMode="External"/><Relationship Id="rId1" Type="http://schemas.openxmlformats.org/officeDocument/2006/relationships/hyperlink" Target="https://lawfilesext.leg.wa.gov/biennium/2021-22/Pdf/Bills/Session%20Laws/Senate/5251-S.SL.pdf?q=2021100808500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awfilesext.leg.wa.gov/biennium/2021-22/Pdf/Bills/Session%20Laws/House/1590-S.SL.pdf?q=20220331141555" TargetMode="External"/><Relationship Id="rId2" Type="http://schemas.openxmlformats.org/officeDocument/2006/relationships/hyperlink" Target="https://lawfilesext.leg.wa.gov/biennium/2021-22/Pdf/Bills/House%20Passed%20Legislature/1476-S.PL.pdf?q=20210512101409" TargetMode="External"/><Relationship Id="rId1" Type="http://schemas.openxmlformats.org/officeDocument/2006/relationships/hyperlink" Target="https://lawfilesext.leg.wa.gov/biennium/2021-22/Pdf/Bills/Session%20Laws/Senate/5251-S.SL.pdf?q=20211008085009"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reBallotApprovals@k12.wa.us?subject=Pre%20Ballot%20Approva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M63"/>
  <sheetViews>
    <sheetView zoomScaleNormal="100" workbookViewId="0"/>
  </sheetViews>
  <sheetFormatPr defaultColWidth="9.28515625" defaultRowHeight="16.5" x14ac:dyDescent="0.3"/>
  <cols>
    <col min="1" max="1" width="12.28515625" style="50" bestFit="1" customWidth="1"/>
    <col min="2" max="12" width="9.28515625" style="50"/>
    <col min="13" max="13" width="10.7109375" style="50" customWidth="1"/>
    <col min="14" max="16384" width="9.28515625" style="50"/>
  </cols>
  <sheetData>
    <row r="1" spans="1:13" ht="26.25" x14ac:dyDescent="0.45">
      <c r="A1" s="120" t="s">
        <v>1102</v>
      </c>
      <c r="B1" s="121"/>
      <c r="C1" s="121"/>
      <c r="D1" s="121"/>
      <c r="E1" s="121"/>
      <c r="F1" s="121"/>
      <c r="G1" s="121"/>
      <c r="H1" s="121"/>
      <c r="I1" s="121"/>
      <c r="J1" s="121"/>
      <c r="K1" s="121"/>
      <c r="L1" s="121"/>
      <c r="M1" s="121"/>
    </row>
    <row r="2" spans="1:13" s="114" customFormat="1" ht="16.5" customHeight="1" x14ac:dyDescent="0.35">
      <c r="A2" s="145" t="s">
        <v>1103</v>
      </c>
      <c r="B2" s="145"/>
      <c r="C2" s="145"/>
      <c r="D2" s="145"/>
      <c r="E2" s="145"/>
      <c r="F2" s="145"/>
      <c r="G2" s="145"/>
      <c r="H2" s="145"/>
      <c r="I2" s="145"/>
      <c r="J2" s="145"/>
      <c r="K2" s="145"/>
      <c r="L2" s="145"/>
      <c r="M2" s="145"/>
    </row>
    <row r="3" spans="1:13" ht="48" customHeight="1" x14ac:dyDescent="0.3">
      <c r="A3" s="146" t="s">
        <v>1104</v>
      </c>
      <c r="B3" s="146"/>
      <c r="C3" s="146"/>
      <c r="D3" s="146"/>
      <c r="E3" s="146"/>
      <c r="F3" s="146"/>
      <c r="G3" s="146"/>
      <c r="H3" s="146"/>
      <c r="I3" s="146"/>
      <c r="J3" s="146"/>
      <c r="K3" s="146"/>
      <c r="L3" s="146"/>
      <c r="M3" s="146"/>
    </row>
    <row r="4" spans="1:13" ht="8.4499999999999993" customHeight="1" x14ac:dyDescent="0.35">
      <c r="A4" s="131"/>
      <c r="B4" s="131"/>
      <c r="C4" s="131"/>
      <c r="D4" s="131"/>
      <c r="E4" s="131"/>
      <c r="F4" s="131"/>
      <c r="G4" s="131"/>
      <c r="H4" s="131"/>
      <c r="I4" s="131"/>
      <c r="J4" s="131"/>
      <c r="K4" s="131"/>
      <c r="L4" s="131"/>
      <c r="M4" s="131"/>
    </row>
    <row r="5" spans="1:13" ht="26.25" x14ac:dyDescent="0.45">
      <c r="A5" s="120" t="s">
        <v>1105</v>
      </c>
      <c r="B5" s="121"/>
      <c r="C5" s="121"/>
      <c r="D5" s="121"/>
      <c r="E5" s="121"/>
      <c r="F5" s="121"/>
      <c r="G5" s="121"/>
      <c r="H5" s="121"/>
      <c r="I5" s="121"/>
      <c r="J5" s="121"/>
      <c r="K5" s="121"/>
      <c r="L5" s="121"/>
      <c r="M5" s="121"/>
    </row>
    <row r="6" spans="1:13" ht="49.15" customHeight="1" x14ac:dyDescent="0.3">
      <c r="A6" s="147" t="s">
        <v>1142</v>
      </c>
      <c r="B6" s="147"/>
      <c r="C6" s="147"/>
      <c r="D6" s="147"/>
      <c r="E6" s="147"/>
      <c r="F6" s="147"/>
      <c r="G6" s="147"/>
      <c r="H6" s="147"/>
      <c r="I6" s="147"/>
      <c r="J6" s="147"/>
      <c r="K6" s="147"/>
      <c r="L6" s="147"/>
      <c r="M6" s="147"/>
    </row>
    <row r="7" spans="1:13" ht="8.4499999999999993" customHeight="1" x14ac:dyDescent="0.35">
      <c r="A7" s="131"/>
      <c r="B7" s="131"/>
      <c r="C7" s="131"/>
      <c r="D7" s="131"/>
      <c r="E7" s="131"/>
      <c r="F7" s="131"/>
      <c r="G7" s="131"/>
      <c r="H7" s="131"/>
      <c r="I7" s="131"/>
      <c r="J7" s="131"/>
      <c r="K7" s="131"/>
      <c r="L7" s="131"/>
      <c r="M7" s="131"/>
    </row>
    <row r="8" spans="1:13" ht="20.25" x14ac:dyDescent="0.35">
      <c r="A8" s="145" t="s">
        <v>1106</v>
      </c>
      <c r="B8" s="145"/>
      <c r="C8" s="145"/>
      <c r="D8" s="145"/>
      <c r="E8" s="145"/>
      <c r="F8" s="145"/>
      <c r="G8" s="145"/>
      <c r="H8" s="145"/>
      <c r="I8" s="145"/>
      <c r="J8" s="145"/>
      <c r="K8" s="145"/>
      <c r="L8" s="145"/>
      <c r="M8" s="145"/>
    </row>
    <row r="9" spans="1:13" ht="8.4499999999999993" customHeight="1" x14ac:dyDescent="0.35">
      <c r="A9" s="131"/>
      <c r="B9" s="131"/>
      <c r="C9" s="131"/>
      <c r="D9" s="131"/>
      <c r="E9" s="131"/>
      <c r="F9" s="131"/>
      <c r="G9" s="131"/>
      <c r="H9" s="131"/>
      <c r="I9" s="131"/>
      <c r="J9" s="131"/>
      <c r="K9" s="131"/>
      <c r="L9" s="131"/>
      <c r="M9" s="131"/>
    </row>
    <row r="10" spans="1:13" ht="33" customHeight="1" x14ac:dyDescent="0.3">
      <c r="A10" s="143" t="s">
        <v>1107</v>
      </c>
      <c r="B10" s="143"/>
      <c r="C10" s="143"/>
      <c r="D10" s="143"/>
      <c r="E10" s="143"/>
      <c r="F10" s="143"/>
      <c r="G10" s="143"/>
      <c r="H10" s="143"/>
      <c r="I10" s="143"/>
      <c r="J10" s="143"/>
      <c r="K10" s="143"/>
      <c r="L10" s="143"/>
      <c r="M10" s="143"/>
    </row>
    <row r="11" spans="1:13" ht="8.4499999999999993" customHeight="1" x14ac:dyDescent="0.35">
      <c r="A11" s="131"/>
      <c r="B11" s="131"/>
      <c r="C11" s="131"/>
      <c r="D11" s="131"/>
      <c r="E11" s="131"/>
      <c r="F11" s="131"/>
      <c r="G11" s="131"/>
      <c r="H11" s="131"/>
      <c r="I11" s="131"/>
      <c r="J11" s="131"/>
      <c r="K11" s="131"/>
      <c r="L11" s="131"/>
      <c r="M11" s="131"/>
    </row>
    <row r="12" spans="1:13" ht="20.25" x14ac:dyDescent="0.35">
      <c r="A12" s="145" t="s">
        <v>1108</v>
      </c>
      <c r="B12" s="145"/>
      <c r="C12" s="145"/>
      <c r="D12" s="145"/>
      <c r="E12" s="145"/>
      <c r="F12" s="145"/>
      <c r="G12" s="145"/>
      <c r="H12" s="145"/>
      <c r="I12" s="145"/>
      <c r="J12" s="145"/>
      <c r="K12" s="145"/>
      <c r="L12" s="145"/>
      <c r="M12" s="145"/>
    </row>
    <row r="13" spans="1:13" ht="8.4499999999999993" customHeight="1" x14ac:dyDescent="0.35">
      <c r="A13" s="131"/>
      <c r="B13" s="131"/>
      <c r="C13" s="131"/>
      <c r="D13" s="131"/>
      <c r="E13" s="131"/>
      <c r="F13" s="131"/>
      <c r="G13" s="131"/>
      <c r="H13" s="131"/>
      <c r="I13" s="131"/>
      <c r="J13" s="131"/>
      <c r="K13" s="131"/>
      <c r="L13" s="131"/>
      <c r="M13" s="131"/>
    </row>
    <row r="14" spans="1:13" ht="17.45" customHeight="1" x14ac:dyDescent="0.3">
      <c r="A14" s="143" t="s">
        <v>1109</v>
      </c>
      <c r="B14" s="143"/>
      <c r="C14" s="143"/>
      <c r="D14" s="143"/>
      <c r="E14" s="143"/>
      <c r="F14" s="143"/>
      <c r="G14" s="143"/>
      <c r="H14" s="143"/>
      <c r="I14" s="143"/>
      <c r="J14" s="143"/>
      <c r="K14" s="143"/>
      <c r="L14" s="143"/>
      <c r="M14" s="143"/>
    </row>
    <row r="15" spans="1:13" ht="34.15" customHeight="1" x14ac:dyDescent="0.3">
      <c r="A15" s="144" t="s">
        <v>1110</v>
      </c>
      <c r="B15" s="144"/>
      <c r="C15" s="144"/>
      <c r="D15" s="144"/>
      <c r="E15" s="144"/>
      <c r="F15" s="144"/>
      <c r="G15" s="144"/>
      <c r="H15" s="144"/>
      <c r="I15" s="144"/>
      <c r="J15" s="144"/>
      <c r="K15" s="144"/>
      <c r="L15" s="144"/>
      <c r="M15" s="144"/>
    </row>
    <row r="16" spans="1:13" ht="8.4499999999999993" customHeight="1" x14ac:dyDescent="0.35">
      <c r="A16" s="131"/>
      <c r="B16" s="131"/>
      <c r="C16" s="131"/>
      <c r="D16" s="131"/>
      <c r="E16" s="131"/>
      <c r="F16" s="131"/>
      <c r="G16" s="131"/>
      <c r="H16" s="131"/>
      <c r="I16" s="131"/>
      <c r="J16" s="131"/>
      <c r="K16" s="131"/>
      <c r="L16" s="131"/>
      <c r="M16" s="131"/>
    </row>
    <row r="17" spans="1:13" ht="17.45" customHeight="1" x14ac:dyDescent="0.35">
      <c r="A17" s="145" t="s">
        <v>1111</v>
      </c>
      <c r="B17" s="145"/>
      <c r="C17" s="145"/>
      <c r="D17" s="145"/>
      <c r="E17" s="145"/>
      <c r="F17" s="145"/>
      <c r="G17" s="145"/>
      <c r="H17" s="145"/>
      <c r="I17" s="145"/>
      <c r="J17" s="145"/>
      <c r="K17" s="145"/>
      <c r="L17" s="145"/>
      <c r="M17" s="145"/>
    </row>
    <row r="18" spans="1:13" ht="8.4499999999999993" customHeight="1" x14ac:dyDescent="0.35">
      <c r="A18" s="131"/>
      <c r="B18" s="131"/>
      <c r="C18" s="131"/>
      <c r="D18" s="131"/>
      <c r="E18" s="131"/>
      <c r="F18" s="131"/>
      <c r="G18" s="131"/>
      <c r="H18" s="131"/>
      <c r="I18" s="131"/>
      <c r="J18" s="131"/>
      <c r="K18" s="131"/>
      <c r="L18" s="131"/>
      <c r="M18" s="131"/>
    </row>
    <row r="19" spans="1:13" x14ac:dyDescent="0.3">
      <c r="A19" s="143" t="s">
        <v>1190</v>
      </c>
      <c r="B19" s="143"/>
      <c r="C19" s="143"/>
      <c r="D19" s="143"/>
      <c r="E19" s="143"/>
      <c r="F19" s="143"/>
      <c r="G19" s="143"/>
      <c r="H19" s="143"/>
      <c r="I19" s="143"/>
      <c r="J19" s="143"/>
      <c r="K19" s="143"/>
      <c r="L19" s="143"/>
      <c r="M19" s="143"/>
    </row>
    <row r="20" spans="1:13" ht="8.4499999999999993" customHeight="1" x14ac:dyDescent="0.35">
      <c r="A20" s="131"/>
      <c r="B20" s="131"/>
      <c r="C20" s="131"/>
      <c r="D20" s="131"/>
      <c r="E20" s="131"/>
      <c r="F20" s="131"/>
      <c r="G20" s="131"/>
      <c r="H20" s="131"/>
      <c r="I20" s="131"/>
      <c r="J20" s="131"/>
      <c r="K20" s="131"/>
      <c r="L20" s="131"/>
      <c r="M20" s="131"/>
    </row>
    <row r="21" spans="1:13" ht="35.25" customHeight="1" x14ac:dyDescent="0.3">
      <c r="A21" s="143" t="s">
        <v>1141</v>
      </c>
      <c r="B21" s="143"/>
      <c r="C21" s="143"/>
      <c r="D21" s="143"/>
      <c r="E21" s="143"/>
      <c r="F21" s="143"/>
      <c r="G21" s="143"/>
      <c r="H21" s="143"/>
      <c r="I21" s="143"/>
      <c r="J21" s="143"/>
      <c r="K21" s="143"/>
      <c r="L21" s="143"/>
      <c r="M21" s="143"/>
    </row>
    <row r="22" spans="1:13" ht="8.4499999999999993" customHeight="1" x14ac:dyDescent="0.35">
      <c r="A22" s="131"/>
      <c r="B22" s="131"/>
      <c r="C22" s="131"/>
      <c r="D22" s="131"/>
      <c r="E22" s="131"/>
      <c r="F22" s="131"/>
      <c r="G22" s="131"/>
      <c r="H22" s="131"/>
      <c r="I22" s="131"/>
      <c r="J22" s="131"/>
      <c r="K22" s="131"/>
      <c r="L22" s="131"/>
      <c r="M22" s="131"/>
    </row>
    <row r="23" spans="1:13" ht="32.25" customHeight="1" x14ac:dyDescent="0.3">
      <c r="A23" s="143" t="s">
        <v>1140</v>
      </c>
      <c r="B23" s="143"/>
      <c r="C23" s="143"/>
      <c r="D23" s="143"/>
      <c r="E23" s="143"/>
      <c r="F23" s="143"/>
      <c r="G23" s="143"/>
      <c r="H23" s="143"/>
      <c r="I23" s="143"/>
      <c r="J23" s="143"/>
      <c r="K23" s="143"/>
      <c r="L23" s="143"/>
      <c r="M23" s="143"/>
    </row>
    <row r="24" spans="1:13" ht="36.6" customHeight="1" x14ac:dyDescent="0.3">
      <c r="A24" s="144" t="s">
        <v>1120</v>
      </c>
      <c r="B24" s="144"/>
      <c r="C24" s="144"/>
      <c r="D24" s="144"/>
      <c r="E24" s="144"/>
      <c r="F24" s="144"/>
      <c r="G24" s="144"/>
      <c r="H24" s="144"/>
      <c r="I24" s="144"/>
      <c r="J24" s="144"/>
      <c r="K24" s="144"/>
      <c r="L24" s="144"/>
      <c r="M24" s="144"/>
    </row>
    <row r="25" spans="1:13" ht="8.4499999999999993" customHeight="1" x14ac:dyDescent="0.35">
      <c r="A25" s="131"/>
      <c r="B25" s="131"/>
      <c r="C25" s="131"/>
      <c r="D25" s="131"/>
      <c r="E25" s="131"/>
      <c r="F25" s="131"/>
      <c r="G25" s="131"/>
      <c r="H25" s="131"/>
      <c r="I25" s="131"/>
      <c r="J25" s="131"/>
      <c r="K25" s="131"/>
      <c r="L25" s="131"/>
      <c r="M25" s="131"/>
    </row>
    <row r="26" spans="1:13" ht="20.25" x14ac:dyDescent="0.35">
      <c r="A26" s="145" t="s">
        <v>1112</v>
      </c>
      <c r="B26" s="145"/>
      <c r="C26" s="145"/>
      <c r="D26" s="145"/>
      <c r="E26" s="145"/>
      <c r="F26" s="145"/>
      <c r="G26" s="145"/>
      <c r="H26" s="145"/>
      <c r="I26" s="145"/>
      <c r="J26" s="145"/>
      <c r="K26" s="145"/>
      <c r="L26" s="145"/>
      <c r="M26" s="145"/>
    </row>
    <row r="27" spans="1:13" ht="8.4499999999999993" customHeight="1" x14ac:dyDescent="0.35">
      <c r="A27" s="131"/>
      <c r="B27" s="131"/>
      <c r="C27" s="131"/>
      <c r="D27" s="131"/>
      <c r="E27" s="131"/>
      <c r="F27" s="131"/>
      <c r="G27" s="131"/>
      <c r="H27" s="131"/>
      <c r="I27" s="131"/>
      <c r="J27" s="131"/>
      <c r="K27" s="131"/>
      <c r="L27" s="131"/>
      <c r="M27" s="131"/>
    </row>
    <row r="28" spans="1:13" x14ac:dyDescent="0.3">
      <c r="A28" s="143" t="s">
        <v>1121</v>
      </c>
      <c r="B28" s="143"/>
      <c r="C28" s="143"/>
      <c r="D28" s="143"/>
      <c r="E28" s="143"/>
      <c r="F28" s="143"/>
      <c r="G28" s="143"/>
      <c r="H28" s="143"/>
      <c r="I28" s="143"/>
      <c r="J28" s="143"/>
      <c r="K28" s="143"/>
      <c r="L28" s="143"/>
      <c r="M28" s="143"/>
    </row>
    <row r="29" spans="1:13" x14ac:dyDescent="0.3">
      <c r="A29" s="144" t="s">
        <v>1139</v>
      </c>
      <c r="B29" s="144"/>
      <c r="C29" s="144"/>
      <c r="D29" s="144"/>
      <c r="E29" s="144"/>
      <c r="F29" s="144"/>
      <c r="G29" s="144"/>
      <c r="H29" s="144"/>
      <c r="I29" s="144"/>
      <c r="J29" s="144"/>
      <c r="K29" s="144"/>
      <c r="L29" s="144"/>
      <c r="M29" s="144"/>
    </row>
    <row r="30" spans="1:13" ht="8.4499999999999993" customHeight="1" x14ac:dyDescent="0.35">
      <c r="A30" s="131"/>
      <c r="B30" s="131"/>
      <c r="C30" s="131"/>
      <c r="D30" s="131"/>
      <c r="E30" s="131"/>
      <c r="F30" s="131"/>
      <c r="G30" s="131"/>
      <c r="H30" s="131"/>
      <c r="I30" s="131"/>
      <c r="J30" s="131"/>
      <c r="K30" s="131"/>
      <c r="L30" s="131"/>
      <c r="M30" s="131"/>
    </row>
    <row r="31" spans="1:13" ht="31.5" customHeight="1" x14ac:dyDescent="0.3">
      <c r="A31" s="143" t="s">
        <v>1138</v>
      </c>
      <c r="B31" s="143"/>
      <c r="C31" s="143"/>
      <c r="D31" s="143"/>
      <c r="E31" s="143"/>
      <c r="F31" s="143"/>
      <c r="G31" s="143"/>
      <c r="H31" s="143"/>
      <c r="I31" s="143"/>
      <c r="J31" s="143"/>
      <c r="K31" s="143"/>
      <c r="L31" s="143"/>
      <c r="M31" s="143"/>
    </row>
    <row r="32" spans="1:13" x14ac:dyDescent="0.3">
      <c r="A32" s="144" t="s">
        <v>1137</v>
      </c>
      <c r="B32" s="144"/>
      <c r="C32" s="144"/>
      <c r="D32" s="144"/>
      <c r="E32" s="144"/>
      <c r="F32" s="144"/>
      <c r="G32" s="144"/>
      <c r="H32" s="144"/>
      <c r="I32" s="144"/>
      <c r="J32" s="144"/>
      <c r="K32" s="144"/>
      <c r="L32" s="144"/>
      <c r="M32" s="144"/>
    </row>
    <row r="33" spans="1:13" ht="8.4499999999999993" customHeight="1" x14ac:dyDescent="0.35">
      <c r="A33" s="131"/>
      <c r="B33" s="131"/>
      <c r="C33" s="131"/>
      <c r="D33" s="131"/>
      <c r="E33" s="131"/>
      <c r="F33" s="131"/>
      <c r="G33" s="131"/>
      <c r="H33" s="131"/>
      <c r="I33" s="131"/>
      <c r="J33" s="131"/>
      <c r="K33" s="131"/>
      <c r="L33" s="131"/>
      <c r="M33" s="131"/>
    </row>
    <row r="34" spans="1:13" x14ac:dyDescent="0.3">
      <c r="A34" s="143" t="s">
        <v>1136</v>
      </c>
      <c r="B34" s="143"/>
      <c r="C34" s="143"/>
      <c r="D34" s="143"/>
      <c r="E34" s="143"/>
      <c r="F34" s="143"/>
      <c r="G34" s="143"/>
      <c r="H34" s="143"/>
      <c r="I34" s="143"/>
      <c r="J34" s="143"/>
      <c r="K34" s="143"/>
      <c r="L34" s="143"/>
      <c r="M34" s="143"/>
    </row>
    <row r="35" spans="1:13" x14ac:dyDescent="0.3">
      <c r="A35" s="144" t="s">
        <v>1122</v>
      </c>
      <c r="B35" s="144"/>
      <c r="C35" s="144"/>
      <c r="D35" s="144"/>
      <c r="E35" s="144"/>
      <c r="F35" s="144"/>
      <c r="G35" s="144"/>
      <c r="H35" s="144"/>
      <c r="I35" s="144"/>
      <c r="J35" s="144"/>
      <c r="K35" s="144"/>
      <c r="L35" s="144"/>
      <c r="M35" s="144"/>
    </row>
    <row r="36" spans="1:13" ht="8.4499999999999993" customHeight="1" x14ac:dyDescent="0.35">
      <c r="A36" s="131"/>
      <c r="B36" s="131"/>
      <c r="C36" s="131"/>
      <c r="D36" s="131"/>
      <c r="E36" s="131"/>
      <c r="F36" s="131"/>
      <c r="G36" s="131"/>
      <c r="H36" s="131"/>
      <c r="I36" s="131"/>
      <c r="J36" s="131"/>
      <c r="K36" s="131"/>
      <c r="L36" s="131"/>
      <c r="M36" s="131"/>
    </row>
    <row r="37" spans="1:13" ht="49.9" customHeight="1" x14ac:dyDescent="0.3">
      <c r="A37" s="143" t="s">
        <v>1135</v>
      </c>
      <c r="B37" s="143"/>
      <c r="C37" s="143"/>
      <c r="D37" s="143"/>
      <c r="E37" s="143"/>
      <c r="F37" s="143"/>
      <c r="G37" s="143"/>
      <c r="H37" s="143"/>
      <c r="I37" s="143"/>
      <c r="J37" s="143"/>
      <c r="K37" s="143"/>
      <c r="L37" s="143"/>
      <c r="M37" s="143"/>
    </row>
    <row r="38" spans="1:13" ht="8.4499999999999993" customHeight="1" x14ac:dyDescent="0.35">
      <c r="A38" s="131"/>
      <c r="B38" s="131"/>
      <c r="C38" s="131"/>
      <c r="D38" s="131"/>
      <c r="E38" s="131"/>
      <c r="F38" s="131"/>
      <c r="G38" s="131"/>
      <c r="H38" s="131"/>
      <c r="I38" s="131"/>
      <c r="J38" s="131"/>
      <c r="K38" s="131"/>
      <c r="L38" s="131"/>
      <c r="M38" s="131"/>
    </row>
    <row r="39" spans="1:13" x14ac:dyDescent="0.3">
      <c r="A39" s="143" t="s">
        <v>1134</v>
      </c>
      <c r="B39" s="143"/>
      <c r="C39" s="143"/>
      <c r="D39" s="143"/>
      <c r="E39" s="143"/>
      <c r="F39" s="143"/>
      <c r="G39" s="143"/>
      <c r="H39" s="143"/>
      <c r="I39" s="143"/>
      <c r="J39" s="143"/>
      <c r="K39" s="143"/>
      <c r="L39" s="143"/>
      <c r="M39" s="143"/>
    </row>
    <row r="40" spans="1:13" ht="8.4499999999999993" customHeight="1" x14ac:dyDescent="0.35">
      <c r="A40" s="131"/>
      <c r="B40" s="131"/>
      <c r="C40" s="131"/>
      <c r="D40" s="131"/>
      <c r="E40" s="131"/>
      <c r="F40" s="131"/>
      <c r="G40" s="131"/>
      <c r="H40" s="131"/>
      <c r="I40" s="131"/>
      <c r="J40" s="131"/>
      <c r="K40" s="131"/>
      <c r="L40" s="131"/>
      <c r="M40" s="131"/>
    </row>
    <row r="41" spans="1:13" x14ac:dyDescent="0.3">
      <c r="A41" s="143" t="s">
        <v>1133</v>
      </c>
      <c r="B41" s="143"/>
      <c r="C41" s="143"/>
      <c r="D41" s="143"/>
      <c r="E41" s="143"/>
      <c r="F41" s="143"/>
      <c r="G41" s="143"/>
      <c r="H41" s="143"/>
      <c r="I41" s="143"/>
      <c r="J41" s="143"/>
      <c r="K41" s="143"/>
      <c r="L41" s="143"/>
      <c r="M41" s="143"/>
    </row>
    <row r="42" spans="1:13" ht="8.4499999999999993" customHeight="1" x14ac:dyDescent="0.35">
      <c r="A42" s="131"/>
      <c r="B42" s="131"/>
      <c r="C42" s="131"/>
      <c r="D42" s="131"/>
      <c r="E42" s="131"/>
      <c r="F42" s="131"/>
      <c r="G42" s="131"/>
      <c r="H42" s="131"/>
      <c r="I42" s="131"/>
      <c r="J42" s="131"/>
      <c r="K42" s="131"/>
      <c r="L42" s="131"/>
      <c r="M42" s="131"/>
    </row>
    <row r="43" spans="1:13" ht="33.6" customHeight="1" x14ac:dyDescent="0.3">
      <c r="A43" s="144" t="s">
        <v>1132</v>
      </c>
      <c r="B43" s="144"/>
      <c r="C43" s="144"/>
      <c r="D43" s="144"/>
      <c r="E43" s="144"/>
      <c r="F43" s="144"/>
      <c r="G43" s="144"/>
      <c r="H43" s="144"/>
      <c r="I43" s="144"/>
      <c r="J43" s="144"/>
      <c r="K43" s="144"/>
      <c r="L43" s="144"/>
      <c r="M43" s="144"/>
    </row>
    <row r="44" spans="1:13" ht="8.4499999999999993" customHeight="1" x14ac:dyDescent="0.35">
      <c r="A44" s="131"/>
      <c r="B44" s="131"/>
      <c r="C44" s="131"/>
      <c r="D44" s="131"/>
      <c r="E44" s="131"/>
      <c r="F44" s="131"/>
      <c r="G44" s="131"/>
      <c r="H44" s="131"/>
      <c r="I44" s="131"/>
      <c r="J44" s="131"/>
      <c r="K44" s="131"/>
      <c r="L44" s="131"/>
      <c r="M44" s="131"/>
    </row>
    <row r="45" spans="1:13" x14ac:dyDescent="0.3">
      <c r="A45" s="143" t="s">
        <v>1131</v>
      </c>
      <c r="B45" s="143"/>
      <c r="C45" s="143"/>
      <c r="D45" s="143"/>
      <c r="E45" s="143"/>
      <c r="F45" s="143"/>
      <c r="G45" s="143"/>
      <c r="H45" s="143"/>
      <c r="I45" s="143"/>
      <c r="J45" s="143"/>
      <c r="K45" s="143"/>
      <c r="L45" s="143"/>
      <c r="M45" s="143"/>
    </row>
    <row r="46" spans="1:13" ht="8.4499999999999993" customHeight="1" x14ac:dyDescent="0.35">
      <c r="A46" s="131"/>
      <c r="B46" s="131"/>
      <c r="C46" s="131"/>
      <c r="D46" s="131"/>
      <c r="E46" s="131"/>
      <c r="F46" s="131"/>
      <c r="G46" s="131"/>
      <c r="H46" s="131"/>
      <c r="I46" s="131"/>
      <c r="J46" s="131"/>
      <c r="K46" s="131"/>
      <c r="L46" s="131"/>
      <c r="M46" s="131"/>
    </row>
    <row r="47" spans="1:13" ht="20.25" x14ac:dyDescent="0.35">
      <c r="A47" s="145" t="s">
        <v>1113</v>
      </c>
      <c r="B47" s="145"/>
      <c r="C47" s="145"/>
      <c r="D47" s="145"/>
      <c r="E47" s="145"/>
      <c r="F47" s="145"/>
      <c r="G47" s="145"/>
      <c r="H47" s="145"/>
      <c r="I47" s="145"/>
      <c r="J47" s="145"/>
      <c r="K47" s="145"/>
      <c r="L47" s="145"/>
      <c r="M47" s="145"/>
    </row>
    <row r="48" spans="1:13" ht="8.4499999999999993" customHeight="1" x14ac:dyDescent="0.35">
      <c r="A48" s="131"/>
      <c r="B48" s="131"/>
      <c r="C48" s="131"/>
      <c r="D48" s="131"/>
      <c r="E48" s="131"/>
      <c r="F48" s="131"/>
      <c r="G48" s="131"/>
      <c r="H48" s="131"/>
      <c r="I48" s="131"/>
      <c r="J48" s="131"/>
      <c r="K48" s="131"/>
      <c r="L48" s="131"/>
      <c r="M48" s="131"/>
    </row>
    <row r="49" spans="1:13" x14ac:dyDescent="0.3">
      <c r="A49" s="143" t="s">
        <v>1114</v>
      </c>
      <c r="B49" s="143"/>
      <c r="C49" s="143"/>
      <c r="D49" s="143"/>
      <c r="E49" s="143"/>
      <c r="F49" s="143"/>
      <c r="G49" s="143"/>
      <c r="H49" s="143"/>
      <c r="I49" s="143"/>
      <c r="J49" s="143"/>
      <c r="K49" s="143"/>
      <c r="L49" s="143"/>
      <c r="M49" s="143"/>
    </row>
    <row r="50" spans="1:13" ht="8.4499999999999993" customHeight="1" x14ac:dyDescent="0.35">
      <c r="A50" s="131"/>
      <c r="B50" s="131"/>
      <c r="C50" s="131"/>
      <c r="D50" s="131"/>
      <c r="E50" s="131"/>
      <c r="F50" s="131"/>
      <c r="G50" s="131"/>
      <c r="H50" s="131"/>
      <c r="I50" s="131"/>
      <c r="J50" s="131"/>
      <c r="K50" s="131"/>
      <c r="L50" s="131"/>
      <c r="M50" s="131"/>
    </row>
    <row r="51" spans="1:13" x14ac:dyDescent="0.3">
      <c r="A51" s="143" t="s">
        <v>1115</v>
      </c>
      <c r="B51" s="143"/>
      <c r="C51" s="143"/>
      <c r="D51" s="143"/>
      <c r="E51" s="143"/>
      <c r="F51" s="143"/>
      <c r="G51" s="143"/>
      <c r="H51" s="143"/>
      <c r="I51" s="143"/>
      <c r="J51" s="143"/>
      <c r="K51" s="143"/>
      <c r="L51" s="143"/>
      <c r="M51" s="143"/>
    </row>
    <row r="52" spans="1:13" ht="8.4499999999999993" customHeight="1" x14ac:dyDescent="0.35">
      <c r="A52" s="131"/>
      <c r="B52" s="131"/>
      <c r="C52" s="131"/>
      <c r="D52" s="131"/>
      <c r="E52" s="131"/>
      <c r="F52" s="131"/>
      <c r="G52" s="131"/>
      <c r="H52" s="131"/>
      <c r="I52" s="131"/>
      <c r="J52" s="131"/>
      <c r="K52" s="131"/>
      <c r="L52" s="131"/>
      <c r="M52" s="131"/>
    </row>
    <row r="53" spans="1:13" x14ac:dyDescent="0.3">
      <c r="A53" s="144" t="s">
        <v>1119</v>
      </c>
      <c r="B53" s="144"/>
      <c r="C53" s="144"/>
      <c r="D53" s="144"/>
      <c r="E53" s="144"/>
      <c r="F53" s="144"/>
      <c r="G53" s="144"/>
      <c r="H53" s="144"/>
      <c r="I53" s="144"/>
      <c r="J53" s="144"/>
      <c r="K53" s="144"/>
      <c r="L53" s="144"/>
      <c r="M53" s="144"/>
    </row>
    <row r="54" spans="1:13" ht="8.4499999999999993" customHeight="1" x14ac:dyDescent="0.35">
      <c r="A54" s="131"/>
      <c r="B54" s="131"/>
      <c r="C54" s="131"/>
      <c r="D54" s="131"/>
      <c r="E54" s="131"/>
      <c r="F54" s="131"/>
      <c r="G54" s="131"/>
      <c r="H54" s="131"/>
      <c r="I54" s="131"/>
      <c r="J54" s="131"/>
      <c r="K54" s="131"/>
      <c r="L54" s="131"/>
      <c r="M54" s="131"/>
    </row>
    <row r="55" spans="1:13" ht="20.25" x14ac:dyDescent="0.35">
      <c r="A55" s="145" t="s">
        <v>1116</v>
      </c>
      <c r="B55" s="145"/>
      <c r="C55" s="145"/>
      <c r="D55" s="145"/>
      <c r="E55" s="145"/>
      <c r="F55" s="145"/>
      <c r="G55" s="145"/>
      <c r="H55" s="145"/>
      <c r="I55" s="145"/>
      <c r="J55" s="145"/>
      <c r="K55" s="145"/>
      <c r="L55" s="145"/>
      <c r="M55" s="145"/>
    </row>
    <row r="56" spans="1:13" ht="8.4499999999999993" customHeight="1" x14ac:dyDescent="0.35">
      <c r="A56" s="131"/>
      <c r="B56" s="131"/>
      <c r="C56" s="131"/>
      <c r="D56" s="131"/>
      <c r="E56" s="131"/>
      <c r="F56" s="131"/>
      <c r="G56" s="131"/>
      <c r="H56" s="131"/>
      <c r="I56" s="131"/>
      <c r="J56" s="131"/>
      <c r="K56" s="131"/>
      <c r="L56" s="131"/>
      <c r="M56" s="131"/>
    </row>
    <row r="57" spans="1:13" x14ac:dyDescent="0.3">
      <c r="A57" s="143" t="s">
        <v>1117</v>
      </c>
      <c r="B57" s="143"/>
      <c r="C57" s="143"/>
      <c r="D57" s="143"/>
      <c r="E57" s="143"/>
      <c r="F57" s="143"/>
      <c r="G57" s="143"/>
      <c r="H57" s="143"/>
      <c r="I57" s="143"/>
      <c r="J57" s="143"/>
      <c r="K57" s="143"/>
      <c r="L57" s="143"/>
      <c r="M57" s="143"/>
    </row>
    <row r="58" spans="1:13" x14ac:dyDescent="0.3">
      <c r="A58" s="144" t="s">
        <v>1118</v>
      </c>
      <c r="B58" s="144"/>
      <c r="C58" s="144"/>
      <c r="D58" s="144"/>
      <c r="E58" s="144"/>
      <c r="F58" s="144"/>
      <c r="G58" s="144"/>
      <c r="H58" s="144"/>
      <c r="I58" s="144"/>
      <c r="J58" s="144"/>
      <c r="K58" s="144"/>
      <c r="L58" s="144"/>
      <c r="M58" s="144"/>
    </row>
    <row r="59" spans="1:13" ht="8.4499999999999993" customHeight="1" x14ac:dyDescent="0.35">
      <c r="A59" s="131"/>
      <c r="B59" s="131"/>
      <c r="C59" s="131"/>
      <c r="D59" s="131"/>
      <c r="E59" s="131"/>
      <c r="F59" s="131"/>
      <c r="G59" s="131"/>
      <c r="H59" s="131"/>
      <c r="I59" s="131"/>
      <c r="J59" s="131"/>
      <c r="K59" s="131"/>
      <c r="L59" s="131"/>
      <c r="M59" s="131"/>
    </row>
    <row r="61" spans="1:13" customFormat="1" x14ac:dyDescent="0.3">
      <c r="A61" s="50" t="s">
        <v>1163</v>
      </c>
    </row>
    <row r="62" spans="1:13" x14ac:dyDescent="0.3">
      <c r="A62" s="122">
        <v>44851</v>
      </c>
    </row>
    <row r="63" spans="1:13" x14ac:dyDescent="0.3">
      <c r="A63" s="50" t="s">
        <v>1191</v>
      </c>
    </row>
  </sheetData>
  <mergeCells count="32">
    <mergeCell ref="A58:M58"/>
    <mergeCell ref="A6:M6"/>
    <mergeCell ref="A35:M35"/>
    <mergeCell ref="A29:M29"/>
    <mergeCell ref="A47:M47"/>
    <mergeCell ref="A49:M49"/>
    <mergeCell ref="A51:M51"/>
    <mergeCell ref="A37:M37"/>
    <mergeCell ref="A55:M55"/>
    <mergeCell ref="A57:M57"/>
    <mergeCell ref="A28:M28"/>
    <mergeCell ref="A34:M34"/>
    <mergeCell ref="A39:M39"/>
    <mergeCell ref="A41:M41"/>
    <mergeCell ref="A43:M43"/>
    <mergeCell ref="A45:M45"/>
    <mergeCell ref="A21:M21"/>
    <mergeCell ref="A53:M53"/>
    <mergeCell ref="A26:M26"/>
    <mergeCell ref="A2:M2"/>
    <mergeCell ref="A3:M3"/>
    <mergeCell ref="A8:M8"/>
    <mergeCell ref="A10:M10"/>
    <mergeCell ref="A12:M12"/>
    <mergeCell ref="A14:M14"/>
    <mergeCell ref="A15:M15"/>
    <mergeCell ref="A17:M17"/>
    <mergeCell ref="A32:M32"/>
    <mergeCell ref="A23:M23"/>
    <mergeCell ref="A24:M24"/>
    <mergeCell ref="A31:M31"/>
    <mergeCell ref="A19:M19"/>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84"/>
  <sheetViews>
    <sheetView tabSelected="1" zoomScaleNormal="100" workbookViewId="0">
      <selection activeCell="C3" sqref="C3:D3"/>
    </sheetView>
  </sheetViews>
  <sheetFormatPr defaultColWidth="9.140625" defaultRowHeight="16.5" x14ac:dyDescent="0.3"/>
  <cols>
    <col min="1" max="1" width="6.28515625" style="50" customWidth="1"/>
    <col min="2" max="2" width="64.85546875" style="50" customWidth="1"/>
    <col min="3" max="6" width="21.7109375" style="50" customWidth="1"/>
    <col min="7" max="7" width="19.85546875" style="50" customWidth="1"/>
    <col min="8" max="9" width="13.28515625" style="50" customWidth="1"/>
    <col min="10" max="16384" width="9.140625" style="50"/>
  </cols>
  <sheetData>
    <row r="1" spans="1:30" ht="20.25" x14ac:dyDescent="0.35">
      <c r="A1" s="75" t="str">
        <f>VLOOKUP($C$3,Data!$B$4:$W$305,21,FALSE)</f>
        <v>14005</v>
      </c>
      <c r="B1" s="150" t="s">
        <v>1167</v>
      </c>
      <c r="C1" s="150"/>
      <c r="D1" s="150"/>
      <c r="E1" s="150"/>
      <c r="F1" s="150"/>
      <c r="G1" s="150"/>
      <c r="H1" s="76"/>
      <c r="I1" s="76"/>
      <c r="J1" s="76"/>
      <c r="K1" s="76"/>
      <c r="L1" s="76"/>
      <c r="M1" s="76"/>
      <c r="N1" s="76"/>
      <c r="O1" s="76"/>
      <c r="P1" s="76"/>
      <c r="Q1" s="76"/>
      <c r="R1" s="76"/>
      <c r="S1" s="76"/>
      <c r="T1" s="76"/>
      <c r="U1" s="76"/>
      <c r="V1" s="76"/>
      <c r="W1" s="76"/>
      <c r="X1" s="76"/>
      <c r="Y1" s="76"/>
      <c r="Z1" s="76"/>
      <c r="AA1" s="76"/>
      <c r="AB1" s="76"/>
      <c r="AC1" s="76"/>
      <c r="AD1" s="76"/>
    </row>
    <row r="2" spans="1:30" ht="10.5" customHeight="1" x14ac:dyDescent="0.35">
      <c r="A2" s="77"/>
      <c r="B2" s="78"/>
      <c r="C2" s="78"/>
      <c r="D2" s="78"/>
      <c r="E2" s="78"/>
      <c r="F2" s="78"/>
      <c r="G2" s="78"/>
      <c r="H2" s="76"/>
      <c r="I2" s="76"/>
      <c r="J2" s="76"/>
      <c r="K2" s="76"/>
      <c r="L2" s="76"/>
      <c r="M2" s="76"/>
      <c r="N2" s="76"/>
      <c r="O2" s="76"/>
      <c r="P2" s="76"/>
      <c r="Q2" s="76"/>
      <c r="R2" s="76"/>
      <c r="S2" s="76"/>
      <c r="T2" s="76"/>
      <c r="U2" s="76"/>
      <c r="V2" s="76"/>
      <c r="W2" s="76"/>
      <c r="X2" s="76"/>
      <c r="Y2" s="76"/>
      <c r="Z2" s="76"/>
      <c r="AA2" s="76"/>
      <c r="AB2" s="76"/>
      <c r="AC2" s="76"/>
      <c r="AD2" s="76"/>
    </row>
    <row r="3" spans="1:30" ht="20.25" x14ac:dyDescent="0.35">
      <c r="B3" s="79" t="s">
        <v>597</v>
      </c>
      <c r="C3" s="151" t="s">
        <v>137</v>
      </c>
      <c r="D3" s="151"/>
      <c r="E3" s="80" t="s">
        <v>640</v>
      </c>
      <c r="F3" s="80"/>
      <c r="G3" s="80"/>
      <c r="H3" s="76"/>
      <c r="I3" s="76"/>
      <c r="J3" s="76"/>
      <c r="K3" s="76"/>
      <c r="L3" s="76"/>
      <c r="M3" s="76"/>
      <c r="N3" s="76"/>
      <c r="O3" s="76"/>
      <c r="P3" s="76"/>
      <c r="Q3" s="76"/>
      <c r="R3" s="76"/>
      <c r="S3" s="76"/>
      <c r="T3" s="76"/>
      <c r="U3" s="76"/>
      <c r="V3" s="76"/>
      <c r="W3" s="76"/>
      <c r="X3" s="76"/>
      <c r="Y3" s="76"/>
      <c r="Z3" s="76"/>
      <c r="AA3" s="76"/>
      <c r="AB3" s="76"/>
      <c r="AC3" s="76"/>
      <c r="AD3" s="76"/>
    </row>
    <row r="4" spans="1:30" ht="12.6" customHeight="1" x14ac:dyDescent="0.35">
      <c r="A4" s="77"/>
      <c r="B4" s="78"/>
      <c r="C4" s="78"/>
      <c r="D4" s="78"/>
      <c r="E4" s="78"/>
      <c r="F4" s="78"/>
      <c r="G4" s="78"/>
      <c r="H4" s="76"/>
      <c r="I4" s="76"/>
      <c r="J4" s="76"/>
      <c r="K4" s="76"/>
      <c r="L4" s="76"/>
      <c r="M4" s="76"/>
      <c r="N4" s="76"/>
      <c r="O4" s="76"/>
      <c r="P4" s="76"/>
      <c r="Q4" s="76"/>
      <c r="R4" s="76"/>
      <c r="S4" s="76"/>
      <c r="T4" s="76"/>
      <c r="U4" s="76"/>
      <c r="V4" s="76"/>
      <c r="W4" s="76"/>
      <c r="X4" s="76"/>
      <c r="Y4" s="76"/>
      <c r="Z4" s="76"/>
      <c r="AA4" s="76"/>
      <c r="AB4" s="76"/>
      <c r="AC4" s="76"/>
      <c r="AD4" s="76"/>
    </row>
    <row r="5" spans="1:30" ht="15" customHeight="1" x14ac:dyDescent="0.35">
      <c r="B5" s="81" t="s">
        <v>639</v>
      </c>
      <c r="C5" s="82"/>
      <c r="D5" s="82"/>
      <c r="H5" s="76"/>
      <c r="I5" s="76"/>
      <c r="J5" s="76"/>
      <c r="K5" s="76"/>
      <c r="L5" s="76"/>
      <c r="M5" s="76"/>
      <c r="N5" s="76"/>
      <c r="O5" s="76"/>
      <c r="P5" s="76"/>
      <c r="Q5" s="76"/>
      <c r="R5" s="76"/>
      <c r="S5" s="76"/>
      <c r="T5" s="76"/>
      <c r="U5" s="76"/>
      <c r="V5" s="76"/>
      <c r="W5" s="76"/>
      <c r="X5" s="76"/>
      <c r="Y5" s="76"/>
      <c r="Z5" s="76"/>
      <c r="AA5" s="76"/>
      <c r="AB5" s="76"/>
      <c r="AC5" s="76"/>
      <c r="AD5" s="76"/>
    </row>
    <row r="6" spans="1:30" x14ac:dyDescent="0.3">
      <c r="B6" s="153" t="s">
        <v>1157</v>
      </c>
      <c r="C6" s="153"/>
      <c r="D6" s="153"/>
      <c r="E6" s="153"/>
      <c r="F6" s="153"/>
      <c r="G6" s="153"/>
      <c r="H6" s="76"/>
      <c r="I6" s="76"/>
      <c r="J6" s="76"/>
      <c r="K6" s="76"/>
      <c r="L6" s="76"/>
      <c r="M6" s="76"/>
      <c r="N6" s="76"/>
      <c r="O6" s="76"/>
      <c r="P6" s="76"/>
      <c r="Q6" s="76"/>
      <c r="R6" s="76"/>
      <c r="S6" s="76"/>
      <c r="T6" s="76"/>
      <c r="U6" s="76"/>
      <c r="V6" s="76"/>
      <c r="W6" s="76"/>
      <c r="X6" s="76"/>
      <c r="Y6" s="76"/>
      <c r="Z6" s="76"/>
      <c r="AA6" s="76"/>
      <c r="AB6" s="76"/>
      <c r="AC6" s="76"/>
      <c r="AD6" s="76"/>
    </row>
    <row r="7" spans="1:30" ht="17.45" customHeight="1" x14ac:dyDescent="0.35">
      <c r="B7" s="83" t="s">
        <v>638</v>
      </c>
      <c r="C7" s="82"/>
      <c r="D7" s="82"/>
      <c r="H7" s="76"/>
      <c r="I7" s="76"/>
      <c r="J7" s="76"/>
      <c r="K7" s="76"/>
      <c r="L7" s="76"/>
      <c r="M7" s="76"/>
      <c r="N7" s="76"/>
      <c r="O7" s="76"/>
      <c r="P7" s="76"/>
      <c r="Q7" s="76"/>
      <c r="R7" s="76"/>
      <c r="S7" s="76"/>
      <c r="T7" s="76"/>
      <c r="U7" s="76"/>
      <c r="V7" s="76"/>
      <c r="W7" s="76"/>
      <c r="X7" s="76"/>
      <c r="Y7" s="76"/>
      <c r="Z7" s="76"/>
      <c r="AA7" s="76"/>
      <c r="AB7" s="76"/>
      <c r="AC7" s="76"/>
      <c r="AD7" s="76"/>
    </row>
    <row r="8" spans="1:30" ht="32.25" customHeight="1" x14ac:dyDescent="0.3">
      <c r="B8" s="152" t="s">
        <v>1169</v>
      </c>
      <c r="C8" s="152"/>
      <c r="D8" s="152"/>
      <c r="E8" s="152"/>
      <c r="F8" s="152"/>
      <c r="G8" s="152"/>
      <c r="H8" s="76"/>
      <c r="I8" s="76"/>
      <c r="J8" s="76"/>
      <c r="K8" s="76"/>
      <c r="L8" s="76"/>
      <c r="M8" s="76"/>
      <c r="N8" s="76"/>
      <c r="O8" s="76"/>
      <c r="P8" s="76"/>
      <c r="Q8" s="76"/>
      <c r="R8" s="76"/>
      <c r="S8" s="76"/>
      <c r="T8" s="76"/>
      <c r="U8" s="76"/>
      <c r="V8" s="76"/>
      <c r="W8" s="76"/>
      <c r="X8" s="76"/>
      <c r="Y8" s="76"/>
      <c r="Z8" s="76"/>
      <c r="AA8" s="76"/>
      <c r="AB8" s="76"/>
      <c r="AC8" s="76"/>
      <c r="AD8" s="76"/>
    </row>
    <row r="9" spans="1:30" x14ac:dyDescent="0.3">
      <c r="B9" s="134" t="s">
        <v>1149</v>
      </c>
      <c r="D9" s="85"/>
      <c r="E9" s="85"/>
      <c r="F9" s="85"/>
      <c r="G9" s="85"/>
      <c r="H9" s="76"/>
      <c r="I9" s="76"/>
      <c r="J9" s="76"/>
      <c r="K9" s="76"/>
      <c r="L9" s="76"/>
      <c r="M9" s="76"/>
      <c r="N9" s="76"/>
      <c r="O9" s="76"/>
      <c r="P9" s="76"/>
      <c r="Q9" s="76"/>
      <c r="R9" s="76"/>
      <c r="S9" s="76"/>
      <c r="T9" s="76"/>
      <c r="U9" s="76"/>
      <c r="V9" s="76"/>
      <c r="W9" s="76"/>
      <c r="X9" s="76"/>
      <c r="Y9" s="76"/>
      <c r="Z9" s="76"/>
      <c r="AA9" s="76"/>
      <c r="AB9" s="76"/>
      <c r="AC9" s="76"/>
      <c r="AD9" s="76"/>
    </row>
    <row r="10" spans="1:30" ht="48" customHeight="1" x14ac:dyDescent="0.3">
      <c r="B10" s="152" t="s">
        <v>1170</v>
      </c>
      <c r="C10" s="152"/>
      <c r="D10" s="152"/>
      <c r="E10" s="152"/>
      <c r="F10" s="152"/>
      <c r="G10" s="152"/>
      <c r="H10" s="76"/>
      <c r="I10" s="76"/>
      <c r="J10" s="76"/>
      <c r="K10" s="76"/>
      <c r="L10" s="76"/>
      <c r="M10" s="76"/>
      <c r="N10" s="76"/>
      <c r="O10" s="76"/>
      <c r="P10" s="76"/>
      <c r="Q10" s="76"/>
      <c r="R10" s="76"/>
      <c r="S10" s="76"/>
      <c r="T10" s="76"/>
      <c r="U10" s="76"/>
      <c r="V10" s="76"/>
      <c r="W10" s="76"/>
      <c r="X10" s="76"/>
      <c r="Y10" s="76"/>
      <c r="Z10" s="76"/>
      <c r="AA10" s="76"/>
      <c r="AB10" s="76"/>
      <c r="AC10" s="76"/>
      <c r="AD10" s="76"/>
    </row>
    <row r="11" spans="1:30" x14ac:dyDescent="0.3">
      <c r="B11" s="134" t="s">
        <v>1148</v>
      </c>
      <c r="D11" s="85"/>
      <c r="E11" s="85"/>
      <c r="F11" s="85"/>
      <c r="G11" s="85"/>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35.450000000000003" customHeight="1" x14ac:dyDescent="0.3">
      <c r="B12" s="152" t="s">
        <v>1171</v>
      </c>
      <c r="C12" s="152"/>
      <c r="D12" s="152"/>
      <c r="E12" s="152"/>
      <c r="F12" s="152"/>
      <c r="G12" s="152"/>
      <c r="H12" s="76"/>
      <c r="I12" s="76"/>
      <c r="J12" s="76"/>
      <c r="K12" s="76"/>
      <c r="L12" s="76"/>
      <c r="M12" s="76"/>
      <c r="N12" s="76"/>
      <c r="O12" s="76"/>
      <c r="P12" s="76"/>
      <c r="Q12" s="76"/>
      <c r="R12" s="76"/>
      <c r="S12" s="76"/>
      <c r="T12" s="76"/>
      <c r="U12" s="76"/>
      <c r="V12" s="76"/>
      <c r="W12" s="76"/>
      <c r="X12" s="76"/>
      <c r="Y12" s="76"/>
      <c r="Z12" s="76"/>
      <c r="AA12" s="76"/>
      <c r="AB12" s="76"/>
      <c r="AC12" s="76"/>
      <c r="AD12" s="76"/>
    </row>
    <row r="13" spans="1:30" x14ac:dyDescent="0.3">
      <c r="B13" s="83" t="s">
        <v>1172</v>
      </c>
      <c r="H13" s="76"/>
      <c r="I13" s="76"/>
      <c r="J13" s="76"/>
      <c r="K13" s="76"/>
      <c r="L13" s="76"/>
      <c r="M13" s="76"/>
      <c r="N13" s="76"/>
      <c r="O13" s="76"/>
      <c r="P13" s="76"/>
      <c r="Q13" s="76"/>
      <c r="R13" s="76"/>
      <c r="S13" s="76"/>
      <c r="T13" s="76"/>
      <c r="U13" s="76"/>
      <c r="V13" s="76"/>
      <c r="W13" s="76"/>
      <c r="X13" s="76"/>
      <c r="Y13" s="76"/>
      <c r="Z13" s="76"/>
      <c r="AA13" s="76"/>
      <c r="AB13" s="76"/>
      <c r="AC13" s="76"/>
      <c r="AD13" s="76"/>
    </row>
    <row r="14" spans="1:30" x14ac:dyDescent="0.3">
      <c r="B14" s="84" t="s">
        <v>1009</v>
      </c>
      <c r="H14" s="76"/>
      <c r="I14" s="76"/>
      <c r="J14" s="76"/>
      <c r="K14" s="76"/>
      <c r="L14" s="76"/>
      <c r="M14" s="76"/>
      <c r="N14" s="76"/>
      <c r="O14" s="76"/>
      <c r="P14" s="76"/>
      <c r="Q14" s="76"/>
      <c r="R14" s="76"/>
      <c r="S14" s="76"/>
      <c r="T14" s="76"/>
      <c r="U14" s="76"/>
      <c r="V14" s="76"/>
      <c r="W14" s="76"/>
      <c r="X14" s="76"/>
      <c r="Y14" s="76"/>
      <c r="Z14" s="76"/>
      <c r="AA14" s="76"/>
      <c r="AB14" s="76"/>
      <c r="AC14" s="76"/>
      <c r="AD14" s="76"/>
    </row>
    <row r="15" spans="1:30" ht="48" customHeight="1" x14ac:dyDescent="0.3">
      <c r="B15" s="154" t="s">
        <v>1174</v>
      </c>
      <c r="C15" s="154"/>
      <c r="D15" s="154"/>
      <c r="E15" s="154"/>
      <c r="F15" s="154"/>
      <c r="G15" s="154"/>
      <c r="H15" s="76"/>
      <c r="I15" s="76"/>
      <c r="J15" s="76"/>
      <c r="K15" s="76"/>
      <c r="L15" s="76"/>
      <c r="M15" s="76"/>
      <c r="N15" s="76"/>
      <c r="O15" s="76"/>
      <c r="P15" s="76"/>
      <c r="Q15" s="76"/>
      <c r="R15" s="76"/>
      <c r="S15" s="76"/>
      <c r="T15" s="76"/>
      <c r="U15" s="76"/>
      <c r="V15" s="76"/>
      <c r="W15" s="76"/>
      <c r="X15" s="76"/>
      <c r="Y15" s="76"/>
      <c r="Z15" s="76"/>
      <c r="AA15" s="76"/>
      <c r="AB15" s="76"/>
      <c r="AC15" s="76"/>
      <c r="AD15" s="76"/>
    </row>
    <row r="16" spans="1:30" x14ac:dyDescent="0.3">
      <c r="B16" s="83" t="s">
        <v>1175</v>
      </c>
      <c r="H16" s="76"/>
      <c r="I16" s="76"/>
      <c r="J16" s="76"/>
      <c r="K16" s="76"/>
      <c r="L16" s="76"/>
      <c r="M16" s="76"/>
      <c r="N16" s="76"/>
      <c r="O16" s="76"/>
      <c r="P16" s="76"/>
      <c r="Q16" s="76"/>
      <c r="R16" s="76"/>
      <c r="S16" s="76"/>
      <c r="T16" s="76"/>
      <c r="U16" s="76"/>
      <c r="V16" s="76"/>
      <c r="W16" s="76"/>
      <c r="X16" s="76"/>
      <c r="Y16" s="76"/>
      <c r="Z16" s="76"/>
      <c r="AA16" s="76"/>
      <c r="AB16" s="76"/>
      <c r="AC16" s="76"/>
      <c r="AD16" s="76"/>
    </row>
    <row r="17" spans="1:30" x14ac:dyDescent="0.3">
      <c r="B17" s="83" t="s">
        <v>974</v>
      </c>
      <c r="H17" s="76"/>
      <c r="I17" s="76"/>
      <c r="J17" s="76"/>
      <c r="K17" s="76"/>
      <c r="L17" s="76"/>
      <c r="M17" s="76"/>
      <c r="N17" s="76"/>
      <c r="O17" s="76"/>
      <c r="P17" s="76"/>
      <c r="Q17" s="76"/>
      <c r="R17" s="76"/>
      <c r="S17" s="76"/>
      <c r="T17" s="76"/>
      <c r="U17" s="76"/>
      <c r="V17" s="76"/>
      <c r="W17" s="76"/>
      <c r="X17" s="76"/>
      <c r="Y17" s="76"/>
      <c r="Z17" s="76"/>
      <c r="AA17" s="76"/>
      <c r="AB17" s="76"/>
      <c r="AC17" s="76"/>
      <c r="AD17" s="76"/>
    </row>
    <row r="18" spans="1:30" ht="10.5" customHeight="1" x14ac:dyDescent="0.35">
      <c r="A18" s="77"/>
      <c r="B18" s="78"/>
      <c r="C18" s="78"/>
      <c r="D18" s="78"/>
      <c r="E18" s="78"/>
      <c r="F18" s="78"/>
      <c r="G18" s="78"/>
      <c r="H18" s="76"/>
      <c r="I18" s="76"/>
      <c r="J18" s="76"/>
      <c r="K18" s="76"/>
      <c r="L18" s="76"/>
      <c r="M18" s="76"/>
      <c r="N18" s="76"/>
      <c r="O18" s="76"/>
      <c r="P18" s="76"/>
      <c r="Q18" s="76"/>
      <c r="R18" s="76"/>
      <c r="S18" s="76"/>
      <c r="T18" s="76"/>
      <c r="U18" s="76"/>
      <c r="V18" s="76"/>
      <c r="W18" s="76"/>
      <c r="X18" s="76"/>
      <c r="Y18" s="76"/>
      <c r="Z18" s="76"/>
      <c r="AA18" s="76"/>
      <c r="AB18" s="76"/>
      <c r="AC18" s="76"/>
      <c r="AD18" s="76"/>
    </row>
    <row r="19" spans="1:30" ht="20.25" x14ac:dyDescent="0.35">
      <c r="B19" s="149" t="s">
        <v>591</v>
      </c>
      <c r="C19" s="149"/>
      <c r="D19" s="149"/>
      <c r="E19" s="149"/>
      <c r="F19" s="149"/>
      <c r="G19" s="149"/>
      <c r="H19" s="76"/>
      <c r="I19" s="76"/>
      <c r="J19" s="76"/>
      <c r="K19" s="76"/>
      <c r="L19" s="76"/>
      <c r="M19" s="76"/>
      <c r="N19" s="76"/>
      <c r="O19" s="76"/>
      <c r="P19" s="76"/>
      <c r="Q19" s="76"/>
      <c r="R19" s="76"/>
      <c r="S19" s="76"/>
      <c r="T19" s="76"/>
      <c r="U19" s="76"/>
      <c r="V19" s="76"/>
      <c r="W19" s="76"/>
      <c r="X19" s="76"/>
      <c r="Y19" s="76"/>
      <c r="Z19" s="76"/>
      <c r="AA19" s="76"/>
      <c r="AB19" s="76"/>
      <c r="AC19" s="76"/>
      <c r="AD19" s="76"/>
    </row>
    <row r="20" spans="1:30" x14ac:dyDescent="0.3">
      <c r="B20" s="86" t="s">
        <v>608</v>
      </c>
      <c r="C20" s="60">
        <v>2023</v>
      </c>
      <c r="D20" s="60">
        <f>C20+1</f>
        <v>2024</v>
      </c>
      <c r="E20" s="60">
        <f>D20+1</f>
        <v>2025</v>
      </c>
      <c r="F20" s="60">
        <f>E20+1</f>
        <v>2026</v>
      </c>
      <c r="G20" s="60">
        <f>F20+1</f>
        <v>2027</v>
      </c>
      <c r="H20" s="87"/>
      <c r="I20" s="87"/>
      <c r="J20" s="76"/>
      <c r="K20" s="76"/>
      <c r="L20" s="76"/>
      <c r="M20" s="76"/>
      <c r="N20" s="76"/>
      <c r="O20" s="76"/>
      <c r="P20" s="76"/>
      <c r="Q20" s="76"/>
      <c r="R20" s="76"/>
      <c r="S20" s="76"/>
      <c r="T20" s="76"/>
      <c r="U20" s="76"/>
      <c r="V20" s="76"/>
      <c r="W20" s="76"/>
      <c r="X20" s="76"/>
      <c r="Y20" s="76"/>
      <c r="Z20" s="76"/>
      <c r="AA20" s="76"/>
      <c r="AB20" s="76"/>
      <c r="AC20" s="76"/>
      <c r="AD20" s="76"/>
    </row>
    <row r="21" spans="1:30" x14ac:dyDescent="0.3">
      <c r="A21" s="50" t="s">
        <v>601</v>
      </c>
      <c r="B21" s="50" t="s">
        <v>592</v>
      </c>
      <c r="C21" s="88">
        <f>IFERROR(IF(A1="17001",ROUND(3289.9*(1+C25),2),ROUND(2741.58*(1+C25),2)),ROUND(2741.58*(1+C25),2))</f>
        <v>2988.32</v>
      </c>
      <c r="D21" s="89">
        <f>ROUND(C21*(1+(IF(D26=0,D$25,D26))),2)</f>
        <v>3143.71</v>
      </c>
      <c r="E21" s="89">
        <f t="shared" ref="E21:G21" si="0">ROUND(D21*(1+(IF(E26=0,E$25,E26))),2)</f>
        <v>3222.3</v>
      </c>
      <c r="F21" s="89">
        <f t="shared" si="0"/>
        <v>3283.52</v>
      </c>
      <c r="G21" s="89">
        <f t="shared" si="0"/>
        <v>3349.19</v>
      </c>
      <c r="H21" s="90"/>
      <c r="I21" s="90"/>
      <c r="J21" s="76"/>
      <c r="K21" s="76"/>
      <c r="L21" s="76"/>
      <c r="M21" s="76"/>
      <c r="N21" s="76"/>
      <c r="O21" s="76"/>
      <c r="P21" s="76"/>
      <c r="Q21" s="76"/>
      <c r="R21" s="76"/>
      <c r="S21" s="76"/>
      <c r="T21" s="76"/>
      <c r="U21" s="76"/>
      <c r="V21" s="76"/>
      <c r="W21" s="76"/>
      <c r="X21" s="76"/>
      <c r="Y21" s="76"/>
      <c r="Z21" s="76"/>
      <c r="AA21" s="76"/>
      <c r="AB21" s="76"/>
      <c r="AC21" s="76"/>
      <c r="AD21" s="76"/>
    </row>
    <row r="22" spans="1:30" x14ac:dyDescent="0.3">
      <c r="A22" s="50" t="s">
        <v>602</v>
      </c>
      <c r="B22" s="50" t="s">
        <v>593</v>
      </c>
      <c r="C22" s="88">
        <v>2.5</v>
      </c>
      <c r="D22" s="88">
        <v>2.5</v>
      </c>
      <c r="E22" s="88">
        <v>2.5</v>
      </c>
      <c r="F22" s="88">
        <v>2.5</v>
      </c>
      <c r="G22" s="88">
        <v>2.5</v>
      </c>
      <c r="H22" s="91"/>
      <c r="I22" s="91"/>
      <c r="J22" s="76"/>
      <c r="K22" s="76"/>
      <c r="L22" s="76"/>
      <c r="M22" s="76"/>
      <c r="N22" s="76"/>
      <c r="O22" s="76"/>
      <c r="P22" s="76"/>
      <c r="Q22" s="76"/>
      <c r="R22" s="76"/>
      <c r="S22" s="76"/>
      <c r="T22" s="76"/>
      <c r="U22" s="76"/>
      <c r="V22" s="76"/>
      <c r="W22" s="76"/>
      <c r="X22" s="76"/>
      <c r="Y22" s="76"/>
      <c r="Z22" s="76"/>
      <c r="AA22" s="76"/>
      <c r="AB22" s="76"/>
      <c r="AC22" s="76"/>
      <c r="AD22" s="76"/>
    </row>
    <row r="23" spans="1:30" x14ac:dyDescent="0.3">
      <c r="A23" s="50" t="s">
        <v>603</v>
      </c>
      <c r="B23" s="50" t="s">
        <v>594</v>
      </c>
      <c r="C23" s="89">
        <f>ROUND(1691.7*(1+(IF(C28=0,C$27,C28))),2)</f>
        <v>1842.26</v>
      </c>
      <c r="D23" s="89">
        <f>ROUND(C23*(1+(IF(D28=0,D$27,D28))),2)</f>
        <v>1938.06</v>
      </c>
      <c r="E23" s="89">
        <f>ROUND(D23*(1+(IF(E28=0,E$27,E28))),2)</f>
        <v>1986.51</v>
      </c>
      <c r="F23" s="89">
        <f>ROUND(E23*(1+(IF(F28=0,F$27,F28))),2)</f>
        <v>2024.25</v>
      </c>
      <c r="G23" s="89">
        <f>ROUND(F23*(1+(IF(G28=0,G$27,G28))),2)</f>
        <v>2064.7399999999998</v>
      </c>
      <c r="H23" s="90"/>
      <c r="I23" s="90"/>
      <c r="J23" s="76"/>
      <c r="K23" s="76"/>
      <c r="L23" s="76"/>
      <c r="M23" s="76"/>
      <c r="N23" s="76"/>
      <c r="O23" s="76"/>
      <c r="P23" s="76"/>
      <c r="Q23" s="76"/>
      <c r="R23" s="76"/>
      <c r="S23" s="76"/>
      <c r="T23" s="76"/>
      <c r="U23" s="76"/>
      <c r="V23" s="76"/>
      <c r="W23" s="76"/>
      <c r="X23" s="76"/>
      <c r="Y23" s="76"/>
      <c r="Z23" s="76"/>
      <c r="AA23" s="76"/>
      <c r="AB23" s="76"/>
      <c r="AC23" s="76"/>
      <c r="AD23" s="76"/>
    </row>
    <row r="24" spans="1:30" x14ac:dyDescent="0.3">
      <c r="A24" s="50" t="s">
        <v>604</v>
      </c>
      <c r="B24" s="50" t="s">
        <v>965</v>
      </c>
      <c r="C24" s="88">
        <v>1.5</v>
      </c>
      <c r="D24" s="88">
        <v>1.5</v>
      </c>
      <c r="E24" s="88">
        <v>1.5</v>
      </c>
      <c r="F24" s="88">
        <v>1.5</v>
      </c>
      <c r="G24" s="88">
        <v>1.5</v>
      </c>
      <c r="H24" s="92"/>
      <c r="I24" s="92"/>
      <c r="J24" s="76"/>
      <c r="K24" s="76"/>
      <c r="L24" s="76"/>
      <c r="M24" s="76"/>
      <c r="N24" s="76"/>
      <c r="O24" s="76"/>
      <c r="P24" s="76"/>
      <c r="Q24" s="76"/>
      <c r="R24" s="76"/>
      <c r="S24" s="76"/>
      <c r="T24" s="76"/>
      <c r="U24" s="76"/>
      <c r="V24" s="76"/>
      <c r="W24" s="76"/>
      <c r="X24" s="76"/>
      <c r="Y24" s="76"/>
      <c r="Z24" s="76"/>
      <c r="AA24" s="76"/>
      <c r="AB24" s="76"/>
      <c r="AC24" s="76"/>
      <c r="AD24" s="76"/>
    </row>
    <row r="25" spans="1:30" x14ac:dyDescent="0.3">
      <c r="A25" s="50" t="s">
        <v>1005</v>
      </c>
      <c r="B25" s="50" t="s">
        <v>1168</v>
      </c>
      <c r="C25" s="93">
        <v>0.09</v>
      </c>
      <c r="D25" s="93">
        <v>5.1999999999999998E-2</v>
      </c>
      <c r="E25" s="93">
        <v>2.5000000000000001E-2</v>
      </c>
      <c r="F25" s="93">
        <v>1.9E-2</v>
      </c>
      <c r="G25" s="93">
        <v>0.02</v>
      </c>
      <c r="H25" s="94"/>
      <c r="I25" s="94"/>
      <c r="J25" s="76"/>
      <c r="K25" s="76"/>
      <c r="L25" s="76"/>
      <c r="M25" s="76"/>
      <c r="N25" s="76"/>
      <c r="O25" s="76"/>
      <c r="P25" s="76"/>
      <c r="Q25" s="76"/>
      <c r="R25" s="76"/>
      <c r="S25" s="76"/>
      <c r="T25" s="76"/>
      <c r="U25" s="76"/>
      <c r="V25" s="76"/>
      <c r="W25" s="76"/>
      <c r="X25" s="76"/>
      <c r="Y25" s="76"/>
      <c r="Z25" s="76"/>
      <c r="AA25" s="76"/>
      <c r="AB25" s="76"/>
      <c r="AC25" s="76"/>
      <c r="AD25" s="76"/>
    </row>
    <row r="26" spans="1:30" s="95" customFormat="1" x14ac:dyDescent="0.3">
      <c r="B26" s="96" t="s">
        <v>1007</v>
      </c>
      <c r="C26" s="97"/>
      <c r="D26" s="98"/>
      <c r="E26" s="98"/>
      <c r="F26" s="98"/>
      <c r="G26" s="98"/>
      <c r="H26" s="99"/>
      <c r="I26" s="99"/>
      <c r="J26" s="100"/>
      <c r="K26" s="100"/>
      <c r="L26" s="100"/>
      <c r="M26" s="100"/>
      <c r="N26" s="100"/>
      <c r="O26" s="100"/>
      <c r="P26" s="100"/>
      <c r="Q26" s="100"/>
      <c r="R26" s="100"/>
      <c r="S26" s="100"/>
      <c r="T26" s="100"/>
      <c r="U26" s="100"/>
      <c r="V26" s="100"/>
      <c r="W26" s="100"/>
      <c r="X26" s="100"/>
      <c r="Y26" s="100"/>
      <c r="Z26" s="100"/>
      <c r="AA26" s="100"/>
      <c r="AB26" s="100"/>
      <c r="AC26" s="100"/>
      <c r="AD26" s="100"/>
    </row>
    <row r="27" spans="1:30" x14ac:dyDescent="0.3">
      <c r="A27" s="50" t="s">
        <v>1006</v>
      </c>
      <c r="B27" s="50" t="s">
        <v>1201</v>
      </c>
      <c r="C27" s="93">
        <v>8.8999999999999996E-2</v>
      </c>
      <c r="D27" s="93">
        <f>D25</f>
        <v>5.1999999999999998E-2</v>
      </c>
      <c r="E27" s="93">
        <f t="shared" ref="E27:G27" si="1">E25</f>
        <v>2.5000000000000001E-2</v>
      </c>
      <c r="F27" s="93">
        <f t="shared" si="1"/>
        <v>1.9E-2</v>
      </c>
      <c r="G27" s="93">
        <f t="shared" si="1"/>
        <v>0.02</v>
      </c>
      <c r="H27" s="94"/>
      <c r="I27" s="94"/>
      <c r="J27" s="76"/>
      <c r="K27" s="76"/>
      <c r="L27" s="76"/>
      <c r="M27" s="76"/>
      <c r="N27" s="76"/>
      <c r="O27" s="76"/>
      <c r="P27" s="76"/>
      <c r="Q27" s="76"/>
      <c r="R27" s="76"/>
      <c r="S27" s="76"/>
      <c r="T27" s="76"/>
      <c r="U27" s="76"/>
      <c r="V27" s="76"/>
      <c r="W27" s="76"/>
      <c r="X27" s="76"/>
      <c r="Y27" s="76"/>
      <c r="Z27" s="76"/>
      <c r="AA27" s="76"/>
      <c r="AB27" s="76"/>
      <c r="AC27" s="76"/>
      <c r="AD27" s="76"/>
    </row>
    <row r="28" spans="1:30" s="95" customFormat="1" x14ac:dyDescent="0.3">
      <c r="B28" s="96" t="s">
        <v>1008</v>
      </c>
      <c r="C28" s="101"/>
      <c r="D28" s="101"/>
      <c r="E28" s="101"/>
      <c r="F28" s="101"/>
      <c r="G28" s="101"/>
      <c r="H28" s="99"/>
      <c r="I28" s="99"/>
      <c r="J28" s="100"/>
      <c r="K28" s="100"/>
      <c r="L28" s="100"/>
      <c r="M28" s="100"/>
      <c r="N28" s="100"/>
      <c r="O28" s="100"/>
      <c r="P28" s="100"/>
      <c r="Q28" s="100"/>
      <c r="R28" s="100"/>
      <c r="S28" s="100"/>
      <c r="T28" s="100"/>
      <c r="U28" s="100"/>
      <c r="V28" s="100"/>
      <c r="W28" s="100"/>
      <c r="X28" s="100"/>
      <c r="Y28" s="100"/>
      <c r="Z28" s="100"/>
      <c r="AA28" s="100"/>
      <c r="AB28" s="100"/>
      <c r="AC28" s="100"/>
      <c r="AD28" s="100"/>
    </row>
    <row r="29" spans="1:30" x14ac:dyDescent="0.3">
      <c r="A29" s="50" t="s">
        <v>605</v>
      </c>
      <c r="B29" s="50" t="str">
        <f>CONCATENATE(PROPER(C3)," Voter Approved Levy")</f>
        <v>Aberdeen Voter Approved Levy</v>
      </c>
      <c r="C29" s="102">
        <f>IFERROR(VLOOKUP($A$1,VAL!$A:$J,MATCH(C$20,VAL!1:1,0),FALSE),0)</f>
        <v>5200000</v>
      </c>
      <c r="D29" s="102">
        <f>IFERROR(VLOOKUP($A$1,VAL!$A:$J,MATCH(D$20,VAL!1:1,0),FALSE),0)</f>
        <v>5200000</v>
      </c>
      <c r="E29" s="102">
        <f>IFERROR(VLOOKUP($A$1,VAL!$A:$J,MATCH(E$20,VAL!1:1,0),FALSE),0)</f>
        <v>0</v>
      </c>
      <c r="F29" s="102">
        <f>IFERROR(VLOOKUP($A$1,VAL!$A:$J,MATCH(F$20,VAL!1:1,0),FALSE),0)</f>
        <v>0</v>
      </c>
      <c r="G29" s="102">
        <f>IFERROR(VLOOKUP($A$1,VAL!$A:$J,MATCH(G$20,VAL!1:1,0),FALSE),0)</f>
        <v>0</v>
      </c>
      <c r="H29" s="94"/>
      <c r="I29" s="94"/>
      <c r="J29" s="76"/>
      <c r="K29" s="76"/>
      <c r="L29" s="76"/>
      <c r="M29" s="76"/>
      <c r="N29" s="76"/>
      <c r="O29" s="76"/>
      <c r="P29" s="76"/>
      <c r="Q29" s="76"/>
      <c r="R29" s="76"/>
      <c r="S29" s="76"/>
      <c r="T29" s="76"/>
      <c r="U29" s="76"/>
      <c r="V29" s="76"/>
      <c r="W29" s="76"/>
      <c r="X29" s="76"/>
      <c r="Y29" s="76"/>
      <c r="Z29" s="76"/>
      <c r="AA29" s="76"/>
      <c r="AB29" s="76"/>
      <c r="AC29" s="76"/>
      <c r="AD29" s="76"/>
    </row>
    <row r="30" spans="1:30" s="95" customFormat="1" x14ac:dyDescent="0.3">
      <c r="B30" s="96" t="s">
        <v>636</v>
      </c>
      <c r="C30" s="98"/>
      <c r="D30" s="98"/>
      <c r="E30" s="98"/>
      <c r="F30" s="98"/>
      <c r="G30" s="98"/>
      <c r="H30" s="99"/>
      <c r="I30" s="99"/>
      <c r="J30" s="100"/>
      <c r="K30" s="100"/>
      <c r="L30" s="100"/>
      <c r="M30" s="100"/>
      <c r="N30" s="100"/>
      <c r="O30" s="100"/>
      <c r="P30" s="100"/>
      <c r="Q30" s="100"/>
      <c r="R30" s="100"/>
      <c r="S30" s="100"/>
      <c r="T30" s="100"/>
      <c r="U30" s="100"/>
      <c r="V30" s="100"/>
      <c r="W30" s="100"/>
      <c r="X30" s="100"/>
      <c r="Y30" s="100"/>
      <c r="Z30" s="100"/>
      <c r="AA30" s="100"/>
      <c r="AB30" s="100"/>
      <c r="AC30" s="100"/>
      <c r="AD30" s="100"/>
    </row>
    <row r="31" spans="1:30" x14ac:dyDescent="0.3">
      <c r="A31" s="50" t="s">
        <v>999</v>
      </c>
      <c r="B31" s="50" t="s">
        <v>1173</v>
      </c>
      <c r="C31" s="103">
        <f>VLOOKUP($A$1,enrollment,'District AAFTE'!H$1,FALSE)</f>
        <v>3113.84</v>
      </c>
      <c r="D31" s="103">
        <f>VLOOKUP($A$1,enrollment,'District AAFTE'!I$1,FALSE)</f>
        <v>3155.4914404505284</v>
      </c>
      <c r="E31" s="103">
        <f>VLOOKUP($A$1,enrollment,'District AAFTE'!J$1,FALSE)</f>
        <v>3209.8852490496383</v>
      </c>
      <c r="F31" s="103">
        <f>VLOOKUP($A$1,enrollment,'District AAFTE'!K$1,FALSE)</f>
        <v>3265.2166885914244</v>
      </c>
      <c r="G31" s="103">
        <f>VLOOKUP($A$1,enrollment,'District AAFTE'!L$1,FALSE)</f>
        <v>3321.5019217938011</v>
      </c>
      <c r="H31" s="76"/>
      <c r="I31" s="76"/>
      <c r="J31" s="76"/>
      <c r="K31" s="76"/>
      <c r="L31" s="76"/>
      <c r="M31" s="76"/>
      <c r="N31" s="76"/>
      <c r="O31" s="76"/>
      <c r="P31" s="76"/>
      <c r="Q31" s="76"/>
      <c r="R31" s="76"/>
      <c r="S31" s="76"/>
      <c r="T31" s="76"/>
      <c r="U31" s="76"/>
      <c r="V31" s="76"/>
      <c r="W31" s="76"/>
      <c r="X31" s="76"/>
      <c r="Y31" s="76"/>
      <c r="Z31" s="76"/>
      <c r="AA31" s="76"/>
      <c r="AB31" s="76"/>
      <c r="AC31" s="76"/>
      <c r="AD31" s="76"/>
    </row>
    <row r="32" spans="1:30" x14ac:dyDescent="0.3">
      <c r="A32" s="50" t="s">
        <v>1000</v>
      </c>
      <c r="B32" s="50" t="s">
        <v>1004</v>
      </c>
      <c r="C32" s="107">
        <f>VLOOKUP($A$1,enrollment,'District AAFTE'!AC$1,FALSE)</f>
        <v>3334.33</v>
      </c>
      <c r="D32" s="97"/>
      <c r="E32" s="97"/>
      <c r="F32" s="97"/>
      <c r="G32" s="97"/>
      <c r="H32" s="76"/>
      <c r="I32" s="76"/>
      <c r="J32" s="76"/>
      <c r="K32" s="76"/>
      <c r="L32" s="76"/>
      <c r="M32" s="76"/>
      <c r="N32" s="76"/>
      <c r="O32" s="76"/>
      <c r="P32" s="76"/>
      <c r="Q32" s="76"/>
      <c r="R32" s="76"/>
      <c r="S32" s="76"/>
      <c r="T32" s="76"/>
      <c r="U32" s="76"/>
      <c r="V32" s="76"/>
      <c r="W32" s="76"/>
      <c r="X32" s="76"/>
      <c r="Y32" s="76"/>
      <c r="Z32" s="76"/>
      <c r="AA32" s="76"/>
      <c r="AB32" s="76"/>
      <c r="AC32" s="76"/>
      <c r="AD32" s="76"/>
    </row>
    <row r="33" spans="1:30" s="95" customFormat="1" x14ac:dyDescent="0.3">
      <c r="B33" s="96" t="s">
        <v>607</v>
      </c>
      <c r="C33" s="104"/>
      <c r="D33" s="104"/>
      <c r="E33" s="104"/>
      <c r="F33" s="104"/>
      <c r="G33" s="104"/>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s="95" customFormat="1" x14ac:dyDescent="0.3">
      <c r="A34" s="50" t="s">
        <v>1184</v>
      </c>
      <c r="B34" s="50" t="s">
        <v>643</v>
      </c>
      <c r="C34" s="105">
        <f>VLOOKUP($A$1,enrollment,'District AAFTE'!M$1,FALSE)</f>
        <v>-116.31</v>
      </c>
      <c r="D34" s="105">
        <f>VLOOKUP($A$1,enrollment,'District AAFTE'!N$1,FALSE)</f>
        <v>-116.31</v>
      </c>
      <c r="E34" s="105">
        <f>VLOOKUP($A$1,enrollment,'District AAFTE'!O$1,FALSE)</f>
        <v>-116.31</v>
      </c>
      <c r="F34" s="105">
        <f>VLOOKUP($A$1,enrollment,'District AAFTE'!P$1,FALSE)</f>
        <v>-116.31</v>
      </c>
      <c r="G34" s="105">
        <f>VLOOKUP($A$1,enrollment,'District AAFTE'!Q$1,FALSE)</f>
        <v>-116.31</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s="95" customFormat="1" x14ac:dyDescent="0.3">
      <c r="A35" s="50" t="s">
        <v>1185</v>
      </c>
      <c r="B35" s="50" t="s">
        <v>1186</v>
      </c>
      <c r="C35" s="141">
        <f>VLOOKUP($A$1,enrollment,'District AAFTE'!AD$1,FALSE)</f>
        <v>-110.4</v>
      </c>
      <c r="D35" s="97"/>
      <c r="E35" s="97"/>
      <c r="F35" s="97"/>
      <c r="G35" s="97"/>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0" s="95" customFormat="1" x14ac:dyDescent="0.3">
      <c r="B36" s="96" t="s">
        <v>642</v>
      </c>
      <c r="C36" s="104">
        <v>0</v>
      </c>
      <c r="D36" s="104"/>
      <c r="E36" s="104"/>
      <c r="F36" s="104"/>
      <c r="G36" s="104"/>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0" x14ac:dyDescent="0.3">
      <c r="A37" s="50" t="s">
        <v>610</v>
      </c>
      <c r="B37" s="50" t="s">
        <v>598</v>
      </c>
      <c r="C37" s="102">
        <f>VLOOKUP($A$1,Data!$A:$W,MATCH(C$20,Data!1:1,0),FALSE)</f>
        <v>2151128984</v>
      </c>
      <c r="D37" s="102">
        <f>VLOOKUP($A$1,Data!$A:$W,MATCH(D$20,Data!1:1,0),FALSE)</f>
        <v>2109223338</v>
      </c>
      <c r="E37" s="102">
        <f>VLOOKUP($A$1,Data!$A:$W,MATCH(E$20,Data!1:1,0),FALSE)</f>
        <v>2352935632</v>
      </c>
      <c r="F37" s="102">
        <f>VLOOKUP($A$1,Data!$A:$W,MATCH(F$20,Data!1:1,0),FALSE)</f>
        <v>2565720814</v>
      </c>
      <c r="G37" s="102">
        <f>VLOOKUP($A$1,Data!$A:$W,MATCH(G$20,Data!1:1,0),FALSE)</f>
        <v>2809070975</v>
      </c>
      <c r="H37" s="76"/>
      <c r="I37" s="76"/>
      <c r="J37" s="76"/>
      <c r="K37" s="76"/>
      <c r="L37" s="76"/>
      <c r="M37" s="76"/>
      <c r="N37" s="76"/>
      <c r="O37" s="76"/>
      <c r="P37" s="76"/>
      <c r="Q37" s="76"/>
      <c r="R37" s="76"/>
      <c r="S37" s="76"/>
      <c r="T37" s="76"/>
      <c r="U37" s="76"/>
      <c r="V37" s="76"/>
      <c r="W37" s="76"/>
      <c r="X37" s="76"/>
      <c r="Y37" s="76"/>
      <c r="Z37" s="76"/>
      <c r="AA37" s="76"/>
      <c r="AB37" s="76"/>
      <c r="AC37" s="76"/>
      <c r="AD37" s="76"/>
    </row>
    <row r="38" spans="1:30" s="95" customFormat="1" x14ac:dyDescent="0.3">
      <c r="B38" s="96" t="s">
        <v>637</v>
      </c>
      <c r="C38" s="106"/>
      <c r="D38" s="106"/>
      <c r="E38" s="106"/>
      <c r="F38" s="106"/>
      <c r="G38" s="106"/>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row>
    <row r="39" spans="1:30" ht="10.5" customHeight="1" x14ac:dyDescent="0.35">
      <c r="A39" s="77"/>
      <c r="B39" s="78"/>
      <c r="C39" s="78"/>
      <c r="D39" s="78"/>
      <c r="E39" s="78"/>
      <c r="F39" s="78"/>
      <c r="G39" s="78"/>
      <c r="H39" s="76"/>
      <c r="I39" s="76"/>
      <c r="J39" s="76"/>
      <c r="K39" s="76"/>
      <c r="L39" s="76"/>
      <c r="M39" s="76"/>
      <c r="N39" s="76"/>
      <c r="O39" s="76"/>
      <c r="P39" s="76"/>
      <c r="Q39" s="76"/>
      <c r="R39" s="76"/>
      <c r="S39" s="76"/>
      <c r="T39" s="76"/>
      <c r="U39" s="76"/>
      <c r="V39" s="76"/>
      <c r="W39" s="76"/>
      <c r="X39" s="76"/>
      <c r="Y39" s="76"/>
      <c r="Z39" s="76"/>
      <c r="AA39" s="76"/>
      <c r="AB39" s="76"/>
      <c r="AC39" s="76"/>
      <c r="AD39" s="76"/>
    </row>
    <row r="40" spans="1:30" ht="20.25" x14ac:dyDescent="0.35">
      <c r="B40" s="149" t="s">
        <v>600</v>
      </c>
      <c r="C40" s="149"/>
      <c r="D40" s="149"/>
      <c r="E40" s="149"/>
      <c r="F40" s="149"/>
      <c r="G40" s="149"/>
      <c r="H40" s="76"/>
      <c r="I40" s="76"/>
      <c r="J40" s="76"/>
      <c r="K40" s="76"/>
      <c r="L40" s="76"/>
      <c r="M40" s="76"/>
      <c r="N40" s="76"/>
      <c r="O40" s="76"/>
      <c r="P40" s="76"/>
      <c r="Q40" s="76"/>
      <c r="R40" s="76"/>
      <c r="S40" s="76"/>
      <c r="T40" s="76"/>
      <c r="U40" s="76"/>
      <c r="V40" s="76"/>
      <c r="W40" s="76"/>
      <c r="X40" s="76"/>
      <c r="Y40" s="76"/>
      <c r="Z40" s="76"/>
      <c r="AA40" s="76"/>
      <c r="AB40" s="76"/>
      <c r="AC40" s="76"/>
      <c r="AD40" s="76"/>
    </row>
    <row r="41" spans="1:30" x14ac:dyDescent="0.3">
      <c r="B41" s="86" t="s">
        <v>608</v>
      </c>
      <c r="C41" s="60">
        <f>C20</f>
        <v>2023</v>
      </c>
      <c r="D41" s="60">
        <f>D20</f>
        <v>2024</v>
      </c>
      <c r="E41" s="60">
        <f>E20</f>
        <v>2025</v>
      </c>
      <c r="F41" s="60">
        <f>F20</f>
        <v>2026</v>
      </c>
      <c r="G41" s="60">
        <f>G20</f>
        <v>2027</v>
      </c>
      <c r="H41" s="76"/>
      <c r="I41" s="76"/>
      <c r="J41" s="76"/>
      <c r="K41" s="76"/>
      <c r="L41" s="76"/>
      <c r="M41" s="76"/>
      <c r="N41" s="76"/>
      <c r="O41" s="76"/>
      <c r="P41" s="76"/>
      <c r="Q41" s="76"/>
      <c r="R41" s="76"/>
      <c r="S41" s="76"/>
      <c r="T41" s="76"/>
      <c r="U41" s="76"/>
      <c r="V41" s="76"/>
      <c r="W41" s="76"/>
      <c r="X41" s="76"/>
      <c r="Y41" s="76"/>
      <c r="Z41" s="76"/>
      <c r="AA41" s="76"/>
      <c r="AB41" s="76"/>
      <c r="AC41" s="76"/>
      <c r="AD41" s="76"/>
    </row>
    <row r="42" spans="1:30" x14ac:dyDescent="0.3">
      <c r="A42" s="50" t="s">
        <v>611</v>
      </c>
      <c r="B42" s="125" t="s">
        <v>1187</v>
      </c>
      <c r="C42" s="107">
        <f>IF(C33=0,MAX(C31,C32),C33)+IF(C36=0,IF(C31&gt;C32,C34,C35),C36)</f>
        <v>3223.93</v>
      </c>
      <c r="D42" s="103">
        <f>IF(D33=0,D31,D33)+IF(D36=0,D34,D36)</f>
        <v>3039.1814404505285</v>
      </c>
      <c r="E42" s="103">
        <f>IF(E33=0,E31,E33)+IF(E36=0,E34,E36)</f>
        <v>3093.5752490496384</v>
      </c>
      <c r="F42" s="103">
        <f>IF(F33=0,F31,F33)+IF(F36=0,F34,F36)</f>
        <v>3148.9066885914244</v>
      </c>
      <c r="G42" s="103">
        <f>IF(G33=0,G31,G33)+IF(G36=0,G34,G36)</f>
        <v>3205.1919217938012</v>
      </c>
      <c r="H42" s="76"/>
      <c r="I42" s="76"/>
      <c r="J42" s="108"/>
      <c r="K42" s="76"/>
      <c r="L42" s="76"/>
      <c r="M42" s="76"/>
      <c r="N42" s="76"/>
      <c r="O42" s="76"/>
      <c r="P42" s="76"/>
      <c r="Q42" s="76"/>
      <c r="R42" s="76"/>
      <c r="S42" s="76"/>
      <c r="T42" s="76"/>
      <c r="U42" s="76"/>
      <c r="V42" s="76"/>
      <c r="W42" s="76"/>
      <c r="X42" s="76"/>
      <c r="Y42" s="76"/>
      <c r="Z42" s="76"/>
      <c r="AA42" s="76"/>
      <c r="AB42" s="76"/>
      <c r="AC42" s="76"/>
      <c r="AD42" s="76"/>
    </row>
    <row r="43" spans="1:30" x14ac:dyDescent="0.3">
      <c r="A43" s="50" t="s">
        <v>612</v>
      </c>
      <c r="B43" s="50" t="s">
        <v>1091</v>
      </c>
      <c r="C43" s="102">
        <f>IF(C38=0,C37*C22/1000,C38*C22/1000)</f>
        <v>5377822.46</v>
      </c>
      <c r="D43" s="102">
        <f>IF(D38=0,D37*D22/1000,D38*D22/1000)</f>
        <v>5273058.3449999997</v>
      </c>
      <c r="E43" s="102">
        <f>IF(E38=0,E37*E22/1000,E38*E22/1000)</f>
        <v>5882339.0800000001</v>
      </c>
      <c r="F43" s="102">
        <f>IF(F38=0,F37*F22/1000,F38*F22/1000)</f>
        <v>6414302.0350000001</v>
      </c>
      <c r="G43" s="102">
        <f>IF(G38=0,G37*G22/1000,G38*G22/1000)</f>
        <v>7022677.4375</v>
      </c>
      <c r="H43" s="76"/>
      <c r="I43" s="76"/>
      <c r="J43" s="76"/>
      <c r="K43" s="76"/>
      <c r="L43" s="76"/>
      <c r="M43" s="76"/>
      <c r="N43" s="76"/>
      <c r="O43" s="76"/>
      <c r="P43" s="76"/>
      <c r="Q43" s="76"/>
      <c r="R43" s="76"/>
      <c r="S43" s="76"/>
      <c r="T43" s="76"/>
      <c r="U43" s="76"/>
      <c r="V43" s="76"/>
      <c r="W43" s="76"/>
      <c r="X43" s="76"/>
      <c r="Y43" s="76"/>
      <c r="Z43" s="76"/>
      <c r="AA43" s="76"/>
      <c r="AB43" s="76"/>
      <c r="AC43" s="76"/>
      <c r="AD43" s="76"/>
    </row>
    <row r="44" spans="1:30" x14ac:dyDescent="0.3">
      <c r="A44" s="50" t="s">
        <v>613</v>
      </c>
      <c r="B44" s="50" t="s">
        <v>1092</v>
      </c>
      <c r="C44" s="102">
        <f>C42*C21</f>
        <v>9634134.4976000004</v>
      </c>
      <c r="D44" s="102">
        <f>D42*D21</f>
        <v>9554305.086158732</v>
      </c>
      <c r="E44" s="102">
        <f>E42*E21</f>
        <v>9968427.5250126496</v>
      </c>
      <c r="F44" s="102">
        <f>F42*F21</f>
        <v>10339498.090123713</v>
      </c>
      <c r="G44" s="102">
        <f>G42*G21</f>
        <v>10734796.732552581</v>
      </c>
      <c r="H44" s="76"/>
      <c r="I44" s="76"/>
      <c r="J44" s="76"/>
      <c r="K44" s="76"/>
      <c r="L44" s="76"/>
      <c r="M44" s="76"/>
      <c r="N44" s="76"/>
      <c r="O44" s="76"/>
      <c r="P44" s="76"/>
      <c r="Q44" s="76"/>
      <c r="R44" s="76"/>
      <c r="S44" s="76"/>
      <c r="T44" s="76"/>
      <c r="U44" s="76"/>
      <c r="V44" s="76"/>
      <c r="W44" s="76"/>
      <c r="X44" s="76"/>
      <c r="Y44" s="76"/>
      <c r="Z44" s="76"/>
      <c r="AA44" s="76"/>
      <c r="AB44" s="76"/>
      <c r="AC44" s="76"/>
      <c r="AD44" s="76"/>
    </row>
    <row r="45" spans="1:30" x14ac:dyDescent="0.3">
      <c r="A45" s="50" t="s">
        <v>627</v>
      </c>
      <c r="B45" s="50" t="s">
        <v>1093</v>
      </c>
      <c r="C45" s="102">
        <f>MIN(C43,C44)</f>
        <v>5377822.46</v>
      </c>
      <c r="D45" s="102">
        <f t="shared" ref="D45:G45" si="2">MIN(D43,D44)</f>
        <v>5273058.3449999997</v>
      </c>
      <c r="E45" s="102">
        <f>MIN(E43,E44)</f>
        <v>5882339.0800000001</v>
      </c>
      <c r="F45" s="102">
        <f>MIN(F43,F44)</f>
        <v>6414302.0350000001</v>
      </c>
      <c r="G45" s="102">
        <f t="shared" si="2"/>
        <v>7022677.4375</v>
      </c>
      <c r="H45" s="76"/>
      <c r="I45" s="76"/>
      <c r="J45" s="76"/>
      <c r="K45" s="76"/>
      <c r="L45" s="76"/>
      <c r="M45" s="76"/>
      <c r="N45" s="76"/>
      <c r="O45" s="76"/>
      <c r="P45" s="76"/>
      <c r="Q45" s="76"/>
      <c r="R45" s="76"/>
      <c r="S45" s="76"/>
      <c r="T45" s="76"/>
      <c r="U45" s="76"/>
      <c r="V45" s="76"/>
      <c r="W45" s="76"/>
      <c r="X45" s="76"/>
      <c r="Y45" s="76"/>
      <c r="Z45" s="76"/>
      <c r="AA45" s="76"/>
      <c r="AB45" s="76"/>
      <c r="AC45" s="76"/>
      <c r="AD45" s="76"/>
    </row>
    <row r="46" spans="1:30" x14ac:dyDescent="0.3">
      <c r="A46" s="50" t="s">
        <v>614</v>
      </c>
      <c r="B46" s="50" t="s">
        <v>1094</v>
      </c>
      <c r="C46" s="102">
        <f>IF(C45&lt;C53,C53-C45,0)</f>
        <v>0</v>
      </c>
      <c r="D46" s="102">
        <f t="shared" ref="D46:G46" si="3">IF(D45&lt;D53,D53-D45,0)</f>
        <v>0</v>
      </c>
      <c r="E46" s="102">
        <f t="shared" si="3"/>
        <v>0</v>
      </c>
      <c r="F46" s="102">
        <f>IF(F45&lt;F53,F53-F45,0)</f>
        <v>0</v>
      </c>
      <c r="G46" s="102">
        <f t="shared" si="3"/>
        <v>0</v>
      </c>
      <c r="H46" s="76"/>
      <c r="I46" s="76"/>
      <c r="J46" s="76"/>
      <c r="K46" s="76"/>
      <c r="L46" s="76"/>
      <c r="M46" s="76"/>
      <c r="N46" s="76"/>
      <c r="O46" s="76"/>
      <c r="P46" s="76"/>
      <c r="Q46" s="76"/>
      <c r="R46" s="76"/>
      <c r="S46" s="76"/>
      <c r="T46" s="76"/>
      <c r="U46" s="76"/>
      <c r="V46" s="76"/>
      <c r="W46" s="76"/>
      <c r="X46" s="76"/>
      <c r="Y46" s="76"/>
      <c r="Z46" s="76"/>
      <c r="AA46" s="76"/>
      <c r="AB46" s="76"/>
      <c r="AC46" s="76"/>
      <c r="AD46" s="76"/>
    </row>
    <row r="47" spans="1:30" ht="17.25" x14ac:dyDescent="0.3">
      <c r="A47" s="50" t="s">
        <v>628</v>
      </c>
      <c r="B47" s="109" t="s">
        <v>616</v>
      </c>
      <c r="C47" s="110">
        <f>IF(C30=0,IF(C45&lt;C29,C45,C29),IF(C45&lt;C30,C45,C30))</f>
        <v>5200000</v>
      </c>
      <c r="D47" s="110">
        <f>IF(D30=0,IF(D45&lt;D29,D45,D29),IF(D45&lt;D30,D45,D30))</f>
        <v>5200000</v>
      </c>
      <c r="E47" s="110">
        <f>IF(E30=0,IF(E45&lt;E29,E45,E29),IF(E45&lt;E30,E45,E30))</f>
        <v>0</v>
      </c>
      <c r="F47" s="110">
        <f>IF(F30=0,IF(F45&lt;F29,F45,F29),IF(F45&lt;F30,F45,F30))</f>
        <v>0</v>
      </c>
      <c r="G47" s="110">
        <f>IF(G30=0,IF(G45&lt;G29,G45,G29),IF(G45&lt;G30,G45,G30))</f>
        <v>0</v>
      </c>
      <c r="H47" s="76"/>
      <c r="I47" s="76"/>
      <c r="J47" s="76"/>
      <c r="K47" s="76"/>
      <c r="L47" s="76"/>
      <c r="M47" s="76"/>
      <c r="N47" s="76"/>
      <c r="O47" s="76"/>
      <c r="P47" s="76"/>
      <c r="Q47" s="76"/>
      <c r="R47" s="76"/>
      <c r="S47" s="76"/>
      <c r="T47" s="76"/>
      <c r="U47" s="76"/>
      <c r="V47" s="76"/>
      <c r="W47" s="76"/>
      <c r="X47" s="76"/>
      <c r="Y47" s="76"/>
      <c r="Z47" s="76"/>
      <c r="AA47" s="76"/>
      <c r="AB47" s="76"/>
      <c r="AC47" s="76"/>
      <c r="AD47" s="76"/>
    </row>
    <row r="48" spans="1:30" ht="14.25" customHeight="1" x14ac:dyDescent="0.35">
      <c r="B48" s="78"/>
      <c r="C48" s="142"/>
      <c r="D48" s="142"/>
      <c r="E48" s="142"/>
      <c r="F48" s="142"/>
      <c r="G48" s="142"/>
      <c r="H48" s="76"/>
      <c r="I48" s="76"/>
      <c r="J48" s="76"/>
      <c r="K48" s="76"/>
      <c r="L48" s="76"/>
      <c r="M48" s="76"/>
      <c r="N48" s="76"/>
      <c r="O48" s="76"/>
      <c r="P48" s="76"/>
      <c r="Q48" s="76"/>
      <c r="R48" s="76"/>
      <c r="S48" s="76"/>
      <c r="T48" s="76"/>
      <c r="U48" s="76"/>
      <c r="V48" s="76"/>
      <c r="W48" s="76"/>
      <c r="X48" s="76"/>
      <c r="Y48" s="76"/>
      <c r="Z48" s="76"/>
      <c r="AA48" s="76"/>
      <c r="AB48" s="76"/>
      <c r="AC48" s="76"/>
      <c r="AD48" s="76"/>
    </row>
    <row r="49" spans="1:30" ht="20.25" x14ac:dyDescent="0.35">
      <c r="A49" s="77"/>
      <c r="B49" s="149" t="s">
        <v>609</v>
      </c>
      <c r="C49" s="149"/>
      <c r="D49" s="149"/>
      <c r="E49" s="149"/>
      <c r="F49" s="149"/>
      <c r="G49" s="149"/>
      <c r="H49" s="76"/>
      <c r="I49" s="76"/>
      <c r="J49" s="76"/>
      <c r="K49" s="76"/>
      <c r="L49" s="76"/>
      <c r="M49" s="76"/>
      <c r="N49" s="76"/>
      <c r="O49" s="76"/>
      <c r="P49" s="76"/>
      <c r="Q49" s="76"/>
      <c r="R49" s="76"/>
      <c r="S49" s="76"/>
      <c r="T49" s="76"/>
      <c r="U49" s="76"/>
      <c r="V49" s="76"/>
      <c r="W49" s="76"/>
      <c r="X49" s="76"/>
      <c r="Y49" s="76"/>
      <c r="Z49" s="76"/>
      <c r="AA49" s="76"/>
      <c r="AB49" s="76"/>
      <c r="AC49" s="76"/>
      <c r="AD49" s="76"/>
    </row>
    <row r="50" spans="1:30" x14ac:dyDescent="0.3">
      <c r="B50" s="86" t="s">
        <v>608</v>
      </c>
      <c r="C50" s="60">
        <f>C41</f>
        <v>2023</v>
      </c>
      <c r="D50" s="60">
        <f>D41</f>
        <v>2024</v>
      </c>
      <c r="E50" s="60">
        <f>E41</f>
        <v>2025</v>
      </c>
      <c r="F50" s="60">
        <f>F41</f>
        <v>2026</v>
      </c>
      <c r="G50" s="60">
        <f>G41</f>
        <v>2027</v>
      </c>
      <c r="H50" s="76"/>
      <c r="I50" s="76"/>
      <c r="J50" s="76"/>
      <c r="K50" s="76"/>
      <c r="L50" s="76"/>
      <c r="M50" s="76"/>
      <c r="N50" s="76"/>
      <c r="O50" s="76"/>
      <c r="P50" s="76"/>
      <c r="Q50" s="76"/>
      <c r="R50" s="76"/>
      <c r="S50" s="76"/>
      <c r="T50" s="76"/>
      <c r="U50" s="76"/>
      <c r="V50" s="76"/>
      <c r="W50" s="76"/>
      <c r="X50" s="76"/>
      <c r="Y50" s="76"/>
      <c r="Z50" s="76"/>
      <c r="AA50" s="76"/>
      <c r="AB50" s="76"/>
      <c r="AC50" s="76"/>
      <c r="AD50" s="76"/>
    </row>
    <row r="51" spans="1:30" ht="33" x14ac:dyDescent="0.3">
      <c r="A51" s="50" t="s">
        <v>629</v>
      </c>
      <c r="B51" s="125" t="s">
        <v>1176</v>
      </c>
      <c r="C51" s="133">
        <f>IF(C38=0,((C37*C24/1000)/C42),((C38*C24/1000)/C42))</f>
        <v>1000.8571761793835</v>
      </c>
      <c r="D51" s="102">
        <f>IF(D38=0,((D37*D24/1000)/D42),((D38*D24/1000)/D42))</f>
        <v>1041.0155066395091</v>
      </c>
      <c r="E51" s="102">
        <f>IF(E38=0,((E37*E24/1000)/E42),((E38*E24/1000)/E42))</f>
        <v>1140.8817190027137</v>
      </c>
      <c r="F51" s="102">
        <f>IF(F38=0,((F37*F24/1000)/F42),((F38*F24/1000)/F42))</f>
        <v>1222.1960196354867</v>
      </c>
      <c r="G51" s="102">
        <f>IF(G38=0,((G37*G24/1000)/G42),((G38*G24/1000)/G42))</f>
        <v>1314.6190821989328</v>
      </c>
      <c r="H51" s="76"/>
      <c r="I51" s="76"/>
      <c r="J51" s="76"/>
      <c r="K51" s="76"/>
      <c r="L51" s="76"/>
      <c r="M51" s="76"/>
      <c r="N51" s="76"/>
      <c r="O51" s="76"/>
      <c r="P51" s="76"/>
      <c r="Q51" s="76"/>
      <c r="R51" s="76"/>
      <c r="S51" s="76"/>
      <c r="T51" s="76"/>
      <c r="U51" s="76"/>
      <c r="V51" s="76"/>
      <c r="W51" s="76"/>
      <c r="X51" s="76"/>
      <c r="Y51" s="76"/>
      <c r="Z51" s="76"/>
      <c r="AA51" s="76"/>
      <c r="AB51" s="76"/>
      <c r="AC51" s="76"/>
      <c r="AD51" s="76"/>
    </row>
    <row r="52" spans="1:30" x14ac:dyDescent="0.3">
      <c r="A52" s="50" t="s">
        <v>630</v>
      </c>
      <c r="B52" s="50" t="s">
        <v>1095</v>
      </c>
      <c r="C52" s="102">
        <f>IF(C51&lt;C$23,C$23-C51,0)</f>
        <v>841.4028238206165</v>
      </c>
      <c r="D52" s="102">
        <f>IF(D51&lt;D$23,D$23-D51,0)</f>
        <v>897.04449336049083</v>
      </c>
      <c r="E52" s="102">
        <f>IF(E51&lt;E$23,E$23-E51,0)</f>
        <v>845.62828099728631</v>
      </c>
      <c r="F52" s="102">
        <f t="shared" ref="F52" si="4">IF(F51&lt;F$23,F$23-F51,0)</f>
        <v>802.05398036451334</v>
      </c>
      <c r="G52" s="102">
        <f t="shared" ref="G52" si="5">IF(G51&lt;G$23,G$23-G51,0)</f>
        <v>750.12091780106698</v>
      </c>
      <c r="H52" s="76"/>
      <c r="I52" s="76"/>
      <c r="J52" s="76"/>
      <c r="K52" s="76"/>
      <c r="L52" s="76"/>
      <c r="M52" s="76"/>
      <c r="N52" s="76"/>
      <c r="O52" s="76"/>
      <c r="P52" s="76"/>
      <c r="Q52" s="76"/>
      <c r="R52" s="76"/>
      <c r="S52" s="76"/>
      <c r="T52" s="76"/>
      <c r="U52" s="76"/>
      <c r="V52" s="76"/>
      <c r="W52" s="76"/>
      <c r="X52" s="76"/>
      <c r="Y52" s="76"/>
      <c r="Z52" s="76"/>
      <c r="AA52" s="76"/>
      <c r="AB52" s="76"/>
      <c r="AC52" s="76"/>
      <c r="AD52" s="76"/>
    </row>
    <row r="53" spans="1:30" x14ac:dyDescent="0.3">
      <c r="A53" s="50" t="s">
        <v>631</v>
      </c>
      <c r="B53" s="50" t="s">
        <v>1096</v>
      </c>
      <c r="C53" s="102">
        <f>IF(C30=0,C29,C30)</f>
        <v>5200000</v>
      </c>
      <c r="D53" s="111">
        <f>IF(D30=0,D29,D30)</f>
        <v>5200000</v>
      </c>
      <c r="E53" s="111">
        <f>IF(E30=0,E29,E30)</f>
        <v>0</v>
      </c>
      <c r="F53" s="111">
        <f>IF(F30=0,F29,F30)</f>
        <v>0</v>
      </c>
      <c r="G53" s="111">
        <f>IF(G30=0,G29,G30)</f>
        <v>0</v>
      </c>
      <c r="H53" s="76"/>
      <c r="I53" s="76"/>
      <c r="J53" s="76"/>
      <c r="K53" s="76"/>
      <c r="L53" s="76"/>
      <c r="M53" s="76"/>
      <c r="N53" s="76"/>
      <c r="O53" s="76"/>
      <c r="P53" s="76"/>
      <c r="Q53" s="76"/>
      <c r="R53" s="76"/>
      <c r="S53" s="76"/>
      <c r="T53" s="76"/>
      <c r="U53" s="76"/>
      <c r="V53" s="76"/>
      <c r="W53" s="76"/>
      <c r="X53" s="76"/>
      <c r="Y53" s="76"/>
      <c r="Z53" s="76"/>
      <c r="AA53" s="76"/>
      <c r="AB53" s="76"/>
      <c r="AC53" s="76"/>
      <c r="AD53" s="76"/>
    </row>
    <row r="54" spans="1:30" x14ac:dyDescent="0.3">
      <c r="A54" s="50" t="s">
        <v>626</v>
      </c>
      <c r="B54" s="50" t="s">
        <v>1097</v>
      </c>
      <c r="C54" s="88">
        <f>IFERROR(IF(C38=0,ROUND(C53/C37*1000,2),ROUND(C53/C38*1000,2)),0)</f>
        <v>2.42</v>
      </c>
      <c r="D54" s="88">
        <f>IFERROR(IF(D38=0,ROUND(D53/D37*1000,2),ROUND(D53/D38*1000,2)),0)</f>
        <v>2.4700000000000002</v>
      </c>
      <c r="E54" s="88">
        <f>IFERROR(IF(E38=0,ROUND(E53/E37*1000,2),ROUND(E53/E38*1000,2)),0)</f>
        <v>0</v>
      </c>
      <c r="F54" s="88">
        <f>IFERROR(IF(F38=0,ROUND(F53/F37*1000,2),ROUND(F53/F38*1000,2)),0)</f>
        <v>0</v>
      </c>
      <c r="G54" s="88">
        <f>IFERROR(IF(G38=0,ROUND(G53/G37*1000,2),ROUND(G53/G38*1000,2)),0)</f>
        <v>0</v>
      </c>
      <c r="H54" s="76"/>
      <c r="I54" s="76"/>
      <c r="J54" s="76"/>
      <c r="K54" s="76"/>
      <c r="L54" s="76"/>
      <c r="M54" s="76"/>
      <c r="N54" s="76"/>
      <c r="O54" s="76"/>
      <c r="P54" s="76"/>
      <c r="Q54" s="76"/>
      <c r="R54" s="76"/>
      <c r="S54" s="76"/>
      <c r="T54" s="76"/>
      <c r="U54" s="76"/>
      <c r="V54" s="76"/>
      <c r="W54" s="76"/>
      <c r="X54" s="76"/>
      <c r="Y54" s="76"/>
      <c r="Z54" s="76"/>
      <c r="AA54" s="76"/>
      <c r="AB54" s="76"/>
      <c r="AC54" s="76"/>
      <c r="AD54" s="76"/>
    </row>
    <row r="55" spans="1:30" x14ac:dyDescent="0.3">
      <c r="A55" s="50" t="s">
        <v>632</v>
      </c>
      <c r="B55" s="50" t="s">
        <v>1098</v>
      </c>
      <c r="C55" s="102">
        <f>C52*C42</f>
        <v>2712623.8058000002</v>
      </c>
      <c r="D55" s="102">
        <f>D52*D42</f>
        <v>2726280.9754795511</v>
      </c>
      <c r="E55" s="102">
        <f>E52*E42</f>
        <v>2616014.7199895978</v>
      </c>
      <c r="F55" s="102">
        <f t="shared" ref="F55" si="6">F52*F42</f>
        <v>2525593.143381191</v>
      </c>
      <c r="G55" s="102">
        <f t="shared" ref="G55" si="7">G52*G42</f>
        <v>2404281.5061045317</v>
      </c>
      <c r="H55" s="90"/>
      <c r="I55" s="90"/>
      <c r="J55" s="76"/>
      <c r="K55" s="76"/>
      <c r="L55" s="76"/>
      <c r="M55" s="76"/>
      <c r="N55" s="76"/>
      <c r="O55" s="76"/>
      <c r="P55" s="76"/>
      <c r="Q55" s="76"/>
      <c r="R55" s="76"/>
      <c r="S55" s="76"/>
      <c r="T55" s="76"/>
      <c r="U55" s="76"/>
      <c r="V55" s="76"/>
      <c r="W55" s="76"/>
      <c r="X55" s="76"/>
      <c r="Y55" s="76"/>
      <c r="Z55" s="76"/>
      <c r="AA55" s="76"/>
      <c r="AB55" s="76"/>
      <c r="AC55" s="76"/>
      <c r="AD55" s="76"/>
    </row>
    <row r="56" spans="1:30" x14ac:dyDescent="0.3">
      <c r="A56" s="50" t="s">
        <v>633</v>
      </c>
      <c r="B56" s="50" t="s">
        <v>1099</v>
      </c>
      <c r="C56" s="102">
        <f>C55*(MIN(C24,C54)/C24)</f>
        <v>2712623.8058000002</v>
      </c>
      <c r="D56" s="102">
        <f>D55*(MIN(D24,D54)/D24)</f>
        <v>2726280.9754795511</v>
      </c>
      <c r="E56" s="102">
        <f>E55*(MIN(E24,E54)/E24)</f>
        <v>0</v>
      </c>
      <c r="F56" s="102">
        <f>F55*(MIN(F24,F54)/F24)</f>
        <v>0</v>
      </c>
      <c r="G56" s="102">
        <f>G55*(MIN(G24,G54)/G24)</f>
        <v>0</v>
      </c>
      <c r="H56" s="90"/>
      <c r="I56" s="90"/>
      <c r="J56" s="76"/>
      <c r="K56" s="76"/>
      <c r="L56" s="76"/>
      <c r="M56" s="76"/>
      <c r="N56" s="76"/>
      <c r="O56" s="76"/>
      <c r="P56" s="76"/>
      <c r="Q56" s="76"/>
      <c r="R56" s="76"/>
      <c r="S56" s="76"/>
      <c r="T56" s="76"/>
      <c r="U56" s="76"/>
      <c r="V56" s="76"/>
      <c r="W56" s="76"/>
      <c r="X56" s="76"/>
      <c r="Y56" s="76"/>
      <c r="Z56" s="76"/>
      <c r="AA56" s="76"/>
      <c r="AB56" s="76"/>
      <c r="AC56" s="76"/>
      <c r="AD56" s="76"/>
    </row>
    <row r="57" spans="1:30" ht="17.25" x14ac:dyDescent="0.3">
      <c r="A57" s="50" t="s">
        <v>641</v>
      </c>
      <c r="B57" s="109" t="s">
        <v>618</v>
      </c>
      <c r="C57" s="110">
        <f>C56</f>
        <v>2712623.8058000002</v>
      </c>
      <c r="D57" s="110">
        <f t="shared" ref="D57:G57" si="8">D56</f>
        <v>2726280.9754795511</v>
      </c>
      <c r="E57" s="110">
        <f t="shared" si="8"/>
        <v>0</v>
      </c>
      <c r="F57" s="110">
        <f t="shared" ref="F57" si="9">F56</f>
        <v>0</v>
      </c>
      <c r="G57" s="110">
        <f t="shared" si="8"/>
        <v>0</v>
      </c>
      <c r="H57" s="90"/>
      <c r="I57" s="90"/>
      <c r="J57" s="76"/>
      <c r="K57" s="76"/>
      <c r="L57" s="76"/>
      <c r="M57" s="76"/>
      <c r="N57" s="76"/>
      <c r="O57" s="76"/>
      <c r="P57" s="76"/>
      <c r="Q57" s="76"/>
      <c r="R57" s="76"/>
      <c r="S57" s="76"/>
      <c r="T57" s="76"/>
      <c r="U57" s="76"/>
      <c r="V57" s="76"/>
      <c r="W57" s="76"/>
      <c r="X57" s="76"/>
      <c r="Y57" s="76"/>
      <c r="Z57" s="76"/>
      <c r="AA57" s="76"/>
      <c r="AB57" s="76"/>
      <c r="AC57" s="76"/>
      <c r="AD57" s="76"/>
    </row>
    <row r="58" spans="1:30" x14ac:dyDescent="0.3">
      <c r="B58" s="50" t="s">
        <v>1197</v>
      </c>
      <c r="C58" s="137">
        <f>VLOOKUP($A$1,Data!$A$4:$Z$305,24,FALSE)</f>
        <v>368651.82</v>
      </c>
      <c r="H58" s="76"/>
      <c r="I58" s="76"/>
      <c r="J58" s="76"/>
      <c r="K58" s="76"/>
      <c r="L58" s="76"/>
      <c r="M58" s="76"/>
      <c r="N58" s="76"/>
      <c r="O58" s="76"/>
      <c r="P58" s="76"/>
      <c r="Q58" s="76"/>
      <c r="R58" s="76"/>
      <c r="S58" s="76"/>
      <c r="T58" s="76"/>
      <c r="U58" s="76"/>
      <c r="V58" s="76"/>
      <c r="W58" s="76"/>
      <c r="X58" s="76"/>
      <c r="Y58" s="76"/>
      <c r="Z58" s="76"/>
      <c r="AA58" s="76"/>
      <c r="AB58" s="76"/>
      <c r="AC58" s="76"/>
      <c r="AD58" s="76"/>
    </row>
    <row r="59" spans="1:30" x14ac:dyDescent="0.3">
      <c r="B59" s="50" t="s">
        <v>1198</v>
      </c>
      <c r="C59" s="137">
        <f>VLOOKUP($A$1,Data!$A$4:$Z$305,25,FALSE)</f>
        <v>48435.849999999977</v>
      </c>
      <c r="H59" s="76"/>
      <c r="I59" s="76"/>
      <c r="J59" s="76"/>
      <c r="K59" s="76"/>
      <c r="L59" s="76"/>
      <c r="M59" s="76"/>
      <c r="N59" s="76"/>
      <c r="O59" s="76"/>
      <c r="P59" s="76"/>
      <c r="Q59" s="76"/>
      <c r="R59" s="76"/>
      <c r="S59" s="76"/>
      <c r="T59" s="76"/>
      <c r="U59" s="76"/>
      <c r="V59" s="76"/>
      <c r="W59" s="76"/>
      <c r="X59" s="76"/>
      <c r="Y59" s="76"/>
      <c r="Z59" s="76"/>
      <c r="AA59" s="76"/>
      <c r="AB59" s="76"/>
      <c r="AC59" s="76"/>
      <c r="AD59" s="76"/>
    </row>
    <row r="60" spans="1:30" x14ac:dyDescent="0.3">
      <c r="B60" s="50" t="s">
        <v>1199</v>
      </c>
      <c r="C60" s="137">
        <f>VLOOKUP($A$1,Data!$A$4:$Z$305,26,FALSE)</f>
        <v>0</v>
      </c>
      <c r="H60" s="76"/>
      <c r="I60" s="76"/>
      <c r="J60" s="76"/>
      <c r="K60" s="76"/>
      <c r="L60" s="76"/>
      <c r="M60" s="76"/>
      <c r="N60" s="76"/>
      <c r="O60" s="76"/>
      <c r="P60" s="76"/>
      <c r="Q60" s="76"/>
      <c r="R60" s="76"/>
      <c r="S60" s="76"/>
      <c r="T60" s="76"/>
      <c r="U60" s="76"/>
      <c r="V60" s="76"/>
      <c r="W60" s="76"/>
      <c r="X60" s="76"/>
      <c r="Y60" s="76"/>
      <c r="Z60" s="76"/>
      <c r="AA60" s="76"/>
      <c r="AB60" s="76"/>
      <c r="AC60" s="76"/>
      <c r="AD60" s="76"/>
    </row>
    <row r="61" spans="1:30" ht="10.5" customHeight="1" x14ac:dyDescent="0.35">
      <c r="A61" s="77"/>
      <c r="B61" s="78"/>
      <c r="C61" s="78"/>
      <c r="D61" s="78"/>
      <c r="E61" s="78"/>
      <c r="F61" s="78"/>
      <c r="G61" s="78"/>
      <c r="H61" s="76"/>
      <c r="I61" s="76"/>
      <c r="J61" s="76"/>
      <c r="K61" s="76"/>
      <c r="L61" s="76"/>
      <c r="M61" s="76"/>
      <c r="N61" s="76"/>
      <c r="O61" s="76"/>
      <c r="P61" s="76"/>
      <c r="Q61" s="76"/>
      <c r="R61" s="76"/>
      <c r="S61" s="76"/>
      <c r="T61" s="76"/>
      <c r="U61" s="76"/>
      <c r="V61" s="76"/>
      <c r="W61" s="76"/>
      <c r="X61" s="76"/>
      <c r="Y61" s="76"/>
      <c r="Z61" s="76"/>
      <c r="AA61" s="76"/>
      <c r="AB61" s="76"/>
      <c r="AC61" s="76"/>
      <c r="AD61" s="76"/>
    </row>
    <row r="62" spans="1:30" ht="20.25" x14ac:dyDescent="0.35">
      <c r="B62" s="149" t="s">
        <v>620</v>
      </c>
      <c r="C62" s="149"/>
      <c r="D62" s="149"/>
      <c r="E62" s="149"/>
      <c r="F62" s="149"/>
      <c r="G62" s="149"/>
      <c r="H62" s="76"/>
      <c r="I62" s="76"/>
      <c r="J62" s="76"/>
      <c r="K62" s="76"/>
      <c r="L62" s="76"/>
      <c r="M62" s="76"/>
      <c r="N62" s="76"/>
      <c r="O62" s="76"/>
      <c r="P62" s="76"/>
      <c r="Q62" s="76"/>
      <c r="R62" s="76"/>
      <c r="S62" s="76"/>
      <c r="T62" s="76"/>
      <c r="U62" s="76"/>
      <c r="V62" s="76"/>
      <c r="W62" s="76"/>
      <c r="X62" s="76"/>
      <c r="Y62" s="76"/>
      <c r="Z62" s="76"/>
      <c r="AA62" s="76"/>
      <c r="AB62" s="76"/>
      <c r="AC62" s="76"/>
      <c r="AD62" s="76"/>
    </row>
    <row r="63" spans="1:30" x14ac:dyDescent="0.3">
      <c r="B63" s="86" t="s">
        <v>619</v>
      </c>
      <c r="C63" s="60" t="s">
        <v>962</v>
      </c>
      <c r="D63" s="60" t="s">
        <v>972</v>
      </c>
      <c r="E63" s="60" t="s">
        <v>979</v>
      </c>
      <c r="F63" s="60" t="s">
        <v>1070</v>
      </c>
      <c r="G63" s="60" t="s">
        <v>1072</v>
      </c>
      <c r="H63" s="76"/>
      <c r="I63" s="76"/>
      <c r="J63" s="76"/>
      <c r="K63" s="76"/>
      <c r="L63" s="76"/>
      <c r="M63" s="76"/>
      <c r="N63" s="76"/>
      <c r="O63" s="76"/>
      <c r="P63" s="76"/>
      <c r="Q63" s="76"/>
      <c r="R63" s="76"/>
      <c r="S63" s="76"/>
      <c r="T63" s="76"/>
      <c r="U63" s="76"/>
      <c r="V63" s="76"/>
      <c r="W63" s="76"/>
      <c r="X63" s="76"/>
      <c r="Y63" s="76"/>
      <c r="Z63" s="76"/>
      <c r="AA63" s="76"/>
      <c r="AB63" s="76"/>
      <c r="AC63" s="76"/>
      <c r="AD63" s="76"/>
    </row>
    <row r="64" spans="1:30" x14ac:dyDescent="0.3">
      <c r="B64" s="50" t="s">
        <v>621</v>
      </c>
      <c r="C64" s="102">
        <f>C47*0.5262</f>
        <v>2736240</v>
      </c>
      <c r="D64" s="102">
        <f>D47*0.5262</f>
        <v>2736240</v>
      </c>
      <c r="E64" s="102">
        <f>E47*0.5262</f>
        <v>0</v>
      </c>
      <c r="F64" s="102">
        <f>F47*0.5262</f>
        <v>0</v>
      </c>
      <c r="G64" s="102">
        <f>G47*0.5262</f>
        <v>0</v>
      </c>
      <c r="H64" s="76"/>
      <c r="I64" s="76"/>
      <c r="J64" s="76"/>
      <c r="K64" s="76"/>
      <c r="L64" s="76"/>
      <c r="M64" s="76"/>
      <c r="N64" s="76"/>
      <c r="O64" s="76"/>
      <c r="P64" s="76"/>
      <c r="Q64" s="76"/>
      <c r="R64" s="76"/>
      <c r="S64" s="76"/>
      <c r="T64" s="76"/>
      <c r="U64" s="76"/>
      <c r="V64" s="76"/>
      <c r="W64" s="76"/>
      <c r="X64" s="76"/>
      <c r="Y64" s="76"/>
      <c r="Z64" s="76"/>
      <c r="AA64" s="76"/>
      <c r="AB64" s="76"/>
      <c r="AC64" s="76"/>
      <c r="AD64" s="76"/>
    </row>
    <row r="65" spans="1:30" x14ac:dyDescent="0.3">
      <c r="B65" s="50" t="s">
        <v>622</v>
      </c>
      <c r="C65" s="112"/>
      <c r="D65" s="102">
        <f>C47*0.4738</f>
        <v>2463760</v>
      </c>
      <c r="E65" s="102">
        <f>D47*0.4738</f>
        <v>2463760</v>
      </c>
      <c r="F65" s="102">
        <f>E47*0.4738</f>
        <v>0</v>
      </c>
      <c r="G65" s="102">
        <f>F47*0.4738</f>
        <v>0</v>
      </c>
      <c r="H65" s="76"/>
      <c r="I65" s="76"/>
      <c r="J65" s="76"/>
      <c r="K65" s="76"/>
      <c r="L65" s="76"/>
      <c r="M65" s="76"/>
      <c r="N65" s="76"/>
      <c r="O65" s="76"/>
      <c r="P65" s="76"/>
      <c r="Q65" s="76"/>
      <c r="R65" s="76"/>
      <c r="S65" s="76"/>
      <c r="T65" s="76"/>
      <c r="U65" s="76"/>
      <c r="V65" s="76"/>
      <c r="W65" s="76"/>
      <c r="X65" s="76"/>
      <c r="Y65" s="76"/>
      <c r="Z65" s="76"/>
      <c r="AA65" s="76"/>
      <c r="AB65" s="76"/>
      <c r="AC65" s="76"/>
      <c r="AD65" s="76"/>
    </row>
    <row r="66" spans="1:30" x14ac:dyDescent="0.3">
      <c r="B66" s="50" t="s">
        <v>1188</v>
      </c>
      <c r="C66" s="111">
        <f>IFERROR(VLOOKUP($A$1,Data,Data!W$1,FALSE),0)</f>
        <v>2083017.16</v>
      </c>
      <c r="D66" s="112"/>
      <c r="E66" s="112"/>
      <c r="F66" s="112"/>
      <c r="G66" s="112"/>
      <c r="H66" s="76"/>
      <c r="I66" s="76"/>
      <c r="J66" s="76"/>
      <c r="K66" s="76"/>
      <c r="L66" s="76"/>
      <c r="M66" s="76"/>
      <c r="N66" s="76"/>
      <c r="O66" s="76"/>
      <c r="P66" s="76"/>
      <c r="Q66" s="76"/>
      <c r="R66" s="76"/>
      <c r="S66" s="76"/>
      <c r="T66" s="76"/>
      <c r="U66" s="76"/>
      <c r="V66" s="76"/>
      <c r="W66" s="76"/>
      <c r="X66" s="76"/>
      <c r="Y66" s="76"/>
      <c r="Z66" s="76"/>
      <c r="AA66" s="76"/>
      <c r="AB66" s="76"/>
      <c r="AC66" s="76"/>
      <c r="AD66" s="76"/>
    </row>
    <row r="67" spans="1:30" ht="17.25" x14ac:dyDescent="0.3">
      <c r="B67" s="109" t="s">
        <v>615</v>
      </c>
      <c r="C67" s="110">
        <f>SUM(C66,C64)</f>
        <v>4819257.16</v>
      </c>
      <c r="D67" s="110">
        <f>D64+D65</f>
        <v>5200000</v>
      </c>
      <c r="E67" s="110">
        <f>E64+E65</f>
        <v>2463760</v>
      </c>
      <c r="F67" s="110">
        <f>F64+F65</f>
        <v>0</v>
      </c>
      <c r="G67" s="110">
        <f>G64+G65</f>
        <v>0</v>
      </c>
      <c r="H67" s="76"/>
      <c r="I67" s="76"/>
      <c r="J67" s="76"/>
      <c r="K67" s="76"/>
      <c r="L67" s="76"/>
      <c r="M67" s="76"/>
      <c r="N67" s="76"/>
      <c r="O67" s="76"/>
      <c r="P67" s="76"/>
      <c r="Q67" s="76"/>
      <c r="R67" s="76"/>
      <c r="S67" s="76"/>
      <c r="T67" s="76"/>
      <c r="U67" s="76"/>
      <c r="V67" s="76"/>
      <c r="W67" s="76"/>
      <c r="X67" s="76"/>
      <c r="Y67" s="76"/>
      <c r="Z67" s="76"/>
      <c r="AA67" s="76"/>
      <c r="AB67" s="76"/>
      <c r="AC67" s="76"/>
      <c r="AD67" s="76"/>
    </row>
    <row r="68" spans="1:30" x14ac:dyDescent="0.3">
      <c r="B68" s="50" t="s">
        <v>1158</v>
      </c>
      <c r="C68" s="111">
        <f>SUM(C58:C60)</f>
        <v>417087.67</v>
      </c>
      <c r="D68" s="111">
        <f>D58</f>
        <v>0</v>
      </c>
      <c r="E68" s="111"/>
      <c r="F68" s="111"/>
      <c r="G68" s="111"/>
      <c r="H68" s="76"/>
      <c r="I68" s="76"/>
      <c r="J68" s="76"/>
      <c r="K68" s="76"/>
      <c r="L68" s="76"/>
      <c r="M68" s="76"/>
      <c r="N68" s="76"/>
      <c r="O68" s="76"/>
      <c r="P68" s="76"/>
      <c r="Q68" s="76"/>
      <c r="R68" s="76"/>
      <c r="S68" s="76"/>
      <c r="T68" s="76"/>
      <c r="U68" s="76"/>
      <c r="V68" s="76"/>
      <c r="W68" s="76"/>
      <c r="X68" s="76"/>
      <c r="Y68" s="76"/>
      <c r="Z68" s="76"/>
      <c r="AA68" s="76"/>
      <c r="AB68" s="76"/>
      <c r="AC68" s="76"/>
      <c r="AD68" s="76"/>
    </row>
    <row r="69" spans="1:30" x14ac:dyDescent="0.3">
      <c r="B69" s="50" t="s">
        <v>623</v>
      </c>
      <c r="C69" s="111">
        <f>(C57-C58-C59)*0.72</f>
        <v>1652786.0177760001</v>
      </c>
      <c r="D69" s="111">
        <f>(D57-D58)*0.72</f>
        <v>1962922.3023452768</v>
      </c>
      <c r="E69" s="111">
        <f>E57*0.72</f>
        <v>0</v>
      </c>
      <c r="F69" s="111">
        <f>F57*0.72</f>
        <v>0</v>
      </c>
      <c r="G69" s="111">
        <f>G57*0.72</f>
        <v>0</v>
      </c>
      <c r="H69" s="113"/>
      <c r="I69" s="113"/>
      <c r="J69" s="76"/>
      <c r="K69" s="76"/>
      <c r="L69" s="76"/>
      <c r="M69" s="76"/>
      <c r="N69" s="76"/>
      <c r="O69" s="76"/>
      <c r="P69" s="76"/>
      <c r="Q69" s="76"/>
      <c r="R69" s="76"/>
      <c r="S69" s="76"/>
      <c r="T69" s="76"/>
      <c r="U69" s="76"/>
      <c r="V69" s="76"/>
      <c r="W69" s="76"/>
      <c r="X69" s="76"/>
      <c r="Y69" s="76"/>
      <c r="Z69" s="76"/>
      <c r="AA69" s="76"/>
      <c r="AB69" s="76"/>
      <c r="AC69" s="76"/>
      <c r="AD69" s="76"/>
    </row>
    <row r="70" spans="1:30" x14ac:dyDescent="0.3">
      <c r="B70" s="50" t="s">
        <v>624</v>
      </c>
      <c r="C70" s="112"/>
      <c r="D70" s="111">
        <f>(C57-C58-C59)*0.28</f>
        <v>642750.11802400008</v>
      </c>
      <c r="E70" s="111">
        <f>(D57-D58)*0.28</f>
        <v>763358.67313427443</v>
      </c>
      <c r="F70" s="111">
        <f>E57*0.28</f>
        <v>0</v>
      </c>
      <c r="G70" s="111">
        <f>F57*0.28</f>
        <v>0</v>
      </c>
      <c r="H70" s="76"/>
      <c r="I70" s="76"/>
      <c r="J70" s="76"/>
      <c r="K70" s="76"/>
      <c r="L70" s="76"/>
      <c r="M70" s="76"/>
      <c r="N70" s="76"/>
      <c r="O70" s="76"/>
      <c r="P70" s="76"/>
      <c r="Q70" s="76"/>
      <c r="R70" s="76"/>
      <c r="S70" s="76"/>
      <c r="T70" s="76"/>
      <c r="U70" s="76"/>
      <c r="V70" s="76"/>
      <c r="W70" s="76"/>
      <c r="X70" s="76"/>
      <c r="Y70" s="76"/>
      <c r="Z70" s="76"/>
      <c r="AA70" s="76"/>
      <c r="AB70" s="76"/>
      <c r="AC70" s="76"/>
      <c r="AD70" s="76"/>
    </row>
    <row r="71" spans="1:30" x14ac:dyDescent="0.3">
      <c r="B71" s="50" t="s">
        <v>1189</v>
      </c>
      <c r="C71" s="111">
        <f>IFERROR(VLOOKUP($A$1,Data,Data!U$1,FALSE),0)</f>
        <v>675799.43</v>
      </c>
      <c r="D71" s="112"/>
      <c r="E71" s="112"/>
      <c r="F71" s="112"/>
      <c r="G71" s="112"/>
      <c r="H71" s="76"/>
      <c r="I71" s="76"/>
      <c r="J71" s="76"/>
      <c r="K71" s="76"/>
      <c r="L71" s="76"/>
      <c r="M71" s="76"/>
      <c r="N71" s="76"/>
      <c r="O71" s="76"/>
      <c r="P71" s="76"/>
      <c r="Q71" s="76"/>
      <c r="R71" s="76"/>
      <c r="S71" s="76"/>
      <c r="T71" s="76"/>
      <c r="U71" s="76"/>
      <c r="V71" s="76"/>
      <c r="W71" s="76"/>
      <c r="X71" s="76"/>
      <c r="Y71" s="76"/>
      <c r="Z71" s="76"/>
      <c r="AA71" s="76"/>
      <c r="AB71" s="76"/>
      <c r="AC71" s="76"/>
      <c r="AD71" s="76"/>
    </row>
    <row r="72" spans="1:30" ht="17.25" x14ac:dyDescent="0.3">
      <c r="B72" s="109" t="s">
        <v>1162</v>
      </c>
      <c r="C72" s="110">
        <f>SUM(C71,C69,C68)</f>
        <v>2745673.1177759999</v>
      </c>
      <c r="D72" s="110">
        <f>SUM(D70,D69,D68)</f>
        <v>2605672.4203692768</v>
      </c>
      <c r="E72" s="110">
        <f t="shared" ref="E72:G72" si="10">SUM(E70,E69,E68)</f>
        <v>763358.67313427443</v>
      </c>
      <c r="F72" s="110">
        <f t="shared" si="10"/>
        <v>0</v>
      </c>
      <c r="G72" s="110">
        <f t="shared" si="10"/>
        <v>0</v>
      </c>
      <c r="H72" s="76"/>
      <c r="I72" s="76"/>
      <c r="J72" s="76"/>
      <c r="K72" s="76"/>
      <c r="L72" s="76"/>
      <c r="M72" s="76"/>
      <c r="N72" s="76"/>
      <c r="O72" s="76"/>
      <c r="P72" s="76"/>
      <c r="Q72" s="76"/>
      <c r="R72" s="76"/>
      <c r="S72" s="76"/>
      <c r="T72" s="76"/>
      <c r="U72" s="76"/>
      <c r="V72" s="76"/>
      <c r="W72" s="76"/>
      <c r="X72" s="76"/>
      <c r="Y72" s="76"/>
      <c r="Z72" s="76"/>
      <c r="AA72" s="76"/>
      <c r="AB72" s="76"/>
      <c r="AC72" s="76"/>
      <c r="AD72" s="76"/>
    </row>
    <row r="73" spans="1:30" s="114" customFormat="1" ht="20.25" x14ac:dyDescent="0.35">
      <c r="B73" s="115" t="s">
        <v>625</v>
      </c>
      <c r="C73" s="116">
        <f>C72+C67</f>
        <v>7564930.2777760001</v>
      </c>
      <c r="D73" s="116">
        <f t="shared" ref="D73:G73" si="11">D72+D67</f>
        <v>7805672.4203692768</v>
      </c>
      <c r="E73" s="116">
        <f t="shared" si="11"/>
        <v>3227118.6731342743</v>
      </c>
      <c r="F73" s="116">
        <f t="shared" ref="F73" si="12">F72+F67</f>
        <v>0</v>
      </c>
      <c r="G73" s="116">
        <f t="shared" si="11"/>
        <v>0</v>
      </c>
      <c r="H73" s="76"/>
      <c r="I73" s="76"/>
      <c r="J73" s="117"/>
      <c r="K73" s="117"/>
      <c r="L73" s="117"/>
      <c r="M73" s="117"/>
      <c r="N73" s="117"/>
      <c r="O73" s="117"/>
      <c r="P73" s="117"/>
      <c r="Q73" s="117"/>
      <c r="R73" s="117"/>
      <c r="S73" s="117"/>
      <c r="T73" s="117"/>
      <c r="U73" s="117"/>
      <c r="V73" s="117"/>
      <c r="W73" s="117"/>
      <c r="X73" s="117"/>
      <c r="Y73" s="117"/>
      <c r="Z73" s="117"/>
      <c r="AA73" s="117"/>
      <c r="AB73" s="117"/>
      <c r="AC73" s="117"/>
      <c r="AD73" s="117"/>
    </row>
    <row r="74" spans="1:30" x14ac:dyDescent="0.3">
      <c r="H74" s="76"/>
      <c r="I74" s="76"/>
      <c r="J74" s="76"/>
      <c r="K74" s="76"/>
      <c r="L74" s="76"/>
      <c r="M74" s="76"/>
      <c r="N74" s="76"/>
      <c r="O74" s="76"/>
      <c r="P74" s="76"/>
      <c r="Q74" s="76"/>
      <c r="R74" s="76"/>
      <c r="S74" s="76"/>
      <c r="T74" s="76"/>
      <c r="U74" s="76"/>
      <c r="V74" s="76"/>
      <c r="W74" s="76"/>
      <c r="X74" s="76"/>
      <c r="Y74" s="76"/>
      <c r="Z74" s="76"/>
      <c r="AA74" s="76"/>
      <c r="AB74" s="76"/>
      <c r="AC74" s="76"/>
      <c r="AD74" s="76"/>
    </row>
    <row r="75" spans="1:30" ht="20.25" x14ac:dyDescent="0.35">
      <c r="B75" s="149" t="s">
        <v>996</v>
      </c>
      <c r="C75" s="149"/>
      <c r="D75" s="149"/>
      <c r="E75" s="149"/>
      <c r="F75" s="149"/>
      <c r="G75" s="149"/>
      <c r="H75" s="76"/>
      <c r="I75" s="76"/>
      <c r="J75" s="76"/>
      <c r="K75" s="76"/>
      <c r="L75" s="76"/>
      <c r="M75" s="76"/>
      <c r="N75" s="76"/>
      <c r="O75" s="76"/>
      <c r="P75" s="76"/>
      <c r="Q75" s="76"/>
      <c r="R75" s="76"/>
      <c r="S75" s="76"/>
      <c r="T75" s="76"/>
      <c r="U75" s="76"/>
      <c r="V75" s="76"/>
      <c r="W75" s="76"/>
      <c r="X75" s="76"/>
      <c r="Y75" s="76"/>
      <c r="Z75" s="76"/>
      <c r="AA75" s="76"/>
      <c r="AB75" s="76"/>
      <c r="AC75" s="76"/>
      <c r="AD75" s="76"/>
    </row>
    <row r="76" spans="1:30" ht="20.25" x14ac:dyDescent="0.35">
      <c r="A76" s="75" t="e">
        <f>VLOOKUP($B$76,Data!$B$4:$W$305,20,FALSE)</f>
        <v>#N/A</v>
      </c>
      <c r="B76" s="118" t="str">
        <f>IFERROR(VLOOKUP($A$1,'District AAFTE'!$A$311:$D$317,4,FALSE),"Not Applicable")</f>
        <v>Not Applicable</v>
      </c>
      <c r="C76" s="148" t="str">
        <f>IF($B$76="Not Applicable","","Tribal")</f>
        <v/>
      </c>
      <c r="D76" s="148"/>
      <c r="E76" s="148"/>
      <c r="F76" s="148"/>
      <c r="G76" s="148"/>
      <c r="H76" s="76"/>
      <c r="I76" s="76"/>
      <c r="J76" s="76"/>
      <c r="K76" s="76"/>
      <c r="L76" s="76"/>
      <c r="M76" s="76"/>
      <c r="N76" s="76"/>
      <c r="O76" s="76"/>
      <c r="P76" s="76"/>
      <c r="Q76" s="76"/>
      <c r="R76" s="76"/>
      <c r="S76" s="76"/>
      <c r="T76" s="76"/>
      <c r="U76" s="76"/>
      <c r="V76" s="76"/>
      <c r="W76" s="76"/>
      <c r="X76" s="76"/>
      <c r="Y76" s="76"/>
      <c r="Z76" s="76"/>
      <c r="AA76" s="76"/>
      <c r="AB76" s="76"/>
      <c r="AC76" s="76"/>
      <c r="AD76" s="76"/>
    </row>
    <row r="77" spans="1:30" x14ac:dyDescent="0.3">
      <c r="A77" s="50" t="s">
        <v>1153</v>
      </c>
      <c r="B77" s="50" t="str">
        <f>B31</f>
        <v>Enrollment 2021-22/ Out years includes caseload forecast</v>
      </c>
      <c r="C77" s="103">
        <f>IFERROR(VLOOKUP($A$76,enrollment,'District AAFTE'!S$1,FALSE),0)</f>
        <v>0</v>
      </c>
      <c r="D77" s="103">
        <f>IFERROR(VLOOKUP($A$76,enrollment,'District AAFTE'!T$1,FALSE),0)</f>
        <v>0</v>
      </c>
      <c r="E77" s="103">
        <f>IFERROR(VLOOKUP($A$76,enrollment,'District AAFTE'!U$1,FALSE),0)</f>
        <v>0</v>
      </c>
      <c r="F77" s="103">
        <f>IFERROR(VLOOKUP($A$76,enrollment,'District AAFTE'!V$1,FALSE),0)</f>
        <v>0</v>
      </c>
      <c r="G77" s="103">
        <f>IFERROR(VLOOKUP($A$76,enrollment,'District AAFTE'!W$1,FALSE),0)</f>
        <v>0</v>
      </c>
      <c r="H77" s="76"/>
      <c r="I77" s="76"/>
      <c r="J77" s="76"/>
      <c r="K77" s="76"/>
      <c r="L77" s="76"/>
      <c r="M77" s="76"/>
      <c r="N77" s="76"/>
      <c r="O77" s="76"/>
      <c r="P77" s="76"/>
      <c r="Q77" s="76"/>
      <c r="R77" s="76"/>
      <c r="S77" s="76"/>
      <c r="T77" s="76"/>
      <c r="U77" s="76"/>
      <c r="V77" s="76"/>
      <c r="W77" s="76"/>
      <c r="X77" s="76"/>
      <c r="Y77" s="76"/>
      <c r="Z77" s="76"/>
      <c r="AA77" s="76"/>
      <c r="AB77" s="76"/>
      <c r="AC77" s="76"/>
      <c r="AD77" s="76"/>
    </row>
    <row r="78" spans="1:30" x14ac:dyDescent="0.3">
      <c r="A78" s="50" t="s">
        <v>1154</v>
      </c>
      <c r="B78" s="50" t="s">
        <v>1004</v>
      </c>
      <c r="C78" s="107">
        <f>IFERROR(VLOOKUP($A$76,enrollment,'District AAFTE'!R$1,FALSE),0)</f>
        <v>0</v>
      </c>
      <c r="D78" s="97"/>
      <c r="E78" s="97"/>
      <c r="F78" s="97"/>
      <c r="G78" s="97"/>
      <c r="H78" s="76"/>
      <c r="I78" s="76"/>
      <c r="J78" s="76"/>
      <c r="K78" s="76"/>
      <c r="L78" s="76"/>
      <c r="M78" s="76"/>
      <c r="N78" s="76"/>
      <c r="O78" s="76"/>
      <c r="P78" s="76"/>
      <c r="Q78" s="76"/>
      <c r="R78" s="76"/>
      <c r="S78" s="76"/>
      <c r="T78" s="76"/>
      <c r="U78" s="76"/>
      <c r="V78" s="76"/>
      <c r="W78" s="76"/>
      <c r="X78" s="76"/>
      <c r="Y78" s="76"/>
      <c r="Z78" s="76"/>
      <c r="AA78" s="76"/>
      <c r="AB78" s="76"/>
      <c r="AC78" s="76"/>
      <c r="AD78" s="76"/>
    </row>
    <row r="79" spans="1:30" x14ac:dyDescent="0.3">
      <c r="B79" s="96" t="s">
        <v>607</v>
      </c>
      <c r="C79" s="104"/>
      <c r="D79" s="104"/>
      <c r="E79" s="104"/>
      <c r="F79" s="104"/>
      <c r="G79" s="104"/>
      <c r="H79" s="76"/>
      <c r="I79" s="76"/>
      <c r="J79" s="76"/>
      <c r="K79" s="76"/>
      <c r="L79" s="76"/>
      <c r="M79" s="76"/>
      <c r="N79" s="76"/>
      <c r="O79" s="76"/>
      <c r="P79" s="76"/>
      <c r="Q79" s="76"/>
      <c r="R79" s="76"/>
      <c r="S79" s="76"/>
      <c r="T79" s="76"/>
      <c r="U79" s="76"/>
      <c r="V79" s="76"/>
      <c r="W79" s="76"/>
      <c r="X79" s="76"/>
      <c r="Y79" s="76"/>
      <c r="Z79" s="76"/>
      <c r="AA79" s="76"/>
      <c r="AB79" s="76"/>
      <c r="AC79" s="76"/>
      <c r="AD79" s="76"/>
    </row>
    <row r="80" spans="1:30" ht="20.25" x14ac:dyDescent="0.35">
      <c r="B80" s="149" t="s">
        <v>609</v>
      </c>
      <c r="C80" s="149"/>
      <c r="D80" s="149"/>
      <c r="E80" s="149"/>
      <c r="F80" s="149"/>
      <c r="G80" s="149"/>
    </row>
    <row r="81" spans="1:7" x14ac:dyDescent="0.3">
      <c r="B81" s="86" t="s">
        <v>608</v>
      </c>
      <c r="C81" s="60">
        <f>C50</f>
        <v>2023</v>
      </c>
      <c r="D81" s="60">
        <f>D50</f>
        <v>2024</v>
      </c>
      <c r="E81" s="60">
        <f>E50</f>
        <v>2025</v>
      </c>
      <c r="F81" s="60">
        <f>F50</f>
        <v>2026</v>
      </c>
      <c r="G81" s="60">
        <f>G50</f>
        <v>2027</v>
      </c>
    </row>
    <row r="82" spans="1:7" x14ac:dyDescent="0.3">
      <c r="A82" s="50" t="s">
        <v>1155</v>
      </c>
      <c r="B82" s="125" t="s">
        <v>1156</v>
      </c>
      <c r="C82" s="112" t="str">
        <f>IF($B$76="Not Applicable","",MIN(C51,C23))</f>
        <v/>
      </c>
      <c r="D82" s="112" t="str">
        <f>IF($B$76="Not Applicable","",MIN(D51,D23))</f>
        <v/>
      </c>
      <c r="E82" s="112" t="str">
        <f>IF($B$76="Not Applicable","",MIN(E51,E23))</f>
        <v/>
      </c>
      <c r="F82" s="112" t="str">
        <f>IF($B$76="Not Applicable","",MIN(F51,F23))</f>
        <v/>
      </c>
      <c r="G82" s="112" t="str">
        <f>IF($B$76="Not Applicable","",MIN(G51,G23))</f>
        <v/>
      </c>
    </row>
    <row r="83" spans="1:7" x14ac:dyDescent="0.3">
      <c r="A83" s="50" t="s">
        <v>994</v>
      </c>
      <c r="B83" s="125" t="s">
        <v>1182</v>
      </c>
      <c r="C83" s="135" t="str">
        <f>IFERROR(IF(C$79&gt;0,C$82*(MAX(C78,C$79)),C$82*MAX(C78,C$77)),"")</f>
        <v/>
      </c>
      <c r="D83" s="102" t="str">
        <f>IFERROR(IF(D$79&gt;0,D$82*D$79,D$82*D$77),"")</f>
        <v/>
      </c>
      <c r="E83" s="102" t="str">
        <f>IFERROR(IF(E$79&gt;0,E$82*E$79,E$82*E$77),"")</f>
        <v/>
      </c>
      <c r="F83" s="102" t="str">
        <f>IFERROR(IF(F$79&gt;0,F$82*F$79,F$82*F$77),"")</f>
        <v/>
      </c>
      <c r="G83" s="102" t="str">
        <f>IFERROR(IF(G$79&gt;0,G$82*G$79,G$82*G$77),"")</f>
        <v/>
      </c>
    </row>
    <row r="84" spans="1:7" ht="17.25" x14ac:dyDescent="0.3">
      <c r="B84" s="109" t="s">
        <v>995</v>
      </c>
      <c r="C84" s="110" t="str">
        <f>C83</f>
        <v/>
      </c>
      <c r="D84" s="110" t="str">
        <f>D83</f>
        <v/>
      </c>
      <c r="E84" s="110" t="str">
        <f t="shared" ref="E84:G84" si="13">E83</f>
        <v/>
      </c>
      <c r="F84" s="110" t="str">
        <f t="shared" ref="F84" si="14">F83</f>
        <v/>
      </c>
      <c r="G84" s="110" t="str">
        <f t="shared" si="13"/>
        <v/>
      </c>
    </row>
  </sheetData>
  <protectedRanges>
    <protectedRange sqref="H1:L1048576" name="Free Space"/>
    <protectedRange sqref="C25:G25 D26:G26 C27:G28" name="CPI"/>
    <protectedRange sqref="C30:G30" name="Alt Voter Approved Levy"/>
    <protectedRange sqref="C33:G33 C79:G79" name="Alt Enroll"/>
    <protectedRange sqref="C36:G36" name="Alt Transf Enroll"/>
    <protectedRange sqref="C38:G38" name="Alt Assessed Val"/>
  </protectedRanges>
  <mergeCells count="14">
    <mergeCell ref="C76:G76"/>
    <mergeCell ref="B80:G80"/>
    <mergeCell ref="B62:G62"/>
    <mergeCell ref="B1:G1"/>
    <mergeCell ref="B40:G40"/>
    <mergeCell ref="B49:G49"/>
    <mergeCell ref="C3:D3"/>
    <mergeCell ref="B19:G19"/>
    <mergeCell ref="B8:G8"/>
    <mergeCell ref="B75:G75"/>
    <mergeCell ref="B6:G6"/>
    <mergeCell ref="B10:G10"/>
    <mergeCell ref="B15:G15"/>
    <mergeCell ref="B12:G12"/>
  </mergeCells>
  <dataValidations count="1">
    <dataValidation type="list" allowBlank="1" showInputMessage="1" showErrorMessage="1" sqref="D5" xr:uid="{00000000-0002-0000-0100-000000000000}">
      <formula1>$B$4:$B$311</formula1>
    </dataValidation>
  </dataValidations>
  <hyperlinks>
    <hyperlink ref="B14" r:id="rId1" xr:uid="{00000000-0004-0000-0100-000000000000}"/>
    <hyperlink ref="B9" r:id="rId2" display="ESHB 1476 School Enrighment Levies" xr:uid="{00000000-0004-0000-0100-000001000000}"/>
    <hyperlink ref="B11" r:id="rId3" xr:uid="{00000000-0004-0000-0100-000002000000}"/>
  </hyperlinks>
  <printOptions horizontalCentered="1"/>
  <pageMargins left="0.25" right="0.25" top="0.75" bottom="0.75" header="0.3" footer="0.3"/>
  <pageSetup scale="57" fitToWidth="0" fitToHeight="0" orientation="portrait" r:id="rId4"/>
  <rowBreaks count="1" manualBreakCount="1">
    <brk id="1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Data!$B$4:$B$298</xm:f>
          </x14:formula1>
          <xm:sqref>C7 C5 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D77"/>
  <sheetViews>
    <sheetView workbookViewId="0"/>
  </sheetViews>
  <sheetFormatPr defaultColWidth="9.140625" defaultRowHeight="16.5" x14ac:dyDescent="0.3"/>
  <cols>
    <col min="1" max="1" width="6.28515625" style="50" customWidth="1"/>
    <col min="2" max="2" width="61.28515625" style="50" customWidth="1"/>
    <col min="3" max="6" width="21.7109375" style="50" customWidth="1"/>
    <col min="7" max="7" width="19.85546875" style="50" customWidth="1"/>
    <col min="8" max="9" width="13.28515625" style="50" customWidth="1"/>
    <col min="10" max="16384" width="9.140625" style="50"/>
  </cols>
  <sheetData>
    <row r="1" spans="1:30" ht="20.25" x14ac:dyDescent="0.35">
      <c r="A1" s="75" t="str">
        <f>VLOOKUP($C$3,Data!$B$4:$W$305,21,FALSE)</f>
        <v>14005</v>
      </c>
      <c r="B1" s="150" t="s">
        <v>1160</v>
      </c>
      <c r="C1" s="150"/>
      <c r="D1" s="150"/>
      <c r="E1" s="150"/>
      <c r="F1" s="150"/>
      <c r="G1" s="150"/>
      <c r="H1" s="76"/>
      <c r="I1" s="76"/>
      <c r="J1" s="76"/>
      <c r="K1" s="76"/>
      <c r="L1" s="76"/>
      <c r="M1" s="76"/>
      <c r="N1" s="76"/>
      <c r="O1" s="76"/>
      <c r="P1" s="76"/>
      <c r="Q1" s="76"/>
      <c r="R1" s="76"/>
      <c r="S1" s="76"/>
      <c r="T1" s="76"/>
      <c r="U1" s="76"/>
      <c r="V1" s="76"/>
      <c r="W1" s="76"/>
      <c r="X1" s="76"/>
      <c r="Y1" s="76"/>
      <c r="Z1" s="76"/>
      <c r="AA1" s="76"/>
      <c r="AB1" s="76"/>
      <c r="AC1" s="76"/>
      <c r="AD1" s="76"/>
    </row>
    <row r="2" spans="1:30" ht="10.5" hidden="1" customHeight="1" x14ac:dyDescent="0.35">
      <c r="A2" s="77"/>
      <c r="B2" s="78"/>
      <c r="C2" s="78"/>
      <c r="D2" s="78"/>
      <c r="E2" s="78"/>
      <c r="F2" s="78"/>
      <c r="G2" s="78"/>
      <c r="H2" s="76"/>
      <c r="I2" s="76"/>
      <c r="J2" s="76"/>
      <c r="K2" s="76"/>
      <c r="L2" s="76"/>
      <c r="M2" s="76"/>
      <c r="N2" s="76"/>
      <c r="O2" s="76"/>
      <c r="P2" s="76"/>
      <c r="Q2" s="76"/>
      <c r="R2" s="76"/>
      <c r="S2" s="76"/>
      <c r="T2" s="76"/>
      <c r="U2" s="76"/>
      <c r="V2" s="76"/>
      <c r="W2" s="76"/>
      <c r="X2" s="76"/>
      <c r="Y2" s="76"/>
      <c r="Z2" s="76"/>
      <c r="AA2" s="76"/>
      <c r="AB2" s="76"/>
      <c r="AC2" s="76"/>
      <c r="AD2" s="76"/>
    </row>
    <row r="3" spans="1:30" ht="20.25" hidden="1" x14ac:dyDescent="0.35">
      <c r="B3" s="79" t="s">
        <v>597</v>
      </c>
      <c r="C3" s="151" t="str">
        <f>LevyCalc!C3</f>
        <v>ABERDEEN</v>
      </c>
      <c r="D3" s="151"/>
      <c r="E3" s="80" t="s">
        <v>640</v>
      </c>
      <c r="F3" s="80"/>
      <c r="G3" s="80"/>
      <c r="H3" s="76"/>
      <c r="I3" s="76"/>
      <c r="J3" s="76"/>
      <c r="K3" s="76"/>
      <c r="L3" s="76"/>
      <c r="M3" s="76"/>
      <c r="N3" s="76"/>
      <c r="O3" s="76"/>
      <c r="P3" s="76"/>
      <c r="Q3" s="76"/>
      <c r="R3" s="76"/>
      <c r="S3" s="76"/>
      <c r="T3" s="76"/>
      <c r="U3" s="76"/>
      <c r="V3" s="76"/>
      <c r="W3" s="76"/>
      <c r="X3" s="76"/>
      <c r="Y3" s="76"/>
      <c r="Z3" s="76"/>
      <c r="AA3" s="76"/>
      <c r="AB3" s="76"/>
      <c r="AC3" s="76"/>
      <c r="AD3" s="76"/>
    </row>
    <row r="4" spans="1:30" ht="12.6" hidden="1" customHeight="1" x14ac:dyDescent="0.35">
      <c r="A4" s="77"/>
      <c r="B4" s="78"/>
      <c r="C4" s="78"/>
      <c r="D4" s="78"/>
      <c r="E4" s="78"/>
      <c r="F4" s="78"/>
      <c r="G4" s="78"/>
      <c r="H4" s="76"/>
      <c r="I4" s="76"/>
      <c r="J4" s="76"/>
      <c r="K4" s="76"/>
      <c r="L4" s="76"/>
      <c r="M4" s="76"/>
      <c r="N4" s="76"/>
      <c r="O4" s="76"/>
      <c r="P4" s="76"/>
      <c r="Q4" s="76"/>
      <c r="R4" s="76"/>
      <c r="S4" s="76"/>
      <c r="T4" s="76"/>
      <c r="U4" s="76"/>
      <c r="V4" s="76"/>
      <c r="W4" s="76"/>
      <c r="X4" s="76"/>
      <c r="Y4" s="76"/>
      <c r="Z4" s="76"/>
      <c r="AA4" s="76"/>
      <c r="AB4" s="76"/>
      <c r="AC4" s="76"/>
      <c r="AD4" s="76"/>
    </row>
    <row r="5" spans="1:30" ht="15" hidden="1" customHeight="1" x14ac:dyDescent="0.35">
      <c r="B5" s="81" t="s">
        <v>639</v>
      </c>
      <c r="C5" s="82"/>
      <c r="D5" s="82"/>
      <c r="H5" s="76"/>
      <c r="I5" s="76"/>
      <c r="J5" s="76"/>
      <c r="K5" s="76"/>
      <c r="L5" s="76"/>
      <c r="M5" s="76"/>
      <c r="N5" s="76"/>
      <c r="O5" s="76"/>
      <c r="P5" s="76"/>
      <c r="Q5" s="76"/>
      <c r="R5" s="76"/>
      <c r="S5" s="76"/>
      <c r="T5" s="76"/>
      <c r="U5" s="76"/>
      <c r="V5" s="76"/>
      <c r="W5" s="76"/>
      <c r="X5" s="76"/>
      <c r="Y5" s="76"/>
      <c r="Z5" s="76"/>
      <c r="AA5" s="76"/>
      <c r="AB5" s="76"/>
      <c r="AC5" s="76"/>
      <c r="AD5" s="76"/>
    </row>
    <row r="6" spans="1:30" hidden="1" x14ac:dyDescent="0.3">
      <c r="B6" s="153" t="s">
        <v>1157</v>
      </c>
      <c r="C6" s="153"/>
      <c r="D6" s="153"/>
      <c r="E6" s="153"/>
      <c r="F6" s="153"/>
      <c r="G6" s="153"/>
      <c r="H6" s="76"/>
      <c r="I6" s="76"/>
      <c r="J6" s="76"/>
      <c r="K6" s="76"/>
      <c r="L6" s="76"/>
      <c r="M6" s="76"/>
      <c r="N6" s="76"/>
      <c r="O6" s="76"/>
      <c r="P6" s="76"/>
      <c r="Q6" s="76"/>
      <c r="R6" s="76"/>
      <c r="S6" s="76"/>
      <c r="T6" s="76"/>
      <c r="U6" s="76"/>
      <c r="V6" s="76"/>
      <c r="W6" s="76"/>
      <c r="X6" s="76"/>
      <c r="Y6" s="76"/>
      <c r="Z6" s="76"/>
      <c r="AA6" s="76"/>
      <c r="AB6" s="76"/>
      <c r="AC6" s="76"/>
      <c r="AD6" s="76"/>
    </row>
    <row r="7" spans="1:30" ht="17.45" hidden="1" customHeight="1" x14ac:dyDescent="0.35">
      <c r="B7" s="83" t="s">
        <v>638</v>
      </c>
      <c r="C7" s="82"/>
      <c r="D7" s="82"/>
      <c r="H7" s="76"/>
      <c r="I7" s="76"/>
      <c r="J7" s="76"/>
      <c r="K7" s="76"/>
      <c r="L7" s="76"/>
      <c r="M7" s="76"/>
      <c r="N7" s="76"/>
      <c r="O7" s="76"/>
      <c r="P7" s="76"/>
      <c r="Q7" s="76"/>
      <c r="R7" s="76"/>
      <c r="S7" s="76"/>
      <c r="T7" s="76"/>
      <c r="U7" s="76"/>
      <c r="V7" s="76"/>
      <c r="W7" s="76"/>
      <c r="X7" s="76"/>
      <c r="Y7" s="76"/>
      <c r="Z7" s="76"/>
      <c r="AA7" s="76"/>
      <c r="AB7" s="76"/>
      <c r="AC7" s="76"/>
      <c r="AD7" s="76"/>
    </row>
    <row r="8" spans="1:30" ht="32.25" hidden="1" customHeight="1" x14ac:dyDescent="0.3">
      <c r="B8" s="152" t="s">
        <v>1152</v>
      </c>
      <c r="C8" s="152"/>
      <c r="D8" s="152"/>
      <c r="E8" s="152"/>
      <c r="F8" s="152"/>
      <c r="G8" s="152"/>
      <c r="H8" s="76"/>
      <c r="I8" s="76"/>
      <c r="J8" s="76"/>
      <c r="K8" s="76"/>
      <c r="L8" s="76"/>
      <c r="M8" s="76"/>
      <c r="N8" s="76"/>
      <c r="O8" s="76"/>
      <c r="P8" s="76"/>
      <c r="Q8" s="76"/>
      <c r="R8" s="76"/>
      <c r="S8" s="76"/>
      <c r="T8" s="76"/>
      <c r="U8" s="76"/>
      <c r="V8" s="76"/>
      <c r="W8" s="76"/>
      <c r="X8" s="76"/>
      <c r="Y8" s="76"/>
      <c r="Z8" s="76"/>
      <c r="AA8" s="76"/>
      <c r="AB8" s="76"/>
      <c r="AC8" s="76"/>
      <c r="AD8" s="76"/>
    </row>
    <row r="9" spans="1:30" hidden="1" x14ac:dyDescent="0.3">
      <c r="B9" s="134" t="s">
        <v>1149</v>
      </c>
      <c r="D9" s="85"/>
      <c r="E9" s="85"/>
      <c r="F9" s="85"/>
      <c r="G9" s="85"/>
      <c r="H9" s="76"/>
      <c r="I9" s="76"/>
      <c r="J9" s="76"/>
      <c r="K9" s="76"/>
      <c r="L9" s="76"/>
      <c r="M9" s="76"/>
      <c r="N9" s="76"/>
      <c r="O9" s="76"/>
      <c r="P9" s="76"/>
      <c r="Q9" s="76"/>
      <c r="R9" s="76"/>
      <c r="S9" s="76"/>
      <c r="T9" s="76"/>
      <c r="U9" s="76"/>
      <c r="V9" s="76"/>
      <c r="W9" s="76"/>
      <c r="X9" s="76"/>
      <c r="Y9" s="76"/>
      <c r="Z9" s="76"/>
      <c r="AA9" s="76"/>
      <c r="AB9" s="76"/>
      <c r="AC9" s="76"/>
      <c r="AD9" s="76"/>
    </row>
    <row r="10" spans="1:30" ht="48" hidden="1" customHeight="1" x14ac:dyDescent="0.3">
      <c r="B10" s="152" t="s">
        <v>1144</v>
      </c>
      <c r="C10" s="152"/>
      <c r="D10" s="152"/>
      <c r="E10" s="152"/>
      <c r="F10" s="152"/>
      <c r="G10" s="152"/>
      <c r="H10" s="76"/>
      <c r="I10" s="76"/>
      <c r="J10" s="76"/>
      <c r="K10" s="76"/>
      <c r="L10" s="76"/>
      <c r="M10" s="76"/>
      <c r="N10" s="76"/>
      <c r="O10" s="76"/>
      <c r="P10" s="76"/>
      <c r="Q10" s="76"/>
      <c r="R10" s="76"/>
      <c r="S10" s="76"/>
      <c r="T10" s="76"/>
      <c r="U10" s="76"/>
      <c r="V10" s="76"/>
      <c r="W10" s="76"/>
      <c r="X10" s="76"/>
      <c r="Y10" s="76"/>
      <c r="Z10" s="76"/>
      <c r="AA10" s="76"/>
      <c r="AB10" s="76"/>
      <c r="AC10" s="76"/>
      <c r="AD10" s="76"/>
    </row>
    <row r="11" spans="1:30" hidden="1" x14ac:dyDescent="0.3">
      <c r="B11" s="134" t="s">
        <v>1148</v>
      </c>
      <c r="D11" s="85"/>
      <c r="E11" s="85"/>
      <c r="F11" s="85"/>
      <c r="G11" s="85"/>
      <c r="H11" s="76"/>
      <c r="I11" s="76"/>
      <c r="J11" s="76"/>
      <c r="K11" s="76"/>
      <c r="L11" s="76"/>
      <c r="M11" s="76"/>
      <c r="N11" s="76"/>
      <c r="O11" s="76"/>
      <c r="P11" s="76"/>
      <c r="Q11" s="76"/>
      <c r="R11" s="76"/>
      <c r="S11" s="76"/>
      <c r="T11" s="76"/>
      <c r="U11" s="76"/>
      <c r="V11" s="76"/>
      <c r="W11" s="76"/>
      <c r="X11" s="76"/>
      <c r="Y11" s="76"/>
      <c r="Z11" s="76"/>
      <c r="AA11" s="76"/>
      <c r="AB11" s="76"/>
      <c r="AC11" s="76"/>
      <c r="AD11" s="76"/>
    </row>
    <row r="12" spans="1:30" ht="48" hidden="1" customHeight="1" x14ac:dyDescent="0.3">
      <c r="B12" s="152" t="s">
        <v>1150</v>
      </c>
      <c r="C12" s="152"/>
      <c r="D12" s="152"/>
      <c r="E12" s="152"/>
      <c r="F12" s="152"/>
      <c r="G12" s="152"/>
      <c r="H12" s="76"/>
      <c r="I12" s="76"/>
      <c r="J12" s="76"/>
      <c r="K12" s="76"/>
      <c r="L12" s="76"/>
      <c r="M12" s="76"/>
      <c r="N12" s="76"/>
      <c r="O12" s="76"/>
      <c r="P12" s="76"/>
      <c r="Q12" s="76"/>
      <c r="R12" s="76"/>
      <c r="S12" s="76"/>
      <c r="T12" s="76"/>
      <c r="U12" s="76"/>
      <c r="V12" s="76"/>
      <c r="W12" s="76"/>
      <c r="X12" s="76"/>
      <c r="Y12" s="76"/>
      <c r="Z12" s="76"/>
      <c r="AA12" s="76"/>
      <c r="AB12" s="76"/>
      <c r="AC12" s="76"/>
      <c r="AD12" s="76"/>
    </row>
    <row r="13" spans="1:30" hidden="1" x14ac:dyDescent="0.3">
      <c r="B13" s="83" t="s">
        <v>1151</v>
      </c>
      <c r="H13" s="76"/>
      <c r="I13" s="76"/>
      <c r="J13" s="76"/>
      <c r="K13" s="76"/>
      <c r="L13" s="76"/>
      <c r="M13" s="76"/>
      <c r="N13" s="76"/>
      <c r="O13" s="76"/>
      <c r="P13" s="76"/>
      <c r="Q13" s="76"/>
      <c r="R13" s="76"/>
      <c r="S13" s="76"/>
      <c r="T13" s="76"/>
      <c r="U13" s="76"/>
      <c r="V13" s="76"/>
      <c r="W13" s="76"/>
      <c r="X13" s="76"/>
      <c r="Y13" s="76"/>
      <c r="Z13" s="76"/>
      <c r="AA13" s="76"/>
      <c r="AB13" s="76"/>
      <c r="AC13" s="76"/>
      <c r="AD13" s="76"/>
    </row>
    <row r="14" spans="1:30" hidden="1" x14ac:dyDescent="0.3">
      <c r="B14" s="84" t="s">
        <v>1009</v>
      </c>
      <c r="H14" s="76"/>
      <c r="I14" s="76"/>
      <c r="J14" s="76"/>
      <c r="K14" s="76"/>
      <c r="L14" s="76"/>
      <c r="M14" s="76"/>
      <c r="N14" s="76"/>
      <c r="O14" s="76"/>
      <c r="P14" s="76"/>
      <c r="Q14" s="76"/>
      <c r="R14" s="76"/>
      <c r="S14" s="76"/>
      <c r="T14" s="76"/>
      <c r="U14" s="76"/>
      <c r="V14" s="76"/>
      <c r="W14" s="76"/>
      <c r="X14" s="76"/>
      <c r="Y14" s="76"/>
      <c r="Z14" s="76"/>
      <c r="AA14" s="76"/>
      <c r="AB14" s="76"/>
      <c r="AC14" s="76"/>
      <c r="AD14" s="76"/>
    </row>
    <row r="15" spans="1:30" ht="48" hidden="1" customHeight="1" x14ac:dyDescent="0.3">
      <c r="B15" s="154" t="s">
        <v>1010</v>
      </c>
      <c r="C15" s="154"/>
      <c r="D15" s="154"/>
      <c r="E15" s="154"/>
      <c r="F15" s="154"/>
      <c r="G15" s="154"/>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idden="1" x14ac:dyDescent="0.3">
      <c r="B16" s="83" t="s">
        <v>1003</v>
      </c>
      <c r="H16" s="76"/>
      <c r="I16" s="76"/>
      <c r="J16" s="76"/>
      <c r="K16" s="76"/>
      <c r="L16" s="76"/>
      <c r="M16" s="76"/>
      <c r="N16" s="76"/>
      <c r="O16" s="76"/>
      <c r="P16" s="76"/>
      <c r="Q16" s="76"/>
      <c r="R16" s="76"/>
      <c r="S16" s="76"/>
      <c r="T16" s="76"/>
      <c r="U16" s="76"/>
      <c r="V16" s="76"/>
      <c r="W16" s="76"/>
      <c r="X16" s="76"/>
      <c r="Y16" s="76"/>
      <c r="Z16" s="76"/>
      <c r="AA16" s="76"/>
      <c r="AB16" s="76"/>
      <c r="AC16" s="76"/>
      <c r="AD16" s="76"/>
    </row>
    <row r="17" spans="1:30" hidden="1" x14ac:dyDescent="0.3">
      <c r="B17" s="83" t="s">
        <v>974</v>
      </c>
      <c r="H17" s="76"/>
      <c r="I17" s="76"/>
      <c r="J17" s="76"/>
      <c r="K17" s="76"/>
      <c r="L17" s="76"/>
      <c r="M17" s="76"/>
      <c r="N17" s="76"/>
      <c r="O17" s="76"/>
      <c r="P17" s="76"/>
      <c r="Q17" s="76"/>
      <c r="R17" s="76"/>
      <c r="S17" s="76"/>
      <c r="T17" s="76"/>
      <c r="U17" s="76"/>
      <c r="V17" s="76"/>
      <c r="W17" s="76"/>
      <c r="X17" s="76"/>
      <c r="Y17" s="76"/>
      <c r="Z17" s="76"/>
      <c r="AA17" s="76"/>
      <c r="AB17" s="76"/>
      <c r="AC17" s="76"/>
      <c r="AD17" s="76"/>
    </row>
    <row r="18" spans="1:30" ht="10.5" customHeight="1" x14ac:dyDescent="0.35">
      <c r="A18" s="77"/>
      <c r="B18" s="78"/>
      <c r="C18" s="78"/>
      <c r="D18" s="78"/>
      <c r="E18" s="78"/>
      <c r="F18" s="78"/>
      <c r="G18" s="78"/>
      <c r="H18" s="76"/>
      <c r="I18" s="76"/>
      <c r="J18" s="76"/>
      <c r="K18" s="76"/>
      <c r="L18" s="76"/>
      <c r="M18" s="76"/>
      <c r="N18" s="76"/>
      <c r="O18" s="76"/>
      <c r="P18" s="76"/>
      <c r="Q18" s="76"/>
      <c r="R18" s="76"/>
      <c r="S18" s="76"/>
      <c r="T18" s="76"/>
      <c r="U18" s="76"/>
      <c r="V18" s="76"/>
      <c r="W18" s="76"/>
      <c r="X18" s="76"/>
      <c r="Y18" s="76"/>
      <c r="Z18" s="76"/>
      <c r="AA18" s="76"/>
      <c r="AB18" s="76"/>
      <c r="AC18" s="76"/>
      <c r="AD18" s="76"/>
    </row>
    <row r="19" spans="1:30" ht="20.25" x14ac:dyDescent="0.35">
      <c r="B19" s="149" t="s">
        <v>591</v>
      </c>
      <c r="C19" s="149"/>
      <c r="D19" s="149"/>
      <c r="E19" s="149"/>
      <c r="F19" s="149"/>
      <c r="G19" s="149"/>
      <c r="H19" s="76"/>
      <c r="I19" s="76"/>
      <c r="J19" s="76"/>
      <c r="K19" s="76"/>
      <c r="L19" s="76"/>
      <c r="M19" s="76"/>
      <c r="N19" s="76"/>
      <c r="O19" s="76"/>
      <c r="P19" s="76"/>
      <c r="Q19" s="76"/>
      <c r="R19" s="76"/>
      <c r="S19" s="76"/>
      <c r="T19" s="76"/>
      <c r="U19" s="76"/>
      <c r="V19" s="76"/>
      <c r="W19" s="76"/>
      <c r="X19" s="76"/>
      <c r="Y19" s="76"/>
      <c r="Z19" s="76"/>
      <c r="AA19" s="76"/>
      <c r="AB19" s="76"/>
      <c r="AC19" s="76"/>
      <c r="AD19" s="76"/>
    </row>
    <row r="20" spans="1:30" x14ac:dyDescent="0.3">
      <c r="B20" s="86" t="s">
        <v>608</v>
      </c>
      <c r="C20" s="60">
        <f>LevyCalc!C20</f>
        <v>2023</v>
      </c>
      <c r="D20" s="60">
        <f>C20+1</f>
        <v>2024</v>
      </c>
      <c r="E20" s="60">
        <f>D20+1</f>
        <v>2025</v>
      </c>
      <c r="F20" s="60">
        <f>E20+1</f>
        <v>2026</v>
      </c>
      <c r="G20" s="60">
        <f>F20+1</f>
        <v>2027</v>
      </c>
      <c r="H20" s="87"/>
      <c r="I20" s="87"/>
      <c r="J20" s="76"/>
      <c r="K20" s="76"/>
      <c r="L20" s="76"/>
      <c r="M20" s="76"/>
      <c r="N20" s="76"/>
      <c r="O20" s="76"/>
      <c r="P20" s="76"/>
      <c r="Q20" s="76"/>
      <c r="R20" s="76"/>
      <c r="S20" s="76"/>
      <c r="T20" s="76"/>
      <c r="U20" s="76"/>
      <c r="V20" s="76"/>
      <c r="W20" s="76"/>
      <c r="X20" s="76"/>
      <c r="Y20" s="76"/>
      <c r="Z20" s="76"/>
      <c r="AA20" s="76"/>
      <c r="AB20" s="76"/>
      <c r="AC20" s="76"/>
      <c r="AD20" s="76"/>
    </row>
    <row r="21" spans="1:30" x14ac:dyDescent="0.3">
      <c r="A21" s="50" t="str">
        <f>LevyCalc!A21</f>
        <v>A.</v>
      </c>
      <c r="B21" s="50" t="str">
        <f>LevyCalc!B21</f>
        <v>Max Per Pupil</v>
      </c>
      <c r="C21" s="88">
        <f>LevyCalc!C21</f>
        <v>2988.32</v>
      </c>
      <c r="D21" s="88">
        <f>LevyCalc!D21</f>
        <v>3143.71</v>
      </c>
      <c r="E21" s="88">
        <f>LevyCalc!E21</f>
        <v>3222.3</v>
      </c>
      <c r="F21" s="88">
        <f>LevyCalc!F21</f>
        <v>3283.52</v>
      </c>
      <c r="G21" s="88">
        <f>LevyCalc!G21</f>
        <v>3349.19</v>
      </c>
      <c r="H21" s="90"/>
      <c r="I21" s="90"/>
      <c r="J21" s="76"/>
      <c r="K21" s="76"/>
      <c r="L21" s="76"/>
      <c r="M21" s="76"/>
      <c r="N21" s="76"/>
      <c r="O21" s="76"/>
      <c r="P21" s="76"/>
      <c r="Q21" s="76"/>
      <c r="R21" s="76"/>
      <c r="S21" s="76"/>
      <c r="T21" s="76"/>
      <c r="U21" s="76"/>
      <c r="V21" s="76"/>
      <c r="W21" s="76"/>
      <c r="X21" s="76"/>
      <c r="Y21" s="76"/>
      <c r="Z21" s="76"/>
      <c r="AA21" s="76"/>
      <c r="AB21" s="76"/>
      <c r="AC21" s="76"/>
      <c r="AD21" s="76"/>
    </row>
    <row r="22" spans="1:30" x14ac:dyDescent="0.3">
      <c r="A22" s="50" t="str">
        <f>LevyCalc!A22</f>
        <v>B.</v>
      </c>
      <c r="B22" s="50" t="str">
        <f>LevyCalc!B22</f>
        <v>Max Tax Rate</v>
      </c>
      <c r="C22" s="88">
        <f>LevyCalc!C22</f>
        <v>2.5</v>
      </c>
      <c r="D22" s="88">
        <f>LevyCalc!D22</f>
        <v>2.5</v>
      </c>
      <c r="E22" s="88">
        <f>LevyCalc!E22</f>
        <v>2.5</v>
      </c>
      <c r="F22" s="88">
        <f>LevyCalc!F22</f>
        <v>2.5</v>
      </c>
      <c r="G22" s="88">
        <f>LevyCalc!G22</f>
        <v>2.5</v>
      </c>
      <c r="H22" s="91"/>
      <c r="I22" s="91"/>
      <c r="J22" s="76"/>
      <c r="K22" s="76"/>
      <c r="L22" s="76"/>
      <c r="M22" s="76"/>
      <c r="N22" s="76"/>
      <c r="O22" s="76"/>
      <c r="P22" s="76"/>
      <c r="Q22" s="76"/>
      <c r="R22" s="76"/>
      <c r="S22" s="76"/>
      <c r="T22" s="76"/>
      <c r="U22" s="76"/>
      <c r="V22" s="76"/>
      <c r="W22" s="76"/>
      <c r="X22" s="76"/>
      <c r="Y22" s="76"/>
      <c r="Z22" s="76"/>
      <c r="AA22" s="76"/>
      <c r="AB22" s="76"/>
      <c r="AC22" s="76"/>
      <c r="AD22" s="76"/>
    </row>
    <row r="23" spans="1:30" x14ac:dyDescent="0.3">
      <c r="A23" s="50" t="str">
        <f>LevyCalc!A23</f>
        <v>C.</v>
      </c>
      <c r="B23" s="50" t="str">
        <f>LevyCalc!B23</f>
        <v>LEA Max Per Pupil</v>
      </c>
      <c r="C23" s="89">
        <f>LevyCalc!C23</f>
        <v>1842.26</v>
      </c>
      <c r="D23" s="89">
        <f>LevyCalc!D23</f>
        <v>1938.06</v>
      </c>
      <c r="E23" s="89">
        <f>LevyCalc!E23</f>
        <v>1986.51</v>
      </c>
      <c r="F23" s="89">
        <f>LevyCalc!F23</f>
        <v>2024.25</v>
      </c>
      <c r="G23" s="89">
        <f>LevyCalc!G23</f>
        <v>2064.7399999999998</v>
      </c>
      <c r="H23" s="90"/>
      <c r="I23" s="90"/>
      <c r="J23" s="76"/>
      <c r="K23" s="76"/>
      <c r="L23" s="76"/>
      <c r="M23" s="76"/>
      <c r="N23" s="76"/>
      <c r="O23" s="76"/>
      <c r="P23" s="76"/>
      <c r="Q23" s="76"/>
      <c r="R23" s="76"/>
      <c r="S23" s="76"/>
      <c r="T23" s="76"/>
      <c r="U23" s="76"/>
      <c r="V23" s="76"/>
      <c r="W23" s="76"/>
      <c r="X23" s="76"/>
      <c r="Y23" s="76"/>
      <c r="Z23" s="76"/>
      <c r="AA23" s="76"/>
      <c r="AB23" s="76"/>
      <c r="AC23" s="76"/>
      <c r="AD23" s="76"/>
    </row>
    <row r="24" spans="1:30" x14ac:dyDescent="0.3">
      <c r="A24" s="50" t="str">
        <f>LevyCalc!A24</f>
        <v>D.</v>
      </c>
      <c r="B24" s="50" t="str">
        <f>LevyCalc!B24</f>
        <v>LEA Max Tax Rate</v>
      </c>
      <c r="C24" s="88">
        <f>LevyCalc!C24</f>
        <v>1.5</v>
      </c>
      <c r="D24" s="88">
        <f>LevyCalc!D24</f>
        <v>1.5</v>
      </c>
      <c r="E24" s="88">
        <f>LevyCalc!E24</f>
        <v>1.5</v>
      </c>
      <c r="F24" s="88">
        <f>LevyCalc!F24</f>
        <v>1.5</v>
      </c>
      <c r="G24" s="88">
        <f>LevyCalc!G24</f>
        <v>1.5</v>
      </c>
      <c r="H24" s="92"/>
      <c r="I24" s="92"/>
      <c r="J24" s="76"/>
      <c r="K24" s="76"/>
      <c r="L24" s="76"/>
      <c r="M24" s="76"/>
      <c r="N24" s="76"/>
      <c r="O24" s="76"/>
      <c r="P24" s="76"/>
      <c r="Q24" s="76"/>
      <c r="R24" s="76"/>
      <c r="S24" s="76"/>
      <c r="T24" s="76"/>
      <c r="U24" s="76"/>
      <c r="V24" s="76"/>
      <c r="W24" s="76"/>
      <c r="X24" s="76"/>
      <c r="Y24" s="76"/>
      <c r="Z24" s="76"/>
      <c r="AA24" s="76"/>
      <c r="AB24" s="76"/>
      <c r="AC24" s="76"/>
      <c r="AD24" s="76"/>
    </row>
    <row r="25" spans="1:30" x14ac:dyDescent="0.3">
      <c r="A25" s="50" t="str">
        <f>LevyCalc!A25</f>
        <v>E.1.</v>
      </c>
      <c r="B25" s="50" t="str">
        <f>LevyCalc!B25</f>
        <v>CPI for Levy as of September 2022</v>
      </c>
      <c r="C25" s="93">
        <f>LevyCalc!C25</f>
        <v>0.09</v>
      </c>
      <c r="D25" s="93">
        <f>LevyCalc!D25</f>
        <v>5.1999999999999998E-2</v>
      </c>
      <c r="E25" s="93">
        <f>LevyCalc!E25</f>
        <v>2.5000000000000001E-2</v>
      </c>
      <c r="F25" s="93">
        <f>LevyCalc!F25</f>
        <v>1.9E-2</v>
      </c>
      <c r="G25" s="93">
        <f>LevyCalc!G25</f>
        <v>0.02</v>
      </c>
      <c r="H25" s="94"/>
      <c r="I25" s="94"/>
      <c r="J25" s="76"/>
      <c r="K25" s="76"/>
      <c r="L25" s="76"/>
      <c r="M25" s="76"/>
      <c r="N25" s="76"/>
      <c r="O25" s="76"/>
      <c r="P25" s="76"/>
      <c r="Q25" s="76"/>
      <c r="R25" s="76"/>
      <c r="S25" s="76"/>
      <c r="T25" s="76"/>
      <c r="U25" s="76"/>
      <c r="V25" s="76"/>
      <c r="W25" s="76"/>
      <c r="X25" s="76"/>
      <c r="Y25" s="76"/>
      <c r="Z25" s="76"/>
      <c r="AA25" s="76"/>
      <c r="AB25" s="76"/>
      <c r="AC25" s="76"/>
      <c r="AD25" s="76"/>
    </row>
    <row r="26" spans="1:30" s="95" customFormat="1" x14ac:dyDescent="0.3">
      <c r="B26" s="96" t="str">
        <f>LevyCalc!B26</f>
        <v>Input Alternate CPI for Levy:</v>
      </c>
      <c r="C26" s="97"/>
      <c r="D26" s="98">
        <f>LevyCalc!D26</f>
        <v>0</v>
      </c>
      <c r="E26" s="98">
        <f>LevyCalc!E26</f>
        <v>0</v>
      </c>
      <c r="F26" s="98">
        <f>LevyCalc!F26</f>
        <v>0</v>
      </c>
      <c r="G26" s="98">
        <f>LevyCalc!G26</f>
        <v>0</v>
      </c>
      <c r="H26" s="99"/>
      <c r="I26" s="99"/>
      <c r="J26" s="100"/>
      <c r="K26" s="100"/>
      <c r="L26" s="100"/>
      <c r="M26" s="100"/>
      <c r="N26" s="100"/>
      <c r="O26" s="100"/>
      <c r="P26" s="100"/>
      <c r="Q26" s="100"/>
      <c r="R26" s="100"/>
      <c r="S26" s="100"/>
      <c r="T26" s="100"/>
      <c r="U26" s="100"/>
      <c r="V26" s="100"/>
      <c r="W26" s="100"/>
      <c r="X26" s="100"/>
      <c r="Y26" s="100"/>
      <c r="Z26" s="100"/>
      <c r="AA26" s="100"/>
      <c r="AB26" s="100"/>
      <c r="AC26" s="100"/>
      <c r="AD26" s="100"/>
    </row>
    <row r="27" spans="1:30" x14ac:dyDescent="0.3">
      <c r="A27" s="50" t="str">
        <f>LevyCalc!A27</f>
        <v>E.2.</v>
      </c>
      <c r="B27" s="50" t="str">
        <f>LevyCalc!B27</f>
        <v>CPI for LEA as of March 2023</v>
      </c>
      <c r="C27" s="93">
        <f>LevyCalc!C27</f>
        <v>8.8999999999999996E-2</v>
      </c>
      <c r="D27" s="93">
        <f>LevyCalc!D27</f>
        <v>5.1999999999999998E-2</v>
      </c>
      <c r="E27" s="93">
        <f>LevyCalc!E27</f>
        <v>2.5000000000000001E-2</v>
      </c>
      <c r="F27" s="93">
        <f>LevyCalc!F27</f>
        <v>1.9E-2</v>
      </c>
      <c r="G27" s="93">
        <f>LevyCalc!G27</f>
        <v>0.02</v>
      </c>
      <c r="H27" s="94"/>
      <c r="I27" s="94"/>
      <c r="J27" s="76"/>
      <c r="K27" s="76"/>
      <c r="L27" s="76"/>
      <c r="M27" s="76"/>
      <c r="N27" s="76"/>
      <c r="O27" s="76"/>
      <c r="P27" s="76"/>
      <c r="Q27" s="76"/>
      <c r="R27" s="76"/>
      <c r="S27" s="76"/>
      <c r="T27" s="76"/>
      <c r="U27" s="76"/>
      <c r="V27" s="76"/>
      <c r="W27" s="76"/>
      <c r="X27" s="76"/>
      <c r="Y27" s="76"/>
      <c r="Z27" s="76"/>
      <c r="AA27" s="76"/>
      <c r="AB27" s="76"/>
      <c r="AC27" s="76"/>
      <c r="AD27" s="76"/>
    </row>
    <row r="28" spans="1:30" s="95" customFormat="1" x14ac:dyDescent="0.3">
      <c r="B28" s="96" t="str">
        <f>LevyCalc!B28</f>
        <v>Input Alternate CPI for LEA:</v>
      </c>
      <c r="C28" s="98">
        <f>LevyCalc!C28</f>
        <v>0</v>
      </c>
      <c r="D28" s="98">
        <f>LevyCalc!D28</f>
        <v>0</v>
      </c>
      <c r="E28" s="98">
        <f>LevyCalc!E28</f>
        <v>0</v>
      </c>
      <c r="F28" s="98">
        <f>LevyCalc!F28</f>
        <v>0</v>
      </c>
      <c r="G28" s="98">
        <f>LevyCalc!G28</f>
        <v>0</v>
      </c>
      <c r="H28" s="99"/>
      <c r="I28" s="99"/>
      <c r="J28" s="100"/>
      <c r="K28" s="100"/>
      <c r="L28" s="100"/>
      <c r="M28" s="100"/>
      <c r="N28" s="100"/>
      <c r="O28" s="100"/>
      <c r="P28" s="100"/>
      <c r="Q28" s="100"/>
      <c r="R28" s="100"/>
      <c r="S28" s="100"/>
      <c r="T28" s="100"/>
      <c r="U28" s="100"/>
      <c r="V28" s="100"/>
      <c r="W28" s="100"/>
      <c r="X28" s="100"/>
      <c r="Y28" s="100"/>
      <c r="Z28" s="100"/>
      <c r="AA28" s="100"/>
      <c r="AB28" s="100"/>
      <c r="AC28" s="100"/>
      <c r="AD28" s="100"/>
    </row>
    <row r="29" spans="1:30" x14ac:dyDescent="0.3">
      <c r="A29" s="50" t="str">
        <f>LevyCalc!A29</f>
        <v>F.</v>
      </c>
      <c r="B29" s="50" t="str">
        <f>LevyCalc!B29</f>
        <v>Aberdeen Voter Approved Levy</v>
      </c>
      <c r="C29" s="102">
        <f>LevyCalc!C29</f>
        <v>5200000</v>
      </c>
      <c r="D29" s="102">
        <f>LevyCalc!D29</f>
        <v>5200000</v>
      </c>
      <c r="E29" s="102">
        <f>LevyCalc!E29</f>
        <v>0</v>
      </c>
      <c r="F29" s="102">
        <f>LevyCalc!F29</f>
        <v>0</v>
      </c>
      <c r="G29" s="102">
        <f>LevyCalc!G29</f>
        <v>0</v>
      </c>
      <c r="H29" s="94"/>
      <c r="I29" s="94"/>
      <c r="J29" s="76"/>
      <c r="K29" s="76"/>
      <c r="L29" s="76"/>
      <c r="M29" s="76"/>
      <c r="N29" s="76"/>
      <c r="O29" s="76"/>
      <c r="P29" s="76"/>
      <c r="Q29" s="76"/>
      <c r="R29" s="76"/>
      <c r="S29" s="76"/>
      <c r="T29" s="76"/>
      <c r="U29" s="76"/>
      <c r="V29" s="76"/>
      <c r="W29" s="76"/>
      <c r="X29" s="76"/>
      <c r="Y29" s="76"/>
      <c r="Z29" s="76"/>
      <c r="AA29" s="76"/>
      <c r="AB29" s="76"/>
      <c r="AC29" s="76"/>
      <c r="AD29" s="76"/>
    </row>
    <row r="30" spans="1:30" s="95" customFormat="1" x14ac:dyDescent="0.3">
      <c r="B30" s="96" t="str">
        <f>LevyCalc!B30</f>
        <v>Input Alternate Voter Approved Levy:</v>
      </c>
      <c r="C30" s="98">
        <f>LevyCalc!C30</f>
        <v>0</v>
      </c>
      <c r="D30" s="98">
        <f>LevyCalc!D30</f>
        <v>0</v>
      </c>
      <c r="E30" s="98">
        <f>LevyCalc!E30</f>
        <v>0</v>
      </c>
      <c r="F30" s="98">
        <f>LevyCalc!F30</f>
        <v>0</v>
      </c>
      <c r="G30" s="98">
        <f>LevyCalc!G30</f>
        <v>0</v>
      </c>
      <c r="H30" s="99"/>
      <c r="I30" s="99"/>
      <c r="J30" s="100"/>
      <c r="K30" s="100"/>
      <c r="L30" s="100"/>
      <c r="M30" s="100"/>
      <c r="N30" s="100"/>
      <c r="O30" s="100"/>
      <c r="P30" s="100"/>
      <c r="Q30" s="100"/>
      <c r="R30" s="100"/>
      <c r="S30" s="100"/>
      <c r="T30" s="100"/>
      <c r="U30" s="100"/>
      <c r="V30" s="100"/>
      <c r="W30" s="100"/>
      <c r="X30" s="100"/>
      <c r="Y30" s="100"/>
      <c r="Z30" s="100"/>
      <c r="AA30" s="100"/>
      <c r="AB30" s="100"/>
      <c r="AC30" s="100"/>
      <c r="AD30" s="100"/>
    </row>
    <row r="31" spans="1:30" x14ac:dyDescent="0.3">
      <c r="A31" s="50" t="str">
        <f>LevyCalc!A31</f>
        <v>G.1.a</v>
      </c>
      <c r="B31" s="50" t="str">
        <f>LevyCalc!B31</f>
        <v>Enrollment 2021-22/ Out years includes caseload forecast</v>
      </c>
      <c r="C31" s="103">
        <f>LevyCalc!C31</f>
        <v>3113.84</v>
      </c>
      <c r="D31" s="103">
        <f>LevyCalc!D31</f>
        <v>3155.4914404505284</v>
      </c>
      <c r="E31" s="103">
        <f>LevyCalc!E31</f>
        <v>3209.8852490496383</v>
      </c>
      <c r="F31" s="103">
        <f>LevyCalc!F31</f>
        <v>3265.2166885914244</v>
      </c>
      <c r="G31" s="103">
        <f>LevyCalc!G31</f>
        <v>3321.5019217938011</v>
      </c>
      <c r="H31" s="76"/>
      <c r="I31" s="76"/>
      <c r="J31" s="76"/>
      <c r="K31" s="76"/>
      <c r="L31" s="76"/>
      <c r="M31" s="76"/>
      <c r="N31" s="76"/>
      <c r="O31" s="76"/>
      <c r="P31" s="76"/>
      <c r="Q31" s="76"/>
      <c r="R31" s="76"/>
      <c r="S31" s="76"/>
      <c r="T31" s="76"/>
      <c r="U31" s="76"/>
      <c r="V31" s="76"/>
      <c r="W31" s="76"/>
      <c r="X31" s="76"/>
      <c r="Y31" s="76"/>
      <c r="Z31" s="76"/>
      <c r="AA31" s="76"/>
      <c r="AB31" s="76"/>
      <c r="AC31" s="76"/>
      <c r="AD31" s="76"/>
    </row>
    <row r="32" spans="1:30" x14ac:dyDescent="0.3">
      <c r="A32" s="50" t="str">
        <f>LevyCalc!A32</f>
        <v>G.1.b</v>
      </c>
      <c r="B32" s="50" t="str">
        <f>LevyCalc!B32</f>
        <v>Enrollment 2019-20</v>
      </c>
      <c r="C32" s="107">
        <f>LevyCalc!C32</f>
        <v>3334.33</v>
      </c>
      <c r="D32" s="97"/>
      <c r="E32" s="97"/>
      <c r="F32" s="97"/>
      <c r="G32" s="97"/>
      <c r="H32" s="76"/>
      <c r="I32" s="76"/>
      <c r="J32" s="76"/>
      <c r="K32" s="76"/>
      <c r="L32" s="76"/>
      <c r="M32" s="76"/>
      <c r="N32" s="76"/>
      <c r="O32" s="76"/>
      <c r="P32" s="76"/>
      <c r="Q32" s="76"/>
      <c r="R32" s="76"/>
      <c r="S32" s="76"/>
      <c r="T32" s="76"/>
      <c r="U32" s="76"/>
      <c r="V32" s="76"/>
      <c r="W32" s="76"/>
      <c r="X32" s="76"/>
      <c r="Y32" s="76"/>
      <c r="Z32" s="76"/>
      <c r="AA32" s="76"/>
      <c r="AB32" s="76"/>
      <c r="AC32" s="76"/>
      <c r="AD32" s="76"/>
    </row>
    <row r="33" spans="1:30" s="95" customFormat="1" x14ac:dyDescent="0.3">
      <c r="B33" s="96" t="str">
        <f>LevyCalc!B33</f>
        <v>Input alternate enrollment estimate:</v>
      </c>
      <c r="C33" s="104">
        <f>LevyCalc!C33</f>
        <v>0</v>
      </c>
      <c r="D33" s="104">
        <f>LevyCalc!D33</f>
        <v>0</v>
      </c>
      <c r="E33" s="104">
        <f>LevyCalc!E33</f>
        <v>0</v>
      </c>
      <c r="F33" s="104">
        <f>LevyCalc!F33</f>
        <v>0</v>
      </c>
      <c r="G33" s="104">
        <f>LevyCalc!G33</f>
        <v>0</v>
      </c>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s="95" customFormat="1" x14ac:dyDescent="0.3">
      <c r="A34" s="50" t="str">
        <f>LevyCalc!A34</f>
        <v>H.1.</v>
      </c>
      <c r="B34" s="50" t="str">
        <f>LevyCalc!B34</f>
        <v>High / Non-high enrollment Transfer &amp; Innovative Academy</v>
      </c>
      <c r="C34" s="105">
        <f>LevyCalc!C34</f>
        <v>-116.31</v>
      </c>
      <c r="D34" s="105">
        <f>LevyCalc!D34</f>
        <v>-116.31</v>
      </c>
      <c r="E34" s="105">
        <f>LevyCalc!E34</f>
        <v>-116.31</v>
      </c>
      <c r="F34" s="105">
        <f>LevyCalc!F34</f>
        <v>-116.31</v>
      </c>
      <c r="G34" s="105">
        <f>LevyCalc!G34</f>
        <v>-116.31</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s="95" customFormat="1" x14ac:dyDescent="0.3">
      <c r="A35" s="50" t="str">
        <f>LevyCalc!A35</f>
        <v>H.2.</v>
      </c>
      <c r="B35" s="50" t="str">
        <f>LevyCalc!B35</f>
        <v>Transfers for 2019-20</v>
      </c>
      <c r="C35" s="105">
        <f>LevyCalc!C35</f>
        <v>-110.4</v>
      </c>
      <c r="D35" s="97"/>
      <c r="E35" s="97"/>
      <c r="F35" s="97"/>
      <c r="G35" s="97"/>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0" s="95" customFormat="1" x14ac:dyDescent="0.3">
      <c r="B36" s="96" t="str">
        <f>LevyCalc!B36</f>
        <v>Input alternate enrollment transfer:</v>
      </c>
      <c r="C36" s="104">
        <f>LevyCalc!C36</f>
        <v>0</v>
      </c>
      <c r="D36" s="104">
        <f>LevyCalc!D36</f>
        <v>0</v>
      </c>
      <c r="E36" s="104">
        <f>LevyCalc!E36</f>
        <v>0</v>
      </c>
      <c r="F36" s="104">
        <f>LevyCalc!F36</f>
        <v>0</v>
      </c>
      <c r="G36" s="104">
        <f>LevyCalc!G36</f>
        <v>0</v>
      </c>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0" x14ac:dyDescent="0.3">
      <c r="A37" s="50" t="str">
        <f>LevyCalc!A37</f>
        <v>I.</v>
      </c>
      <c r="B37" s="50" t="str">
        <f>LevyCalc!B37</f>
        <v>Assessed Value w/Timber</v>
      </c>
      <c r="C37" s="102">
        <f>LevyCalc!C37</f>
        <v>2151128984</v>
      </c>
      <c r="D37" s="102">
        <f>LevyCalc!D37</f>
        <v>2109223338</v>
      </c>
      <c r="E37" s="102">
        <f>LevyCalc!E37</f>
        <v>2352935632</v>
      </c>
      <c r="F37" s="102">
        <f>LevyCalc!F37</f>
        <v>2565720814</v>
      </c>
      <c r="G37" s="102">
        <f>LevyCalc!G37</f>
        <v>2809070975</v>
      </c>
      <c r="H37" s="76"/>
      <c r="I37" s="76"/>
      <c r="J37" s="76"/>
      <c r="K37" s="76"/>
      <c r="L37" s="76"/>
      <c r="M37" s="76"/>
      <c r="N37" s="76"/>
      <c r="O37" s="76"/>
      <c r="P37" s="76"/>
      <c r="Q37" s="76"/>
      <c r="R37" s="76"/>
      <c r="S37" s="76"/>
      <c r="T37" s="76"/>
      <c r="U37" s="76"/>
      <c r="V37" s="76"/>
      <c r="W37" s="76"/>
      <c r="X37" s="76"/>
      <c r="Y37" s="76"/>
      <c r="Z37" s="76"/>
      <c r="AA37" s="76"/>
      <c r="AB37" s="76"/>
      <c r="AC37" s="76"/>
      <c r="AD37" s="76"/>
    </row>
    <row r="38" spans="1:30" s="95" customFormat="1" x14ac:dyDescent="0.3">
      <c r="B38" s="96" t="str">
        <f>LevyCalc!B38</f>
        <v>Input alternate Assessed Value:</v>
      </c>
      <c r="C38" s="106">
        <f>LevyCalc!C38</f>
        <v>0</v>
      </c>
      <c r="D38" s="106">
        <f>LevyCalc!D38</f>
        <v>0</v>
      </c>
      <c r="E38" s="106">
        <f>LevyCalc!E38</f>
        <v>0</v>
      </c>
      <c r="F38" s="106">
        <f>LevyCalc!F38</f>
        <v>0</v>
      </c>
      <c r="G38" s="106">
        <f>LevyCalc!G38</f>
        <v>0</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row>
    <row r="39" spans="1:30" ht="10.5" customHeight="1" x14ac:dyDescent="0.35">
      <c r="A39" s="77"/>
      <c r="B39" s="78"/>
      <c r="C39" s="78"/>
      <c r="D39" s="78"/>
      <c r="E39" s="78"/>
      <c r="F39" s="78"/>
      <c r="G39" s="78"/>
      <c r="H39" s="76"/>
      <c r="I39" s="76"/>
      <c r="J39" s="76"/>
      <c r="K39" s="76"/>
      <c r="L39" s="76"/>
      <c r="M39" s="76"/>
      <c r="N39" s="76"/>
      <c r="O39" s="76"/>
      <c r="P39" s="76"/>
      <c r="Q39" s="76"/>
      <c r="R39" s="76"/>
      <c r="S39" s="76"/>
      <c r="T39" s="76"/>
      <c r="U39" s="76"/>
      <c r="V39" s="76"/>
      <c r="W39" s="76"/>
      <c r="X39" s="76"/>
      <c r="Y39" s="76"/>
      <c r="Z39" s="76"/>
      <c r="AA39" s="76"/>
      <c r="AB39" s="76"/>
      <c r="AC39" s="76"/>
      <c r="AD39" s="76"/>
    </row>
    <row r="40" spans="1:30" ht="20.25" x14ac:dyDescent="0.35">
      <c r="B40" s="149" t="s">
        <v>600</v>
      </c>
      <c r="C40" s="149"/>
      <c r="D40" s="149"/>
      <c r="E40" s="149"/>
      <c r="F40" s="149"/>
      <c r="G40" s="149"/>
      <c r="H40" s="76"/>
      <c r="I40" s="76"/>
      <c r="J40" s="76"/>
      <c r="K40" s="76"/>
      <c r="L40" s="76"/>
      <c r="M40" s="76"/>
      <c r="N40" s="76"/>
      <c r="O40" s="76"/>
      <c r="P40" s="76"/>
      <c r="Q40" s="76"/>
      <c r="R40" s="76"/>
      <c r="S40" s="76"/>
      <c r="T40" s="76"/>
      <c r="U40" s="76"/>
      <c r="V40" s="76"/>
      <c r="W40" s="76"/>
      <c r="X40" s="76"/>
      <c r="Y40" s="76"/>
      <c r="Z40" s="76"/>
      <c r="AA40" s="76"/>
      <c r="AB40" s="76"/>
      <c r="AC40" s="76"/>
      <c r="AD40" s="76"/>
    </row>
    <row r="41" spans="1:30" x14ac:dyDescent="0.3">
      <c r="B41" s="86" t="s">
        <v>608</v>
      </c>
      <c r="C41" s="60">
        <f>C20</f>
        <v>2023</v>
      </c>
      <c r="D41" s="60">
        <f>D20</f>
        <v>2024</v>
      </c>
      <c r="E41" s="60">
        <f>E20</f>
        <v>2025</v>
      </c>
      <c r="F41" s="60">
        <f>F20</f>
        <v>2026</v>
      </c>
      <c r="G41" s="60">
        <f>G20</f>
        <v>2027</v>
      </c>
      <c r="H41" s="103"/>
      <c r="I41" s="76"/>
      <c r="J41" s="76"/>
      <c r="K41" s="76"/>
      <c r="L41" s="76"/>
      <c r="M41" s="76"/>
      <c r="N41" s="76"/>
      <c r="O41" s="76"/>
      <c r="P41" s="76"/>
      <c r="Q41" s="76"/>
      <c r="R41" s="76"/>
      <c r="S41" s="76"/>
      <c r="T41" s="76"/>
      <c r="U41" s="76"/>
      <c r="V41" s="76"/>
      <c r="W41" s="76"/>
      <c r="X41" s="76"/>
      <c r="Y41" s="76"/>
      <c r="Z41" s="76"/>
      <c r="AA41" s="76"/>
      <c r="AB41" s="76"/>
      <c r="AC41" s="76"/>
      <c r="AD41" s="76"/>
    </row>
    <row r="42" spans="1:30" ht="33" x14ac:dyDescent="0.3">
      <c r="A42" s="50" t="str">
        <f>LevyCalc!A42</f>
        <v>J.</v>
      </c>
      <c r="B42" s="125" t="str">
        <f>LevyCalc!B42</f>
        <v>Total Enrollment From Above (G.1 + H) (Max of G.1's 2023 only)</v>
      </c>
      <c r="C42" s="107">
        <f>LevyCalc!C42</f>
        <v>3223.93</v>
      </c>
      <c r="D42" s="103">
        <f>LevyCalc!D42</f>
        <v>3039.1814404505285</v>
      </c>
      <c r="E42" s="103">
        <f>LevyCalc!E42</f>
        <v>3093.5752490496384</v>
      </c>
      <c r="F42" s="103">
        <f>LevyCalc!F42</f>
        <v>3148.9066885914244</v>
      </c>
      <c r="G42" s="103">
        <f>LevyCalc!G42</f>
        <v>3205.1919217938012</v>
      </c>
      <c r="H42" s="76"/>
      <c r="I42" s="76"/>
      <c r="J42" s="108"/>
      <c r="K42" s="76"/>
      <c r="L42" s="76"/>
      <c r="M42" s="76"/>
      <c r="N42" s="76"/>
      <c r="O42" s="76"/>
      <c r="P42" s="76"/>
      <c r="Q42" s="76"/>
      <c r="R42" s="76"/>
      <c r="S42" s="76"/>
      <c r="T42" s="76"/>
      <c r="U42" s="76"/>
      <c r="V42" s="76"/>
      <c r="W42" s="76"/>
      <c r="X42" s="76"/>
      <c r="Y42" s="76"/>
      <c r="Z42" s="76"/>
      <c r="AA42" s="76"/>
      <c r="AB42" s="76"/>
      <c r="AC42" s="76"/>
      <c r="AD42" s="76"/>
    </row>
    <row r="43" spans="1:30" x14ac:dyDescent="0.3">
      <c r="A43" s="50" t="str">
        <f>LevyCalc!A43</f>
        <v>K.</v>
      </c>
      <c r="B43" s="50" t="str">
        <f>LevyCalc!B43</f>
        <v>Max Levy Per Tax Rate (B * I / $1,000)</v>
      </c>
      <c r="C43" s="102">
        <f>LevyCalc!C43</f>
        <v>5377822.46</v>
      </c>
      <c r="D43" s="102">
        <f>LevyCalc!D43</f>
        <v>5273058.3449999997</v>
      </c>
      <c r="E43" s="102">
        <f>LevyCalc!E43</f>
        <v>5882339.0800000001</v>
      </c>
      <c r="F43" s="102">
        <f>LevyCalc!F43</f>
        <v>6414302.0350000001</v>
      </c>
      <c r="G43" s="102">
        <f>LevyCalc!G43</f>
        <v>7022677.4375</v>
      </c>
      <c r="H43" s="76"/>
      <c r="I43" s="76"/>
      <c r="J43" s="76"/>
      <c r="K43" s="76"/>
      <c r="L43" s="76"/>
      <c r="M43" s="76"/>
      <c r="N43" s="76"/>
      <c r="O43" s="76"/>
      <c r="P43" s="76"/>
      <c r="Q43" s="76"/>
      <c r="R43" s="76"/>
      <c r="S43" s="76"/>
      <c r="T43" s="76"/>
      <c r="U43" s="76"/>
      <c r="V43" s="76"/>
      <c r="W43" s="76"/>
      <c r="X43" s="76"/>
      <c r="Y43" s="76"/>
      <c r="Z43" s="76"/>
      <c r="AA43" s="76"/>
      <c r="AB43" s="76"/>
      <c r="AC43" s="76"/>
      <c r="AD43" s="76"/>
    </row>
    <row r="44" spans="1:30" x14ac:dyDescent="0.3">
      <c r="A44" s="50" t="str">
        <f>LevyCalc!A44</f>
        <v>L.</v>
      </c>
      <c r="B44" s="50" t="str">
        <f>LevyCalc!B44</f>
        <v>Max Levy Per Pupil (J * A)</v>
      </c>
      <c r="C44" s="102">
        <f>LevyCalc!C44</f>
        <v>9634134.4976000004</v>
      </c>
      <c r="D44" s="102">
        <f>LevyCalc!D44</f>
        <v>9554305.086158732</v>
      </c>
      <c r="E44" s="102">
        <f>LevyCalc!E44</f>
        <v>9968427.5250126496</v>
      </c>
      <c r="F44" s="102">
        <f>LevyCalc!F44</f>
        <v>10339498.090123713</v>
      </c>
      <c r="G44" s="102">
        <f>LevyCalc!G44</f>
        <v>10734796.732552581</v>
      </c>
      <c r="H44" s="76"/>
      <c r="I44" s="76"/>
      <c r="J44" s="76"/>
      <c r="K44" s="76"/>
      <c r="L44" s="76"/>
      <c r="M44" s="76"/>
      <c r="N44" s="76"/>
      <c r="O44" s="76"/>
      <c r="P44" s="76"/>
      <c r="Q44" s="76"/>
      <c r="R44" s="76"/>
      <c r="S44" s="76"/>
      <c r="T44" s="76"/>
      <c r="U44" s="76"/>
      <c r="V44" s="76"/>
      <c r="W44" s="76"/>
      <c r="X44" s="76"/>
      <c r="Y44" s="76"/>
      <c r="Z44" s="76"/>
      <c r="AA44" s="76"/>
      <c r="AB44" s="76"/>
      <c r="AC44" s="76"/>
      <c r="AD44" s="76"/>
    </row>
    <row r="45" spans="1:30" x14ac:dyDescent="0.3">
      <c r="A45" s="50" t="str">
        <f>LevyCalc!A45</f>
        <v>M.</v>
      </c>
      <c r="B45" s="50" t="str">
        <f>LevyCalc!B45</f>
        <v>Maximum Levy: Lesser of Pupil (L) or Tax Rate (K)</v>
      </c>
      <c r="C45" s="102">
        <f>LevyCalc!C45</f>
        <v>5377822.46</v>
      </c>
      <c r="D45" s="102">
        <f>LevyCalc!D45</f>
        <v>5273058.3449999997</v>
      </c>
      <c r="E45" s="102">
        <f>LevyCalc!E45</f>
        <v>5882339.0800000001</v>
      </c>
      <c r="F45" s="102">
        <f>LevyCalc!F45</f>
        <v>6414302.0350000001</v>
      </c>
      <c r="G45" s="102">
        <f>LevyCalc!G45</f>
        <v>7022677.4375</v>
      </c>
      <c r="H45" s="76"/>
      <c r="I45" s="76"/>
      <c r="J45" s="76"/>
      <c r="K45" s="76"/>
      <c r="L45" s="76"/>
      <c r="M45" s="76"/>
      <c r="N45" s="76"/>
      <c r="O45" s="76"/>
      <c r="P45" s="76"/>
      <c r="Q45" s="76"/>
      <c r="R45" s="76"/>
      <c r="S45" s="76"/>
      <c r="T45" s="76"/>
      <c r="U45" s="76"/>
      <c r="V45" s="76"/>
      <c r="W45" s="76"/>
      <c r="X45" s="76"/>
      <c r="Y45" s="76"/>
      <c r="Z45" s="76"/>
      <c r="AA45" s="76"/>
      <c r="AB45" s="76"/>
      <c r="AC45" s="76"/>
      <c r="AD45" s="76"/>
    </row>
    <row r="46" spans="1:30" x14ac:dyDescent="0.3">
      <c r="A46" s="50" t="str">
        <f>LevyCalc!A46</f>
        <v>N.</v>
      </c>
      <c r="B46" s="50" t="str">
        <f>LevyCalc!B46</f>
        <v>Rollback If (R &gt; M, R - M)</v>
      </c>
      <c r="C46" s="102">
        <f>LevyCalc!C46</f>
        <v>0</v>
      </c>
      <c r="D46" s="102">
        <f>LevyCalc!D46</f>
        <v>0</v>
      </c>
      <c r="E46" s="102">
        <f>LevyCalc!E46</f>
        <v>0</v>
      </c>
      <c r="F46" s="102">
        <f>LevyCalc!F46</f>
        <v>0</v>
      </c>
      <c r="G46" s="102">
        <f>LevyCalc!G46</f>
        <v>0</v>
      </c>
      <c r="H46" s="76"/>
      <c r="I46" s="76"/>
      <c r="J46" s="76"/>
      <c r="K46" s="76"/>
      <c r="L46" s="76"/>
      <c r="M46" s="76"/>
      <c r="N46" s="76"/>
      <c r="O46" s="76"/>
      <c r="P46" s="76"/>
      <c r="Q46" s="76"/>
      <c r="R46" s="76"/>
      <c r="S46" s="76"/>
      <c r="T46" s="76"/>
      <c r="U46" s="76"/>
      <c r="V46" s="76"/>
      <c r="W46" s="76"/>
      <c r="X46" s="76"/>
      <c r="Y46" s="76"/>
      <c r="Z46" s="76"/>
      <c r="AA46" s="76"/>
      <c r="AB46" s="76"/>
      <c r="AC46" s="76"/>
      <c r="AD46" s="76"/>
    </row>
    <row r="47" spans="1:30" ht="17.25" x14ac:dyDescent="0.3">
      <c r="A47" s="50" t="str">
        <f>LevyCalc!A47</f>
        <v>O.</v>
      </c>
      <c r="B47" s="109" t="str">
        <f>LevyCalc!B47</f>
        <v>Estimated Payable Levy Revenue Calendar Year</v>
      </c>
      <c r="C47" s="110">
        <f>LevyCalc!C47</f>
        <v>5200000</v>
      </c>
      <c r="D47" s="110">
        <f>LevyCalc!D47</f>
        <v>5200000</v>
      </c>
      <c r="E47" s="110">
        <f>LevyCalc!E47</f>
        <v>0</v>
      </c>
      <c r="F47" s="110">
        <f>LevyCalc!F47</f>
        <v>0</v>
      </c>
      <c r="G47" s="110">
        <f>LevyCalc!G47</f>
        <v>0</v>
      </c>
      <c r="H47" s="76"/>
      <c r="I47" s="76"/>
      <c r="J47" s="76"/>
      <c r="K47" s="76"/>
      <c r="L47" s="76"/>
      <c r="M47" s="76"/>
      <c r="N47" s="76"/>
      <c r="O47" s="76"/>
      <c r="P47" s="76"/>
      <c r="Q47" s="76"/>
      <c r="R47" s="76"/>
      <c r="S47" s="76"/>
      <c r="T47" s="76"/>
      <c r="U47" s="76"/>
      <c r="V47" s="76"/>
      <c r="W47" s="76"/>
      <c r="X47" s="76"/>
      <c r="Y47" s="76"/>
      <c r="Z47" s="76"/>
      <c r="AA47" s="76"/>
      <c r="AB47" s="76"/>
      <c r="AC47" s="76"/>
      <c r="AD47" s="76"/>
    </row>
    <row r="48" spans="1:30" ht="10.5" customHeight="1" x14ac:dyDescent="0.35">
      <c r="B48" s="78"/>
      <c r="C48" s="78"/>
      <c r="D48" s="78"/>
      <c r="E48" s="78"/>
      <c r="F48" s="78"/>
      <c r="G48" s="78"/>
      <c r="H48" s="76"/>
      <c r="I48" s="76"/>
      <c r="J48" s="76"/>
      <c r="K48" s="76"/>
      <c r="L48" s="76"/>
      <c r="M48" s="76"/>
      <c r="N48" s="76"/>
      <c r="O48" s="76"/>
      <c r="P48" s="76"/>
      <c r="Q48" s="76"/>
      <c r="R48" s="76"/>
      <c r="S48" s="76"/>
      <c r="T48" s="76"/>
      <c r="U48" s="76"/>
      <c r="V48" s="76"/>
      <c r="W48" s="76"/>
      <c r="X48" s="76"/>
      <c r="Y48" s="76"/>
      <c r="Z48" s="76"/>
      <c r="AA48" s="76"/>
      <c r="AB48" s="76"/>
      <c r="AC48" s="76"/>
      <c r="AD48" s="76"/>
    </row>
    <row r="49" spans="1:30" ht="20.25" x14ac:dyDescent="0.35">
      <c r="A49" s="77"/>
      <c r="B49" s="149" t="s">
        <v>609</v>
      </c>
      <c r="C49" s="149"/>
      <c r="D49" s="149"/>
      <c r="E49" s="149"/>
      <c r="F49" s="149"/>
      <c r="G49" s="149"/>
      <c r="H49" s="76"/>
      <c r="I49" s="76"/>
      <c r="J49" s="76"/>
      <c r="K49" s="76"/>
      <c r="L49" s="76"/>
      <c r="M49" s="76"/>
      <c r="N49" s="76"/>
      <c r="O49" s="76"/>
      <c r="P49" s="76"/>
      <c r="Q49" s="76"/>
      <c r="R49" s="76"/>
      <c r="S49" s="76"/>
      <c r="T49" s="76"/>
      <c r="U49" s="76"/>
      <c r="V49" s="76"/>
      <c r="W49" s="76"/>
      <c r="X49" s="76"/>
      <c r="Y49" s="76"/>
      <c r="Z49" s="76"/>
      <c r="AA49" s="76"/>
      <c r="AB49" s="76"/>
      <c r="AC49" s="76"/>
      <c r="AD49" s="76"/>
    </row>
    <row r="50" spans="1:30" x14ac:dyDescent="0.3">
      <c r="B50" s="86" t="s">
        <v>608</v>
      </c>
      <c r="C50" s="60">
        <f>C41</f>
        <v>2023</v>
      </c>
      <c r="D50" s="60">
        <f>D41</f>
        <v>2024</v>
      </c>
      <c r="E50" s="60">
        <f>E41</f>
        <v>2025</v>
      </c>
      <c r="F50" s="60">
        <f>F41</f>
        <v>2026</v>
      </c>
      <c r="G50" s="60">
        <f>G41</f>
        <v>2027</v>
      </c>
      <c r="H50" s="76"/>
      <c r="I50" s="76"/>
      <c r="J50" s="76"/>
      <c r="K50" s="76"/>
      <c r="L50" s="76"/>
      <c r="M50" s="76"/>
      <c r="N50" s="76"/>
      <c r="O50" s="76"/>
      <c r="P50" s="76"/>
      <c r="Q50" s="76"/>
      <c r="R50" s="76"/>
      <c r="S50" s="76"/>
      <c r="T50" s="76"/>
      <c r="U50" s="76"/>
      <c r="V50" s="76"/>
      <c r="W50" s="76"/>
      <c r="X50" s="76"/>
      <c r="Y50" s="76"/>
      <c r="Z50" s="76"/>
      <c r="AA50" s="76"/>
      <c r="AB50" s="76"/>
      <c r="AC50" s="76"/>
      <c r="AD50" s="76"/>
    </row>
    <row r="51" spans="1:30" x14ac:dyDescent="0.3">
      <c r="B51" s="125" t="s">
        <v>1181</v>
      </c>
      <c r="C51" s="107">
        <f>IF(C33=0,C31,C33)+IF(C36=0,C34,C36)</f>
        <v>2997.53</v>
      </c>
      <c r="D51" s="107"/>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row>
    <row r="52" spans="1:30" x14ac:dyDescent="0.3">
      <c r="A52" s="50" t="s">
        <v>629</v>
      </c>
      <c r="B52" s="125" t="s">
        <v>1159</v>
      </c>
      <c r="C52" s="102">
        <f>IF(C38=0,((C37*C24/1000)/C51),((C38*C24/1000)/C42))</f>
        <v>1076.4507698004688</v>
      </c>
      <c r="D52" s="102">
        <f>IF(D38=0,((D37*D24/1000)/D42),((D38*D24/1000)/D42))</f>
        <v>1041.0155066395091</v>
      </c>
      <c r="E52" s="102">
        <f>IF(E38=0,((E37*E24/1000)/E42),((E38*E24/1000)/E42))</f>
        <v>1140.8817190027137</v>
      </c>
      <c r="F52" s="102">
        <f t="shared" ref="F52:G52" si="0">IF(F38=0,((F37*F24/1000)/F42),((F38*F24/1000)/F42))</f>
        <v>1222.1960196354867</v>
      </c>
      <c r="G52" s="102">
        <f t="shared" si="0"/>
        <v>1314.6190821989328</v>
      </c>
      <c r="H52" s="76"/>
      <c r="I52" s="76"/>
      <c r="J52" s="76"/>
      <c r="K52" s="76"/>
      <c r="L52" s="76"/>
      <c r="M52" s="76"/>
      <c r="N52" s="76"/>
      <c r="O52" s="76"/>
      <c r="P52" s="76"/>
      <c r="Q52" s="76"/>
      <c r="R52" s="76"/>
      <c r="S52" s="76"/>
      <c r="T52" s="76"/>
      <c r="U52" s="76"/>
      <c r="V52" s="76"/>
      <c r="W52" s="76"/>
      <c r="X52" s="76"/>
      <c r="Y52" s="76"/>
      <c r="Z52" s="76"/>
      <c r="AA52" s="76"/>
      <c r="AB52" s="76"/>
      <c r="AC52" s="76"/>
      <c r="AD52" s="76"/>
    </row>
    <row r="53" spans="1:30" x14ac:dyDescent="0.3">
      <c r="A53" s="50" t="s">
        <v>630</v>
      </c>
      <c r="B53" s="50" t="s">
        <v>1095</v>
      </c>
      <c r="C53" s="102">
        <f>IF(C52&lt;C$23,C$23-C52,0)</f>
        <v>765.80923019953116</v>
      </c>
      <c r="D53" s="102">
        <f t="shared" ref="D53" si="1">IF(D52&lt;D$23,D$23-D52,0)</f>
        <v>897.04449336049083</v>
      </c>
      <c r="E53" s="102">
        <f t="shared" ref="E53:G53" si="2">IF(E52&lt;E$23,E$23-E52,0)</f>
        <v>845.62828099728631</v>
      </c>
      <c r="F53" s="102">
        <f t="shared" si="2"/>
        <v>802.05398036451334</v>
      </c>
      <c r="G53" s="102">
        <f t="shared" si="2"/>
        <v>750.12091780106698</v>
      </c>
      <c r="H53" s="76"/>
      <c r="I53" s="76"/>
      <c r="J53" s="76"/>
      <c r="K53" s="76"/>
      <c r="L53" s="76"/>
      <c r="M53" s="76"/>
      <c r="N53" s="76"/>
      <c r="O53" s="76"/>
      <c r="P53" s="76"/>
      <c r="Q53" s="76"/>
      <c r="R53" s="76"/>
      <c r="S53" s="76"/>
      <c r="T53" s="76"/>
      <c r="U53" s="76"/>
      <c r="V53" s="76"/>
      <c r="W53" s="76"/>
      <c r="X53" s="76"/>
      <c r="Y53" s="76"/>
      <c r="Z53" s="76"/>
      <c r="AA53" s="76"/>
      <c r="AB53" s="76"/>
      <c r="AC53" s="76"/>
      <c r="AD53" s="76"/>
    </row>
    <row r="54" spans="1:30" x14ac:dyDescent="0.3">
      <c r="A54" s="50" t="s">
        <v>631</v>
      </c>
      <c r="B54" s="50" t="s">
        <v>1096</v>
      </c>
      <c r="C54" s="102">
        <f>IF(C30=0,C29,C30)</f>
        <v>5200000</v>
      </c>
      <c r="D54" s="111">
        <f>IF(D30=0,D29,D30)</f>
        <v>5200000</v>
      </c>
      <c r="E54" s="111">
        <f>IF(E30=0,E29,E30)</f>
        <v>0</v>
      </c>
      <c r="F54" s="111">
        <f>IF(F30=0,F29,F30)</f>
        <v>0</v>
      </c>
      <c r="G54" s="111">
        <f>IF(G30=0,G29,G30)</f>
        <v>0</v>
      </c>
      <c r="H54" s="76"/>
      <c r="I54" s="76"/>
      <c r="J54" s="76"/>
      <c r="K54" s="76"/>
      <c r="L54" s="76"/>
      <c r="M54" s="76"/>
      <c r="N54" s="76"/>
      <c r="O54" s="76"/>
      <c r="P54" s="76"/>
      <c r="Q54" s="76"/>
      <c r="R54" s="76"/>
      <c r="S54" s="76"/>
      <c r="T54" s="76"/>
      <c r="U54" s="76"/>
      <c r="V54" s="76"/>
      <c r="W54" s="76"/>
      <c r="X54" s="76"/>
      <c r="Y54" s="76"/>
      <c r="Z54" s="76"/>
      <c r="AA54" s="76"/>
      <c r="AB54" s="76"/>
      <c r="AC54" s="76"/>
      <c r="AD54" s="76"/>
    </row>
    <row r="55" spans="1:30" x14ac:dyDescent="0.3">
      <c r="A55" s="50" t="s">
        <v>626</v>
      </c>
      <c r="B55" s="50" t="s">
        <v>1097</v>
      </c>
      <c r="C55" s="88">
        <f>IFERROR(IF(C38=0,ROUND(C54/C37*1000,2),ROUND(C54/C38*1000,2)),0)</f>
        <v>2.42</v>
      </c>
      <c r="D55" s="88">
        <f>IFERROR(IF(D38=0,ROUND(D54/D37*1000,2),ROUND(D54/D38*1000,2)),0)</f>
        <v>2.4700000000000002</v>
      </c>
      <c r="E55" s="88">
        <f>IFERROR(IF(E38=0,ROUND(E54/E37*1000,2),ROUND(E54/E38*1000,2)),0)</f>
        <v>0</v>
      </c>
      <c r="F55" s="88">
        <f>IFERROR(IF(F38=0,ROUND(F54/F37*1000,2),ROUND(F54/F38*1000,2)),0)</f>
        <v>0</v>
      </c>
      <c r="G55" s="88">
        <f>IFERROR(IF(G38=0,ROUND(G54/G37*1000,2),ROUND(G54/G38*1000,2)),0)</f>
        <v>0</v>
      </c>
      <c r="H55" s="76"/>
      <c r="I55" s="76"/>
      <c r="J55" s="76"/>
      <c r="K55" s="76"/>
      <c r="L55" s="76"/>
      <c r="M55" s="76"/>
      <c r="N55" s="76"/>
      <c r="O55" s="76"/>
      <c r="P55" s="76"/>
      <c r="Q55" s="76"/>
      <c r="R55" s="76"/>
      <c r="S55" s="76"/>
      <c r="T55" s="76"/>
      <c r="U55" s="76"/>
      <c r="V55" s="76"/>
      <c r="W55" s="76"/>
      <c r="X55" s="76"/>
      <c r="Y55" s="76"/>
      <c r="Z55" s="76"/>
      <c r="AA55" s="76"/>
      <c r="AB55" s="76"/>
      <c r="AC55" s="76"/>
      <c r="AD55" s="76"/>
    </row>
    <row r="56" spans="1:30" x14ac:dyDescent="0.3">
      <c r="A56" s="50" t="s">
        <v>632</v>
      </c>
      <c r="B56" s="50" t="s">
        <v>1098</v>
      </c>
      <c r="C56" s="102">
        <f>C53*(IF(C33=0,C31,C33)+IF(C36=0,C34,C36))</f>
        <v>2295536.1418000008</v>
      </c>
      <c r="D56" s="102">
        <f>D53*(IF(D33=0,D31,D33)+IF(D36=0,D34,D36))</f>
        <v>2726280.9754795511</v>
      </c>
      <c r="E56" s="102">
        <f>E53*(IF(E33=0,E31,E33)+IF(E36=0,E34,E36))</f>
        <v>2616014.7199895978</v>
      </c>
      <c r="F56" s="102">
        <f>F53*(IF(F33=0,F31,F33)+IF(F36=0,F34,F36))</f>
        <v>2525593.143381191</v>
      </c>
      <c r="G56" s="102">
        <f>G53*(IF(G33=0,G31,G33)+IF(G36=0,G34,G36))</f>
        <v>2404281.5061045317</v>
      </c>
      <c r="H56" s="90"/>
      <c r="I56" s="90"/>
      <c r="J56" s="76"/>
      <c r="K56" s="76"/>
      <c r="L56" s="76"/>
      <c r="M56" s="76"/>
      <c r="N56" s="76"/>
      <c r="O56" s="76"/>
      <c r="P56" s="76"/>
      <c r="Q56" s="76"/>
      <c r="R56" s="76"/>
      <c r="S56" s="76"/>
      <c r="T56" s="76"/>
      <c r="U56" s="76"/>
      <c r="V56" s="76"/>
      <c r="W56" s="76"/>
      <c r="X56" s="76"/>
      <c r="Y56" s="76"/>
      <c r="Z56" s="76"/>
      <c r="AA56" s="76"/>
      <c r="AB56" s="76"/>
      <c r="AC56" s="76"/>
      <c r="AD56" s="76"/>
    </row>
    <row r="57" spans="1:30" x14ac:dyDescent="0.3">
      <c r="A57" s="50" t="s">
        <v>633</v>
      </c>
      <c r="B57" s="50" t="s">
        <v>1099</v>
      </c>
      <c r="C57" s="102">
        <f>C56*(MIN(C24,C55)/C24)</f>
        <v>2295536.1418000008</v>
      </c>
      <c r="D57" s="102">
        <f>D56*(MIN(D24,D55)/D24)</f>
        <v>2726280.9754795511</v>
      </c>
      <c r="E57" s="102">
        <f>E56*(MIN(E24,E55)/E24)</f>
        <v>0</v>
      </c>
      <c r="F57" s="102">
        <f>F56*(MIN(F24,F55)/F24)</f>
        <v>0</v>
      </c>
      <c r="G57" s="102">
        <f>G56*(MIN(G24,G55)/G24)</f>
        <v>0</v>
      </c>
      <c r="H57" s="90"/>
      <c r="I57" s="90"/>
      <c r="J57" s="76"/>
      <c r="K57" s="76"/>
      <c r="L57" s="76"/>
      <c r="M57" s="76"/>
      <c r="N57" s="76"/>
      <c r="O57" s="76"/>
      <c r="P57" s="76"/>
      <c r="Q57" s="76"/>
      <c r="R57" s="76"/>
      <c r="S57" s="76"/>
      <c r="T57" s="76"/>
      <c r="U57" s="76"/>
      <c r="V57" s="76"/>
      <c r="W57" s="76"/>
      <c r="X57" s="76"/>
      <c r="Y57" s="76"/>
      <c r="Z57" s="76"/>
      <c r="AA57" s="76"/>
      <c r="AB57" s="76"/>
      <c r="AC57" s="76"/>
      <c r="AD57" s="76"/>
    </row>
    <row r="58" spans="1:30" ht="17.25" x14ac:dyDescent="0.3">
      <c r="A58" s="50" t="s">
        <v>641</v>
      </c>
      <c r="B58" s="109" t="s">
        <v>618</v>
      </c>
      <c r="C58" s="110">
        <f>C57</f>
        <v>2295536.1418000008</v>
      </c>
      <c r="D58" s="110">
        <f t="shared" ref="D58:G58" si="3">D57</f>
        <v>2726280.9754795511</v>
      </c>
      <c r="E58" s="110">
        <f t="shared" si="3"/>
        <v>0</v>
      </c>
      <c r="F58" s="110">
        <f t="shared" si="3"/>
        <v>0</v>
      </c>
      <c r="G58" s="110">
        <f t="shared" si="3"/>
        <v>0</v>
      </c>
      <c r="H58" s="90"/>
      <c r="I58" s="90"/>
      <c r="J58" s="76"/>
      <c r="K58" s="76"/>
      <c r="L58" s="76"/>
      <c r="M58" s="76"/>
      <c r="N58" s="76"/>
      <c r="O58" s="76"/>
      <c r="P58" s="76"/>
      <c r="Q58" s="76"/>
      <c r="R58" s="76"/>
      <c r="S58" s="76"/>
      <c r="T58" s="76"/>
      <c r="U58" s="76"/>
      <c r="V58" s="76"/>
      <c r="W58" s="76"/>
      <c r="X58" s="76"/>
      <c r="Y58" s="76"/>
      <c r="Z58" s="76"/>
      <c r="AA58" s="76"/>
      <c r="AB58" s="76"/>
      <c r="AC58" s="76"/>
      <c r="AD58" s="76"/>
    </row>
    <row r="59" spans="1:30" x14ac:dyDescent="0.3">
      <c r="B59" s="50" t="s">
        <v>1158</v>
      </c>
      <c r="D59" s="89"/>
      <c r="H59" s="76"/>
      <c r="I59" s="76"/>
      <c r="J59" s="76"/>
      <c r="K59" s="76"/>
      <c r="L59" s="76"/>
      <c r="M59" s="76"/>
      <c r="N59" s="76"/>
      <c r="O59" s="76"/>
      <c r="P59" s="76"/>
      <c r="Q59" s="76"/>
      <c r="R59" s="76"/>
      <c r="S59" s="76"/>
      <c r="T59" s="76"/>
      <c r="U59" s="76"/>
      <c r="V59" s="76"/>
      <c r="W59" s="76"/>
      <c r="X59" s="76"/>
      <c r="Y59" s="76"/>
      <c r="Z59" s="76"/>
      <c r="AA59" s="76"/>
      <c r="AB59" s="76"/>
      <c r="AC59" s="76"/>
      <c r="AD59" s="76"/>
    </row>
    <row r="60" spans="1:30" ht="10.5" customHeight="1" x14ac:dyDescent="0.3">
      <c r="J60" s="76"/>
      <c r="K60" s="76"/>
      <c r="L60" s="76"/>
      <c r="M60" s="76"/>
      <c r="N60" s="76"/>
      <c r="O60" s="76"/>
      <c r="P60" s="76"/>
      <c r="Q60" s="76"/>
      <c r="R60" s="76"/>
      <c r="S60" s="76"/>
      <c r="T60" s="76"/>
      <c r="U60" s="76"/>
      <c r="V60" s="76"/>
      <c r="W60" s="76"/>
      <c r="X60" s="76"/>
      <c r="Y60" s="76"/>
      <c r="Z60" s="76"/>
      <c r="AA60" s="76"/>
      <c r="AB60" s="76"/>
      <c r="AC60" s="76"/>
      <c r="AD60" s="76"/>
    </row>
    <row r="61" spans="1:30" x14ac:dyDescent="0.3">
      <c r="J61" s="76"/>
      <c r="K61" s="76"/>
      <c r="L61" s="76"/>
      <c r="M61" s="76"/>
      <c r="N61" s="76"/>
      <c r="O61" s="76"/>
      <c r="P61" s="76"/>
      <c r="Q61" s="76"/>
      <c r="R61" s="76"/>
      <c r="S61" s="76"/>
      <c r="T61" s="76"/>
      <c r="U61" s="76"/>
      <c r="V61" s="76"/>
      <c r="W61" s="76"/>
      <c r="X61" s="76"/>
      <c r="Y61" s="76"/>
      <c r="Z61" s="76"/>
      <c r="AA61" s="76"/>
      <c r="AB61" s="76"/>
      <c r="AC61" s="76"/>
      <c r="AD61" s="76"/>
    </row>
    <row r="62" spans="1:30" x14ac:dyDescent="0.3">
      <c r="J62" s="76"/>
      <c r="K62" s="76"/>
      <c r="L62" s="76"/>
      <c r="M62" s="76"/>
      <c r="N62" s="76"/>
      <c r="O62" s="76"/>
      <c r="P62" s="76"/>
      <c r="Q62" s="76"/>
      <c r="R62" s="76"/>
      <c r="S62" s="76"/>
      <c r="T62" s="76"/>
      <c r="U62" s="76"/>
      <c r="V62" s="76"/>
      <c r="W62" s="76"/>
      <c r="X62" s="76"/>
      <c r="Y62" s="76"/>
      <c r="Z62" s="76"/>
      <c r="AA62" s="76"/>
      <c r="AB62" s="76"/>
      <c r="AC62" s="76"/>
      <c r="AD62" s="76"/>
    </row>
    <row r="63" spans="1:30" x14ac:dyDescent="0.3">
      <c r="J63" s="76"/>
      <c r="K63" s="76"/>
      <c r="L63" s="76"/>
      <c r="M63" s="76"/>
      <c r="N63" s="76"/>
      <c r="O63" s="76"/>
      <c r="P63" s="76"/>
      <c r="Q63" s="76"/>
      <c r="R63" s="76"/>
      <c r="S63" s="76"/>
      <c r="T63" s="76"/>
      <c r="U63" s="76"/>
      <c r="V63" s="76"/>
      <c r="W63" s="76"/>
      <c r="X63" s="76"/>
      <c r="Y63" s="76"/>
      <c r="Z63" s="76"/>
      <c r="AA63" s="76"/>
      <c r="AB63" s="76"/>
      <c r="AC63" s="76"/>
      <c r="AD63" s="76"/>
    </row>
    <row r="64" spans="1:30" x14ac:dyDescent="0.3">
      <c r="J64" s="76"/>
      <c r="K64" s="76"/>
      <c r="L64" s="76"/>
      <c r="M64" s="76"/>
      <c r="N64" s="76"/>
      <c r="O64" s="76"/>
      <c r="P64" s="76"/>
      <c r="Q64" s="76"/>
      <c r="R64" s="76"/>
      <c r="S64" s="76"/>
      <c r="T64" s="76"/>
      <c r="U64" s="76"/>
      <c r="V64" s="76"/>
      <c r="W64" s="76"/>
      <c r="X64" s="76"/>
      <c r="Y64" s="76"/>
      <c r="Z64" s="76"/>
      <c r="AA64" s="76"/>
      <c r="AB64" s="76"/>
      <c r="AC64" s="76"/>
      <c r="AD64" s="76"/>
    </row>
    <row r="65" spans="1:30" x14ac:dyDescent="0.3">
      <c r="J65" s="76"/>
      <c r="K65" s="76"/>
      <c r="L65" s="76"/>
      <c r="M65" s="76"/>
      <c r="N65" s="76"/>
      <c r="O65" s="76"/>
      <c r="P65" s="76"/>
      <c r="Q65" s="76"/>
      <c r="R65" s="76"/>
      <c r="S65" s="76"/>
      <c r="T65" s="76"/>
      <c r="U65" s="76"/>
      <c r="V65" s="76"/>
      <c r="W65" s="76"/>
      <c r="X65" s="76"/>
      <c r="Y65" s="76"/>
      <c r="Z65" s="76"/>
      <c r="AA65" s="76"/>
      <c r="AB65" s="76"/>
      <c r="AC65" s="76"/>
      <c r="AD65" s="76"/>
    </row>
    <row r="66" spans="1:30" x14ac:dyDescent="0.3">
      <c r="J66" s="76"/>
      <c r="K66" s="76"/>
      <c r="L66" s="76"/>
      <c r="M66" s="76"/>
      <c r="N66" s="76"/>
      <c r="O66" s="76"/>
      <c r="P66" s="76"/>
      <c r="Q66" s="76"/>
      <c r="R66" s="76"/>
      <c r="S66" s="76"/>
      <c r="T66" s="76"/>
      <c r="U66" s="76"/>
      <c r="V66" s="76"/>
      <c r="W66" s="76"/>
      <c r="X66" s="76"/>
      <c r="Y66" s="76"/>
      <c r="Z66" s="76"/>
      <c r="AA66" s="76"/>
      <c r="AB66" s="76"/>
      <c r="AC66" s="76"/>
      <c r="AD66" s="76"/>
    </row>
    <row r="67" spans="1:30" x14ac:dyDescent="0.3">
      <c r="J67" s="76"/>
      <c r="K67" s="76"/>
      <c r="L67" s="76"/>
      <c r="M67" s="76"/>
      <c r="N67" s="76"/>
      <c r="O67" s="76"/>
      <c r="P67" s="76"/>
      <c r="Q67" s="76"/>
      <c r="R67" s="76"/>
      <c r="S67" s="76"/>
      <c r="T67" s="76"/>
      <c r="U67" s="76"/>
      <c r="V67" s="76"/>
      <c r="W67" s="76"/>
      <c r="X67" s="76"/>
      <c r="Y67" s="76"/>
      <c r="Z67" s="76"/>
      <c r="AA67" s="76"/>
      <c r="AB67" s="76"/>
      <c r="AC67" s="76"/>
      <c r="AD67" s="76"/>
    </row>
    <row r="68" spans="1:30" x14ac:dyDescent="0.3">
      <c r="J68" s="76"/>
      <c r="K68" s="76"/>
      <c r="L68" s="76"/>
      <c r="M68" s="76"/>
      <c r="N68" s="76"/>
      <c r="O68" s="76"/>
      <c r="P68" s="76"/>
      <c r="Q68" s="76"/>
      <c r="R68" s="76"/>
      <c r="S68" s="76"/>
      <c r="T68" s="76"/>
      <c r="U68" s="76"/>
      <c r="V68" s="76"/>
      <c r="W68" s="76"/>
      <c r="X68" s="76"/>
      <c r="Y68" s="76"/>
      <c r="Z68" s="76"/>
      <c r="AA68" s="76"/>
      <c r="AB68" s="76"/>
      <c r="AC68" s="76"/>
      <c r="AD68" s="76"/>
    </row>
    <row r="69" spans="1:30" x14ac:dyDescent="0.3">
      <c r="J69" s="76"/>
      <c r="K69" s="76"/>
      <c r="L69" s="76"/>
      <c r="M69" s="76"/>
      <c r="N69" s="76"/>
      <c r="O69" s="76"/>
      <c r="P69" s="76"/>
      <c r="Q69" s="76"/>
      <c r="R69" s="76"/>
      <c r="S69" s="76"/>
      <c r="T69" s="76"/>
      <c r="U69" s="76"/>
      <c r="V69" s="76"/>
      <c r="W69" s="76"/>
      <c r="X69" s="76"/>
      <c r="Y69" s="76"/>
      <c r="Z69" s="76"/>
      <c r="AA69" s="76"/>
      <c r="AB69" s="76"/>
      <c r="AC69" s="76"/>
      <c r="AD69" s="76"/>
    </row>
    <row r="70" spans="1:30" x14ac:dyDescent="0.3">
      <c r="J70" s="76"/>
      <c r="K70" s="76"/>
      <c r="L70" s="76"/>
      <c r="M70" s="76"/>
      <c r="N70" s="76"/>
      <c r="O70" s="76"/>
      <c r="P70" s="76"/>
      <c r="Q70" s="76"/>
      <c r="R70" s="76"/>
      <c r="S70" s="76"/>
      <c r="T70" s="76"/>
      <c r="U70" s="76"/>
      <c r="V70" s="76"/>
      <c r="W70" s="76"/>
      <c r="X70" s="76"/>
      <c r="Y70" s="76"/>
      <c r="Z70" s="76"/>
      <c r="AA70" s="76"/>
      <c r="AB70" s="76"/>
      <c r="AC70" s="76"/>
      <c r="AD70" s="76"/>
    </row>
    <row r="71" spans="1:30" s="114" customFormat="1" ht="20.25" x14ac:dyDescent="0.35">
      <c r="A71" s="50"/>
      <c r="B71" s="50"/>
      <c r="C71" s="50"/>
      <c r="D71" s="50"/>
      <c r="E71" s="50"/>
      <c r="F71" s="50"/>
      <c r="G71" s="50"/>
      <c r="H71" s="50"/>
      <c r="I71" s="50"/>
      <c r="J71" s="117"/>
      <c r="K71" s="117"/>
      <c r="L71" s="117"/>
      <c r="M71" s="117"/>
      <c r="N71" s="117"/>
      <c r="O71" s="117"/>
      <c r="P71" s="117"/>
      <c r="Q71" s="117"/>
      <c r="R71" s="117"/>
      <c r="S71" s="117"/>
      <c r="T71" s="117"/>
      <c r="U71" s="117"/>
      <c r="V71" s="117"/>
      <c r="W71" s="117"/>
      <c r="X71" s="117"/>
      <c r="Y71" s="117"/>
      <c r="Z71" s="117"/>
      <c r="AA71" s="117"/>
      <c r="AB71" s="117"/>
      <c r="AC71" s="117"/>
      <c r="AD71" s="117"/>
    </row>
    <row r="72" spans="1:30" x14ac:dyDescent="0.3">
      <c r="J72" s="76"/>
      <c r="K72" s="76"/>
      <c r="L72" s="76"/>
      <c r="M72" s="76"/>
      <c r="N72" s="76"/>
      <c r="O72" s="76"/>
      <c r="P72" s="76"/>
      <c r="Q72" s="76"/>
      <c r="R72" s="76"/>
      <c r="S72" s="76"/>
      <c r="T72" s="76"/>
      <c r="U72" s="76"/>
      <c r="V72" s="76"/>
      <c r="W72" s="76"/>
      <c r="X72" s="76"/>
      <c r="Y72" s="76"/>
      <c r="Z72" s="76"/>
      <c r="AA72" s="76"/>
      <c r="AB72" s="76"/>
      <c r="AC72" s="76"/>
      <c r="AD72" s="76"/>
    </row>
    <row r="73" spans="1:30" x14ac:dyDescent="0.3">
      <c r="J73" s="76"/>
      <c r="K73" s="76"/>
      <c r="L73" s="76"/>
      <c r="M73" s="76"/>
      <c r="N73" s="76"/>
      <c r="O73" s="76"/>
      <c r="P73" s="76"/>
      <c r="Q73" s="76"/>
      <c r="R73" s="76"/>
      <c r="S73" s="76"/>
      <c r="T73" s="76"/>
      <c r="U73" s="76"/>
      <c r="V73" s="76"/>
      <c r="W73" s="76"/>
      <c r="X73" s="76"/>
      <c r="Y73" s="76"/>
      <c r="Z73" s="76"/>
      <c r="AA73" s="76"/>
      <c r="AB73" s="76"/>
      <c r="AC73" s="76"/>
      <c r="AD73" s="76"/>
    </row>
    <row r="74" spans="1:30" x14ac:dyDescent="0.3">
      <c r="J74" s="76"/>
      <c r="K74" s="76"/>
      <c r="L74" s="76"/>
      <c r="M74" s="76"/>
      <c r="N74" s="76"/>
      <c r="O74" s="76"/>
      <c r="P74" s="76"/>
      <c r="Q74" s="76"/>
      <c r="R74" s="76"/>
      <c r="S74" s="76"/>
      <c r="T74" s="76"/>
      <c r="U74" s="76"/>
      <c r="V74" s="76"/>
      <c r="W74" s="76"/>
      <c r="X74" s="76"/>
      <c r="Y74" s="76"/>
      <c r="Z74" s="76"/>
      <c r="AA74" s="76"/>
      <c r="AB74" s="76"/>
      <c r="AC74" s="76"/>
      <c r="AD74" s="76"/>
    </row>
    <row r="75" spans="1:30" x14ac:dyDescent="0.3">
      <c r="J75" s="76"/>
      <c r="K75" s="76"/>
      <c r="L75" s="76"/>
      <c r="M75" s="76"/>
      <c r="N75" s="76"/>
      <c r="O75" s="76"/>
      <c r="P75" s="76"/>
      <c r="Q75" s="76"/>
      <c r="R75" s="76"/>
      <c r="S75" s="76"/>
      <c r="T75" s="76"/>
      <c r="U75" s="76"/>
      <c r="V75" s="76"/>
      <c r="W75" s="76"/>
      <c r="X75" s="76"/>
      <c r="Y75" s="76"/>
      <c r="Z75" s="76"/>
      <c r="AA75" s="76"/>
      <c r="AB75" s="76"/>
      <c r="AC75" s="76"/>
      <c r="AD75" s="76"/>
    </row>
    <row r="76" spans="1:30" x14ac:dyDescent="0.3">
      <c r="J76" s="76"/>
      <c r="K76" s="76"/>
      <c r="L76" s="76"/>
      <c r="M76" s="76"/>
      <c r="N76" s="76"/>
      <c r="O76" s="76"/>
      <c r="P76" s="76"/>
      <c r="Q76" s="76"/>
      <c r="R76" s="76"/>
      <c r="S76" s="76"/>
      <c r="T76" s="76"/>
      <c r="U76" s="76"/>
      <c r="V76" s="76"/>
      <c r="W76" s="76"/>
      <c r="X76" s="76"/>
      <c r="Y76" s="76"/>
      <c r="Z76" s="76"/>
      <c r="AA76" s="76"/>
      <c r="AB76" s="76"/>
      <c r="AC76" s="76"/>
      <c r="AD76" s="76"/>
    </row>
    <row r="77" spans="1:30" x14ac:dyDescent="0.3">
      <c r="J77" s="76"/>
      <c r="K77" s="76"/>
      <c r="L77" s="76"/>
      <c r="M77" s="76"/>
      <c r="N77" s="76"/>
      <c r="O77" s="76"/>
      <c r="P77" s="76"/>
      <c r="Q77" s="76"/>
      <c r="R77" s="76"/>
      <c r="S77" s="76"/>
      <c r="T77" s="76"/>
      <c r="U77" s="76"/>
      <c r="V77" s="76"/>
      <c r="W77" s="76"/>
      <c r="X77" s="76"/>
      <c r="Y77" s="76"/>
      <c r="Z77" s="76"/>
      <c r="AA77" s="76"/>
      <c r="AB77" s="76"/>
      <c r="AC77" s="76"/>
      <c r="AD77" s="76"/>
    </row>
  </sheetData>
  <protectedRanges>
    <protectedRange sqref="H42:L1048576 I41:L41 E51:G51 H1:L40" name="Free Space"/>
    <protectedRange sqref="C25:G28" name="CPI"/>
    <protectedRange sqref="C30:G30" name="Alt Voter Approved Levy"/>
    <protectedRange sqref="C33:G33" name="Alt Enroll"/>
    <protectedRange sqref="C36:G36" name="Alt Transf Enroll"/>
    <protectedRange sqref="C38:G38" name="Alt Assessed Val"/>
  </protectedRanges>
  <mergeCells count="10">
    <mergeCell ref="B15:G15"/>
    <mergeCell ref="B19:G19"/>
    <mergeCell ref="B40:G40"/>
    <mergeCell ref="B49:G49"/>
    <mergeCell ref="B1:G1"/>
    <mergeCell ref="C3:D3"/>
    <mergeCell ref="B6:G6"/>
    <mergeCell ref="B8:G8"/>
    <mergeCell ref="B10:G10"/>
    <mergeCell ref="B12:G12"/>
  </mergeCells>
  <dataValidations count="1">
    <dataValidation type="list" allowBlank="1" showInputMessage="1" showErrorMessage="1" sqref="D5" xr:uid="{00000000-0002-0000-0200-000000000000}">
      <formula1>$B$4:$B$285</formula1>
    </dataValidation>
  </dataValidations>
  <hyperlinks>
    <hyperlink ref="B14" r:id="rId1" xr:uid="{00000000-0004-0000-0200-000000000000}"/>
    <hyperlink ref="B9" r:id="rId2" display="ESHB 1476 School Enrighment Levies" xr:uid="{00000000-0004-0000-0200-000001000000}"/>
    <hyperlink ref="B11" r:id="rId3" xr:uid="{00000000-0004-0000-0200-000002000000}"/>
  </hyperlinks>
  <printOptions horizontalCentered="1"/>
  <pageMargins left="0.25" right="0.25" top="0.75" bottom="0.75" header="0.3" footer="0.3"/>
  <pageSetup scale="59" fitToWidth="0" fitToHeight="0" orientation="portrait" r:id="rId4"/>
  <rowBreaks count="1" manualBreakCount="1">
    <brk id="1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Data!$B$4:$B$298</xm:f>
          </x14:formula1>
          <xm:sqref>C7 C5 C3:D3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CB303"/>
  <sheetViews>
    <sheetView zoomScaleNormal="100" workbookViewId="0">
      <selection activeCell="F2" sqref="F2"/>
    </sheetView>
  </sheetViews>
  <sheetFormatPr defaultColWidth="8.85546875" defaultRowHeight="16.5" x14ac:dyDescent="0.3"/>
  <cols>
    <col min="1" max="1" width="4.7109375" style="48" customWidth="1"/>
    <col min="2" max="2" width="56.7109375" style="50" customWidth="1"/>
    <col min="3" max="3" width="18.7109375" style="50" customWidth="1"/>
    <col min="4" max="7" width="18.28515625" style="50" customWidth="1"/>
    <col min="8" max="8" width="14.7109375" style="50" customWidth="1"/>
    <col min="9" max="9" width="14.140625" style="50" bestFit="1" customWidth="1"/>
    <col min="10" max="10" width="15.7109375" style="50" customWidth="1"/>
    <col min="11" max="11" width="10.140625" style="50" customWidth="1"/>
    <col min="12" max="16384" width="8.85546875" style="50"/>
  </cols>
  <sheetData>
    <row r="1" spans="1:80" x14ac:dyDescent="0.3">
      <c r="A1" s="48">
        <v>1</v>
      </c>
      <c r="B1" s="49" t="s">
        <v>1065</v>
      </c>
      <c r="C1" s="166" t="str">
        <f>LevyCalc!C3</f>
        <v>ABERDEEN</v>
      </c>
      <c r="D1" s="166"/>
      <c r="E1" s="166"/>
      <c r="F1" s="50" t="s">
        <v>1123</v>
      </c>
      <c r="CA1" s="50" t="s">
        <v>136</v>
      </c>
      <c r="CB1" s="50" t="s">
        <v>723</v>
      </c>
    </row>
    <row r="2" spans="1:80" x14ac:dyDescent="0.3">
      <c r="A2" s="48">
        <f>A1+1</f>
        <v>2</v>
      </c>
      <c r="B2" s="49" t="s">
        <v>1011</v>
      </c>
      <c r="C2" s="51" t="s">
        <v>1012</v>
      </c>
      <c r="D2" s="167" t="s">
        <v>1013</v>
      </c>
      <c r="E2" s="167"/>
      <c r="F2" s="52">
        <v>2023</v>
      </c>
      <c r="CA2" s="50" t="s">
        <v>265</v>
      </c>
      <c r="CB2" s="50" t="s">
        <v>792</v>
      </c>
    </row>
    <row r="3" spans="1:80" ht="16.5" customHeight="1" thickBot="1" x14ac:dyDescent="0.35">
      <c r="A3" s="48">
        <f t="shared" ref="A3:A67" si="0">A2+1</f>
        <v>3</v>
      </c>
      <c r="B3" s="49" t="s">
        <v>1014</v>
      </c>
      <c r="C3" s="168"/>
      <c r="D3" s="169"/>
      <c r="E3" s="169"/>
      <c r="F3" s="169"/>
      <c r="K3" s="125"/>
      <c r="CA3" s="50" t="s">
        <v>287</v>
      </c>
      <c r="CB3" s="50" t="s">
        <v>803</v>
      </c>
    </row>
    <row r="4" spans="1:80" ht="16.5" customHeight="1" x14ac:dyDescent="0.3">
      <c r="A4" s="48">
        <f t="shared" si="0"/>
        <v>4</v>
      </c>
      <c r="C4" s="170" t="s">
        <v>1015</v>
      </c>
      <c r="D4" s="170"/>
      <c r="E4" s="170" t="s">
        <v>1016</v>
      </c>
      <c r="F4" s="170"/>
      <c r="J4" s="157" t="s">
        <v>1125</v>
      </c>
      <c r="K4" s="158"/>
      <c r="CA4" s="50" t="s">
        <v>391</v>
      </c>
      <c r="CB4" s="50" t="s">
        <v>854</v>
      </c>
    </row>
    <row r="5" spans="1:80" x14ac:dyDescent="0.3">
      <c r="A5" s="48">
        <f t="shared" si="0"/>
        <v>5</v>
      </c>
      <c r="C5" s="53"/>
      <c r="D5" s="53"/>
      <c r="E5" s="53"/>
      <c r="F5" s="53"/>
      <c r="J5" s="126" t="s">
        <v>1126</v>
      </c>
      <c r="K5" s="127" t="s">
        <v>1127</v>
      </c>
      <c r="CA5" s="50" t="s">
        <v>415</v>
      </c>
      <c r="CB5" s="50" t="s">
        <v>866</v>
      </c>
    </row>
    <row r="6" spans="1:80" ht="17.25" thickBot="1" x14ac:dyDescent="0.35">
      <c r="A6" s="48">
        <f t="shared" si="0"/>
        <v>6</v>
      </c>
      <c r="B6" s="49" t="s">
        <v>1017</v>
      </c>
      <c r="C6" s="53"/>
      <c r="D6" s="53"/>
      <c r="E6" s="53"/>
      <c r="F6" s="53"/>
      <c r="J6" s="128" t="s">
        <v>1124</v>
      </c>
      <c r="K6" s="129" t="s">
        <v>1128</v>
      </c>
      <c r="CA6" s="50" t="s">
        <v>12</v>
      </c>
      <c r="CB6" s="50" t="s">
        <v>660</v>
      </c>
    </row>
    <row r="7" spans="1:80" x14ac:dyDescent="0.3">
      <c r="A7" s="48">
        <f t="shared" si="0"/>
        <v>7</v>
      </c>
      <c r="B7" s="49" t="s">
        <v>1100</v>
      </c>
      <c r="C7" s="119" t="s">
        <v>1101</v>
      </c>
      <c r="D7" s="53"/>
      <c r="E7" s="53"/>
      <c r="F7" s="53"/>
      <c r="CA7" s="50" t="s">
        <v>199</v>
      </c>
      <c r="CB7" s="50" t="s">
        <v>755</v>
      </c>
    </row>
    <row r="8" spans="1:80" x14ac:dyDescent="0.3">
      <c r="A8" s="48">
        <f t="shared" si="0"/>
        <v>8</v>
      </c>
      <c r="C8" s="53"/>
      <c r="D8" s="53"/>
      <c r="E8" s="53"/>
      <c r="F8" s="53"/>
      <c r="CA8" s="50" t="s">
        <v>217</v>
      </c>
      <c r="CB8" s="50" t="s">
        <v>766</v>
      </c>
    </row>
    <row r="9" spans="1:80" x14ac:dyDescent="0.3">
      <c r="A9" s="48">
        <f t="shared" si="0"/>
        <v>9</v>
      </c>
      <c r="B9" s="54" t="s">
        <v>1018</v>
      </c>
      <c r="CA9" s="50" t="s">
        <v>64</v>
      </c>
      <c r="CB9" s="50" t="s">
        <v>687</v>
      </c>
    </row>
    <row r="10" spans="1:80" x14ac:dyDescent="0.3">
      <c r="A10" s="48">
        <f t="shared" si="0"/>
        <v>10</v>
      </c>
      <c r="CA10" s="50" t="s">
        <v>194</v>
      </c>
      <c r="CB10" s="50" t="s">
        <v>752</v>
      </c>
    </row>
    <row r="11" spans="1:80" x14ac:dyDescent="0.3">
      <c r="A11" s="48">
        <f t="shared" si="0"/>
        <v>11</v>
      </c>
      <c r="B11" s="50" t="s">
        <v>1019</v>
      </c>
      <c r="CA11" s="50" t="s">
        <v>519</v>
      </c>
      <c r="CB11" s="50" t="s">
        <v>920</v>
      </c>
    </row>
    <row r="12" spans="1:80" x14ac:dyDescent="0.3">
      <c r="A12" s="48">
        <f t="shared" si="0"/>
        <v>12</v>
      </c>
      <c r="C12" s="55"/>
      <c r="D12" s="55"/>
      <c r="E12" s="55" t="s">
        <v>1020</v>
      </c>
      <c r="F12" s="56"/>
      <c r="CA12" s="50" t="s">
        <v>2</v>
      </c>
      <c r="CB12" s="50" t="s">
        <v>654</v>
      </c>
    </row>
    <row r="13" spans="1:80" x14ac:dyDescent="0.3">
      <c r="A13" s="48">
        <f t="shared" si="0"/>
        <v>13</v>
      </c>
      <c r="B13" s="50" t="s">
        <v>1021</v>
      </c>
      <c r="CA13" s="50" t="s">
        <v>369</v>
      </c>
      <c r="CB13" s="50" t="s">
        <v>843</v>
      </c>
    </row>
    <row r="14" spans="1:80" x14ac:dyDescent="0.3">
      <c r="A14" s="48">
        <f t="shared" si="0"/>
        <v>14</v>
      </c>
      <c r="C14" s="55"/>
      <c r="D14" s="55"/>
      <c r="E14" s="55" t="s">
        <v>1020</v>
      </c>
      <c r="F14" s="56"/>
      <c r="CA14" s="50" t="s">
        <v>239</v>
      </c>
      <c r="CB14" s="50" t="s">
        <v>779</v>
      </c>
    </row>
    <row r="15" spans="1:80" x14ac:dyDescent="0.3">
      <c r="A15" s="48">
        <f>A14+1</f>
        <v>15</v>
      </c>
      <c r="C15" s="55"/>
      <c r="D15" s="55"/>
      <c r="F15" s="55"/>
      <c r="CA15" s="50" t="s">
        <v>523</v>
      </c>
      <c r="CB15" s="50" t="s">
        <v>922</v>
      </c>
    </row>
    <row r="16" spans="1:80" x14ac:dyDescent="0.3">
      <c r="A16" s="48">
        <f t="shared" si="0"/>
        <v>16</v>
      </c>
      <c r="B16" s="54" t="s">
        <v>1022</v>
      </c>
      <c r="E16" s="55"/>
      <c r="CA16" s="50" t="s">
        <v>269</v>
      </c>
      <c r="CB16" s="50" t="s">
        <v>794</v>
      </c>
    </row>
    <row r="17" spans="1:80" x14ac:dyDescent="0.3">
      <c r="A17" s="48">
        <f t="shared" si="0"/>
        <v>17</v>
      </c>
      <c r="B17" s="171"/>
      <c r="C17" s="172"/>
      <c r="D17" s="172"/>
      <c r="E17" s="172"/>
      <c r="F17" s="172"/>
      <c r="G17" s="173"/>
      <c r="CA17" s="50" t="s">
        <v>215</v>
      </c>
      <c r="CB17" s="50" t="s">
        <v>765</v>
      </c>
    </row>
    <row r="18" spans="1:80" x14ac:dyDescent="0.3">
      <c r="A18" s="48">
        <f t="shared" si="0"/>
        <v>18</v>
      </c>
      <c r="B18" s="174"/>
      <c r="C18" s="175"/>
      <c r="D18" s="175"/>
      <c r="E18" s="175"/>
      <c r="F18" s="175"/>
      <c r="G18" s="176"/>
      <c r="CA18" s="50" t="s">
        <v>319</v>
      </c>
      <c r="CB18" s="50" t="s">
        <v>818</v>
      </c>
    </row>
    <row r="19" spans="1:80" x14ac:dyDescent="0.3">
      <c r="A19" s="48">
        <f t="shared" si="0"/>
        <v>19</v>
      </c>
      <c r="B19" s="174"/>
      <c r="C19" s="175"/>
      <c r="D19" s="175"/>
      <c r="E19" s="175"/>
      <c r="F19" s="175"/>
      <c r="G19" s="176"/>
      <c r="CA19" s="50" t="s">
        <v>86</v>
      </c>
      <c r="CB19" s="50" t="s">
        <v>698</v>
      </c>
    </row>
    <row r="20" spans="1:80" x14ac:dyDescent="0.3">
      <c r="A20" s="48">
        <f t="shared" si="0"/>
        <v>20</v>
      </c>
      <c r="B20" s="174"/>
      <c r="C20" s="175"/>
      <c r="D20" s="175"/>
      <c r="E20" s="175"/>
      <c r="F20" s="175"/>
      <c r="G20" s="176"/>
      <c r="CA20" s="50" t="s">
        <v>170</v>
      </c>
      <c r="CB20" s="50" t="s">
        <v>740</v>
      </c>
    </row>
    <row r="21" spans="1:80" x14ac:dyDescent="0.3">
      <c r="A21" s="48">
        <f t="shared" si="0"/>
        <v>21</v>
      </c>
      <c r="B21" s="177"/>
      <c r="C21" s="169"/>
      <c r="D21" s="169"/>
      <c r="E21" s="169"/>
      <c r="F21" s="169"/>
      <c r="G21" s="178"/>
      <c r="CA21" s="50" t="s">
        <v>387</v>
      </c>
      <c r="CB21" s="50" t="s">
        <v>852</v>
      </c>
    </row>
    <row r="22" spans="1:80" x14ac:dyDescent="0.3">
      <c r="A22" s="48">
        <f t="shared" si="0"/>
        <v>22</v>
      </c>
      <c r="B22" s="57" t="s">
        <v>1023</v>
      </c>
      <c r="C22" s="58"/>
      <c r="D22" s="58"/>
      <c r="E22" s="58"/>
      <c r="F22" s="58"/>
      <c r="G22" s="58"/>
      <c r="CA22" s="50" t="s">
        <v>62</v>
      </c>
      <c r="CB22" s="50" t="s">
        <v>686</v>
      </c>
    </row>
    <row r="23" spans="1:80" x14ac:dyDescent="0.3">
      <c r="A23" s="48">
        <f t="shared" si="0"/>
        <v>23</v>
      </c>
      <c r="E23" s="55"/>
      <c r="CA23" s="50" t="s">
        <v>46</v>
      </c>
      <c r="CB23" s="50" t="s">
        <v>677</v>
      </c>
    </row>
    <row r="24" spans="1:80" x14ac:dyDescent="0.3">
      <c r="A24" s="48">
        <f>A23+1</f>
        <v>24</v>
      </c>
      <c r="B24" s="54" t="s">
        <v>1024</v>
      </c>
      <c r="CA24" s="50" t="s">
        <v>353</v>
      </c>
      <c r="CB24" s="50" t="s">
        <v>835</v>
      </c>
    </row>
    <row r="25" spans="1:80" x14ac:dyDescent="0.3">
      <c r="A25" s="48">
        <f t="shared" ref="A25:A47" si="1">A24+1</f>
        <v>25</v>
      </c>
      <c r="C25" s="55"/>
      <c r="D25" s="55"/>
      <c r="E25" s="55"/>
      <c r="F25" s="58"/>
      <c r="H25" s="103"/>
      <c r="I25" s="103"/>
    </row>
    <row r="26" spans="1:80" x14ac:dyDescent="0.3">
      <c r="A26" s="48">
        <f t="shared" si="1"/>
        <v>26</v>
      </c>
      <c r="B26" s="50" t="s">
        <v>1025</v>
      </c>
      <c r="F26" s="55" t="s">
        <v>1083</v>
      </c>
      <c r="G26" s="124" t="str">
        <f>IF(INDEX(LevyCalc!$C$45:$G$45,MATCH($C$27,CY,0))=INDEX(LevyCalc!$C$44:$G$44,MATCH($C$27,CY,0)),"per pupil","$2.50/$1000AV")</f>
        <v>$2.50/$1000AV</v>
      </c>
      <c r="CA26" s="50" t="s">
        <v>369</v>
      </c>
      <c r="CB26" s="50" t="s">
        <v>843</v>
      </c>
    </row>
    <row r="27" spans="1:80" x14ac:dyDescent="0.3">
      <c r="A27" s="48">
        <f t="shared" si="1"/>
        <v>27</v>
      </c>
      <c r="B27" s="50" t="s">
        <v>1090</v>
      </c>
      <c r="C27" s="52">
        <v>2025</v>
      </c>
      <c r="D27" s="55" t="s">
        <v>1085</v>
      </c>
      <c r="E27" s="123">
        <f>INDEX(LevyCalc!$C$47:$G$47,MATCH($C$27,CY,0))/INDEX(LevyCalc!$C$42:$G$42,MATCH($C$27,CY,0))</f>
        <v>0</v>
      </c>
      <c r="F27" s="55" t="s">
        <v>1084</v>
      </c>
      <c r="G27" s="123">
        <f>IF(INDEX(LevyCalc!$C$30:$G$30,MATCH($C$27,CY,0))=0,INDEX(LevyCalc!$C$29:$G$29,MATCH($C$27,CY,0)),INDEX(LevyCalc!$C$30:$G$30,MATCH($C$27,CY,0)))</f>
        <v>0</v>
      </c>
      <c r="CA27" s="50" t="s">
        <v>239</v>
      </c>
      <c r="CB27" s="50" t="s">
        <v>779</v>
      </c>
    </row>
    <row r="28" spans="1:80" x14ac:dyDescent="0.3">
      <c r="A28" s="48">
        <f t="shared" si="1"/>
        <v>28</v>
      </c>
    </row>
    <row r="29" spans="1:80" x14ac:dyDescent="0.3">
      <c r="A29" s="48">
        <f t="shared" si="1"/>
        <v>29</v>
      </c>
      <c r="B29" s="54" t="s">
        <v>1027</v>
      </c>
      <c r="CA29" s="50" t="s">
        <v>353</v>
      </c>
      <c r="CB29" s="50" t="s">
        <v>835</v>
      </c>
    </row>
    <row r="30" spans="1:80" x14ac:dyDescent="0.3">
      <c r="A30" s="48">
        <f t="shared" si="1"/>
        <v>30</v>
      </c>
      <c r="B30" s="54"/>
    </row>
    <row r="31" spans="1:80" x14ac:dyDescent="0.3">
      <c r="A31" s="48">
        <f t="shared" si="1"/>
        <v>31</v>
      </c>
      <c r="C31" s="60" t="s">
        <v>1028</v>
      </c>
      <c r="D31" s="179" t="s">
        <v>1029</v>
      </c>
      <c r="E31" s="179"/>
      <c r="F31" s="179"/>
      <c r="G31" s="179"/>
      <c r="H31" s="61"/>
      <c r="CA31" s="50" t="s">
        <v>36</v>
      </c>
      <c r="CB31" s="50" t="s">
        <v>672</v>
      </c>
    </row>
    <row r="32" spans="1:80" ht="16.5" customHeight="1" x14ac:dyDescent="0.3">
      <c r="A32" s="48">
        <f t="shared" si="1"/>
        <v>32</v>
      </c>
      <c r="C32" s="179" t="s">
        <v>608</v>
      </c>
      <c r="D32" s="179"/>
      <c r="E32" s="179"/>
      <c r="F32" s="179"/>
      <c r="G32" s="179"/>
    </row>
    <row r="33" spans="1:80" x14ac:dyDescent="0.3">
      <c r="A33" s="48">
        <f t="shared" si="1"/>
        <v>33</v>
      </c>
      <c r="C33" s="62">
        <f>D33-1</f>
        <v>2023</v>
      </c>
      <c r="D33" s="63">
        <f>IFERROR(F2+1," ")</f>
        <v>2024</v>
      </c>
      <c r="E33" s="63">
        <f t="shared" ref="E33:G33" si="2">IFERROR(D33+1," ")</f>
        <v>2025</v>
      </c>
      <c r="F33" s="63">
        <f t="shared" si="2"/>
        <v>2026</v>
      </c>
      <c r="G33" s="63">
        <f t="shared" si="2"/>
        <v>2027</v>
      </c>
      <c r="CA33" s="50" t="s">
        <v>34</v>
      </c>
      <c r="CB33" s="50" t="s">
        <v>671</v>
      </c>
    </row>
    <row r="34" spans="1:80" x14ac:dyDescent="0.3">
      <c r="A34" s="48">
        <f t="shared" si="1"/>
        <v>34</v>
      </c>
      <c r="B34" s="64" t="s">
        <v>1030</v>
      </c>
      <c r="C34" s="130">
        <f>IFERROR(INDEX(LevyCalc!$C$54:$G$54,MATCH(C$33,LevyCalc!$C$20:$G$20,0)),0)</f>
        <v>2.42</v>
      </c>
      <c r="D34" s="130">
        <f>IFERROR(INDEX(LevyCalc!$C$54:$G$54,MATCH(D$33,LevyCalc!$C$20:$G$20,0)),0)</f>
        <v>2.4700000000000002</v>
      </c>
      <c r="E34" s="130">
        <f>IFERROR(INDEX(LevyCalc!$C$54:$G$54,MATCH(E$33,LevyCalc!$C$20:$G$20,0)),0)</f>
        <v>0</v>
      </c>
      <c r="F34" s="130">
        <f>IFERROR(INDEX(LevyCalc!$C$54:$G$54,MATCH(F$33,LevyCalc!$C$20:$G$20,0)),0)</f>
        <v>0</v>
      </c>
      <c r="G34" s="130">
        <f>IFERROR(INDEX(LevyCalc!$C$54:$G$54,MATCH(G$33,LevyCalc!$C$20:$G$20,0)),0)</f>
        <v>0</v>
      </c>
      <c r="CA34" s="50" t="s">
        <v>76</v>
      </c>
      <c r="CB34" s="50" t="s">
        <v>693</v>
      </c>
    </row>
    <row r="35" spans="1:80" x14ac:dyDescent="0.3">
      <c r="A35" s="48">
        <f t="shared" si="1"/>
        <v>35</v>
      </c>
      <c r="B35" s="64" t="s">
        <v>1129</v>
      </c>
      <c r="C35" s="123">
        <f>IFERROR(INDEX(LevyCalc!$C$53:$G$53,MATCH(C$33,LevyCalc!$C$20:$G$20,0)),0)</f>
        <v>5200000</v>
      </c>
      <c r="D35" s="123">
        <f>IFERROR(INDEX(LevyCalc!$C$53:$G$53,MATCH(D$33,LevyCalc!$C$20:$G$20,0)),0)</f>
        <v>5200000</v>
      </c>
      <c r="E35" s="123">
        <f>IFERROR(INDEX(LevyCalc!$C$53:$G$53,MATCH(E$33,LevyCalc!$C$20:$G$20,0)),0)</f>
        <v>0</v>
      </c>
      <c r="F35" s="123">
        <f>IFERROR(INDEX(LevyCalc!$C$53:$G$53,MATCH(F$33,LevyCalc!$C$20:$G$20,0)),0)</f>
        <v>0</v>
      </c>
      <c r="G35" s="123">
        <f>IFERROR(INDEX(LevyCalc!$C$53:$G$53,MATCH(G$33,LevyCalc!$C$20:$G$20,0)),0)</f>
        <v>0</v>
      </c>
    </row>
    <row r="36" spans="1:80" x14ac:dyDescent="0.3">
      <c r="A36" s="48">
        <f t="shared" si="1"/>
        <v>36</v>
      </c>
      <c r="B36" s="64" t="s">
        <v>1031</v>
      </c>
      <c r="C36" s="123">
        <f>IFERROR(INDEX(LevyCalc!$C$47:$G$47,MATCH(C$33,LevyCalc!$C$20:$G$20,0)),0)</f>
        <v>5200000</v>
      </c>
      <c r="D36" s="123">
        <f>IFERROR(INDEX(LevyCalc!$C$47:$G$47,MATCH(D$33,LevyCalc!$C$20:$G$20,0)),0)</f>
        <v>5200000</v>
      </c>
      <c r="E36" s="123">
        <f>IFERROR(INDEX(LevyCalc!$C$47:$G$47,MATCH(E$33,LevyCalc!$C$20:$G$20,0)),0)</f>
        <v>0</v>
      </c>
      <c r="F36" s="123">
        <f>IFERROR(INDEX(LevyCalc!$C$47:$G$47,MATCH(F$33,LevyCalc!$C$20:$G$20,0)),0)</f>
        <v>0</v>
      </c>
      <c r="G36" s="123">
        <f>IFERROR(INDEX(LevyCalc!$C$47:$G$47,MATCH(G$33,LevyCalc!$C$20:$G$20,0)),0)</f>
        <v>0</v>
      </c>
      <c r="CA36" s="50" t="s">
        <v>241</v>
      </c>
      <c r="CB36" s="50" t="s">
        <v>780</v>
      </c>
    </row>
    <row r="37" spans="1:80" x14ac:dyDescent="0.3">
      <c r="A37" s="48">
        <f t="shared" si="1"/>
        <v>37</v>
      </c>
      <c r="B37" s="64" t="s">
        <v>1130</v>
      </c>
      <c r="C37" s="123">
        <f>IFERROR(INDEX(LevyCalc!$C$46:$G$46,MATCH(C$33,LevyCalc!$C$20:$G$20,0)),0)</f>
        <v>0</v>
      </c>
      <c r="D37" s="123">
        <f>IFERROR(INDEX(LevyCalc!$C$46:$G$46,MATCH(D$33,LevyCalc!$C$20:$G$20,0)),0)</f>
        <v>0</v>
      </c>
      <c r="E37" s="123">
        <f>IFERROR(INDEX(LevyCalc!$C$46:$G$46,MATCH(E$33,LevyCalc!$C$20:$G$20,0)),0)</f>
        <v>0</v>
      </c>
      <c r="F37" s="123">
        <f>IFERROR(INDEX(LevyCalc!$C$46:$G$46,MATCH(F$33,LevyCalc!$C$20:$G$20,0)),0)</f>
        <v>0</v>
      </c>
      <c r="G37" s="123">
        <f>IFERROR(INDEX(LevyCalc!$C$46:$G$46,MATCH(G$33,LevyCalc!$C$20:$G$20,0)),0)</f>
        <v>0</v>
      </c>
    </row>
    <row r="38" spans="1:80" ht="26.25" customHeight="1" x14ac:dyDescent="0.3">
      <c r="A38" s="48">
        <f t="shared" si="1"/>
        <v>38</v>
      </c>
      <c r="C38" s="66"/>
      <c r="D38" s="155" t="s">
        <v>619</v>
      </c>
      <c r="E38" s="155"/>
      <c r="F38" s="155"/>
      <c r="G38" s="155"/>
      <c r="CA38" s="50" t="s">
        <v>221</v>
      </c>
      <c r="CB38" s="50" t="s">
        <v>768</v>
      </c>
    </row>
    <row r="39" spans="1:80" x14ac:dyDescent="0.3">
      <c r="A39" s="48">
        <f t="shared" si="1"/>
        <v>39</v>
      </c>
      <c r="C39" s="58"/>
      <c r="D39" s="60" t="str">
        <f>IF(C33=" ","",VLOOKUP(C$33,Sheet1!$C$4:$D$25,2))</f>
        <v>2023-24</v>
      </c>
      <c r="E39" s="60" t="str">
        <f>IF(D33=" ","",VLOOKUP(D$33,Sheet1!$C$4:$D$25,2))</f>
        <v>2024-25</v>
      </c>
      <c r="F39" s="60" t="str">
        <f>IF(E33=" ","",VLOOKUP(E$33,Sheet1!$C$4:$D$25,2))</f>
        <v>2025-26</v>
      </c>
      <c r="G39" s="60" t="str">
        <f>IF(F33=" ","",VLOOKUP(F$33,Sheet1!$C$4:$D$25,2))</f>
        <v>2026-27</v>
      </c>
      <c r="CA39" s="50" t="s">
        <v>447</v>
      </c>
      <c r="CB39" s="50" t="s">
        <v>882</v>
      </c>
    </row>
    <row r="40" spans="1:80" x14ac:dyDescent="0.3">
      <c r="A40" s="48">
        <f t="shared" si="1"/>
        <v>40</v>
      </c>
      <c r="B40" s="163" t="s">
        <v>1032</v>
      </c>
      <c r="C40" s="164"/>
      <c r="D40" s="59">
        <f>ROUND((0.5262*D36)+(0.4738*C36),0)</f>
        <v>5200000</v>
      </c>
      <c r="E40" s="59">
        <f>ROUND((0.5262*E36)+(0.4738*D36),0)</f>
        <v>2463760</v>
      </c>
      <c r="F40" s="59">
        <f>ROUND((0.5262*F36)+(0.4738*E36),0)</f>
        <v>0</v>
      </c>
      <c r="G40" s="59">
        <f>ROUND((0.5262*G36)+(0.4738*F36),0)</f>
        <v>0</v>
      </c>
      <c r="CA40" s="50" t="s">
        <v>281</v>
      </c>
      <c r="CB40" s="50" t="s">
        <v>800</v>
      </c>
    </row>
    <row r="41" spans="1:80" ht="24.75" customHeight="1" x14ac:dyDescent="0.3">
      <c r="A41" s="48">
        <f t="shared" si="1"/>
        <v>41</v>
      </c>
      <c r="C41" s="58"/>
      <c r="D41" s="155" t="s">
        <v>619</v>
      </c>
      <c r="E41" s="155"/>
      <c r="F41" s="155"/>
      <c r="G41" s="155"/>
      <c r="CA41" s="50" t="s">
        <v>277</v>
      </c>
      <c r="CB41" s="50" t="s">
        <v>798</v>
      </c>
    </row>
    <row r="42" spans="1:80" x14ac:dyDescent="0.3">
      <c r="A42" s="48">
        <f t="shared" si="1"/>
        <v>42</v>
      </c>
      <c r="B42" s="156" t="s">
        <v>1033</v>
      </c>
      <c r="C42" s="156"/>
      <c r="D42" s="60" t="str">
        <f>D39</f>
        <v>2023-24</v>
      </c>
      <c r="E42" s="60" t="str">
        <f>E39</f>
        <v>2024-25</v>
      </c>
      <c r="F42" s="60" t="str">
        <f>F39</f>
        <v>2025-26</v>
      </c>
      <c r="G42" s="60" t="str">
        <f>G39</f>
        <v>2026-27</v>
      </c>
      <c r="CA42" s="50" t="s">
        <v>451</v>
      </c>
      <c r="CB42" s="50" t="s">
        <v>884</v>
      </c>
    </row>
    <row r="43" spans="1:80" x14ac:dyDescent="0.3">
      <c r="A43" s="48">
        <f t="shared" si="1"/>
        <v>43</v>
      </c>
      <c r="B43" s="161" t="s">
        <v>1034</v>
      </c>
      <c r="C43" s="162"/>
      <c r="D43" s="65"/>
      <c r="E43" s="65"/>
      <c r="F43" s="65"/>
      <c r="G43" s="65"/>
      <c r="CA43" s="50" t="s">
        <v>465</v>
      </c>
      <c r="CB43" s="50" t="s">
        <v>891</v>
      </c>
    </row>
    <row r="44" spans="1:80" x14ac:dyDescent="0.3">
      <c r="A44" s="48">
        <f t="shared" si="1"/>
        <v>44</v>
      </c>
      <c r="B44" s="161" t="s">
        <v>1035</v>
      </c>
      <c r="C44" s="162"/>
      <c r="D44" s="65"/>
      <c r="E44" s="65"/>
      <c r="F44" s="65"/>
      <c r="G44" s="65"/>
      <c r="CA44" s="50" t="s">
        <v>174</v>
      </c>
      <c r="CB44" s="50" t="s">
        <v>742</v>
      </c>
    </row>
    <row r="45" spans="1:80" x14ac:dyDescent="0.3">
      <c r="A45" s="48">
        <f t="shared" si="1"/>
        <v>45</v>
      </c>
      <c r="B45" s="161" t="s">
        <v>1036</v>
      </c>
      <c r="C45" s="162"/>
      <c r="D45" s="65"/>
      <c r="E45" s="65"/>
      <c r="F45" s="65"/>
      <c r="G45" s="65"/>
      <c r="CA45" s="50" t="s">
        <v>10</v>
      </c>
      <c r="CB45" s="50" t="s">
        <v>659</v>
      </c>
    </row>
    <row r="46" spans="1:80" x14ac:dyDescent="0.3">
      <c r="A46" s="48">
        <f t="shared" si="1"/>
        <v>46</v>
      </c>
      <c r="B46" s="161" t="s">
        <v>1037</v>
      </c>
      <c r="C46" s="162"/>
      <c r="D46" s="65"/>
      <c r="E46" s="65"/>
      <c r="F46" s="65"/>
      <c r="G46" s="65"/>
      <c r="CA46" s="50" t="s">
        <v>235</v>
      </c>
      <c r="CB46" s="50" t="s">
        <v>777</v>
      </c>
    </row>
    <row r="47" spans="1:80" x14ac:dyDescent="0.3">
      <c r="A47" s="48">
        <f t="shared" si="1"/>
        <v>47</v>
      </c>
      <c r="B47" s="161" t="s">
        <v>1038</v>
      </c>
      <c r="C47" s="162"/>
      <c r="D47" s="65"/>
      <c r="E47" s="65"/>
      <c r="F47" s="65"/>
      <c r="G47" s="65"/>
      <c r="CA47" s="50" t="s">
        <v>363</v>
      </c>
      <c r="CB47" s="50" t="s">
        <v>840</v>
      </c>
    </row>
    <row r="48" spans="1:80" x14ac:dyDescent="0.3">
      <c r="A48" s="48">
        <f t="shared" si="0"/>
        <v>48</v>
      </c>
      <c r="B48" s="161" t="s">
        <v>1039</v>
      </c>
      <c r="C48" s="162"/>
      <c r="D48" s="65"/>
      <c r="E48" s="65"/>
      <c r="F48" s="65"/>
      <c r="G48" s="65"/>
      <c r="CA48" s="50" t="s">
        <v>541</v>
      </c>
      <c r="CB48" s="50" t="s">
        <v>932</v>
      </c>
    </row>
    <row r="49" spans="1:80" x14ac:dyDescent="0.3">
      <c r="A49" s="48">
        <f t="shared" si="0"/>
        <v>49</v>
      </c>
      <c r="B49" s="161" t="s">
        <v>1040</v>
      </c>
      <c r="C49" s="162"/>
      <c r="D49" s="65"/>
      <c r="E49" s="65"/>
      <c r="F49" s="65"/>
      <c r="G49" s="65"/>
      <c r="CA49" s="50" t="s">
        <v>549</v>
      </c>
      <c r="CB49" s="50" t="s">
        <v>936</v>
      </c>
    </row>
    <row r="50" spans="1:80" x14ac:dyDescent="0.3">
      <c r="A50" s="48">
        <f t="shared" si="0"/>
        <v>50</v>
      </c>
      <c r="B50" s="161" t="s">
        <v>1041</v>
      </c>
      <c r="C50" s="162"/>
      <c r="D50" s="65"/>
      <c r="E50" s="65"/>
      <c r="F50" s="65"/>
      <c r="G50" s="65"/>
      <c r="CA50" s="50" t="s">
        <v>479</v>
      </c>
      <c r="CB50" s="50" t="s">
        <v>898</v>
      </c>
    </row>
    <row r="51" spans="1:80" x14ac:dyDescent="0.3">
      <c r="A51" s="48">
        <f t="shared" si="0"/>
        <v>51</v>
      </c>
      <c r="B51" s="163" t="s">
        <v>1042</v>
      </c>
      <c r="C51" s="164"/>
      <c r="D51" s="67">
        <f>SUM(D43:D50)</f>
        <v>0</v>
      </c>
      <c r="E51" s="67">
        <f t="shared" ref="E51:G51" si="3">SUM(E43:E50)</f>
        <v>0</v>
      </c>
      <c r="F51" s="67">
        <f t="shared" si="3"/>
        <v>0</v>
      </c>
      <c r="G51" s="67">
        <f t="shared" si="3"/>
        <v>0</v>
      </c>
      <c r="CA51" s="50" t="s">
        <v>513</v>
      </c>
      <c r="CB51" s="50" t="s">
        <v>917</v>
      </c>
    </row>
    <row r="52" spans="1:80" ht="27" customHeight="1" x14ac:dyDescent="0.3">
      <c r="A52" s="48">
        <f t="shared" si="0"/>
        <v>52</v>
      </c>
      <c r="C52" s="58"/>
      <c r="D52" s="155" t="s">
        <v>1043</v>
      </c>
      <c r="E52" s="155"/>
      <c r="F52" s="155"/>
      <c r="G52" s="155"/>
      <c r="CA52" s="50" t="s">
        <v>471</v>
      </c>
      <c r="CB52" s="50" t="s">
        <v>894</v>
      </c>
    </row>
    <row r="53" spans="1:80" x14ac:dyDescent="0.3">
      <c r="A53" s="48">
        <f t="shared" si="0"/>
        <v>53</v>
      </c>
      <c r="B53" s="156" t="s">
        <v>1044</v>
      </c>
      <c r="C53" s="156"/>
      <c r="D53" s="60" t="str">
        <f>D42</f>
        <v>2023-24</v>
      </c>
      <c r="E53" s="60" t="str">
        <f>E42</f>
        <v>2024-25</v>
      </c>
      <c r="F53" s="60" t="str">
        <f>F42</f>
        <v>2025-26</v>
      </c>
      <c r="G53" s="60" t="str">
        <f>G42</f>
        <v>2026-27</v>
      </c>
      <c r="CA53" s="50" t="s">
        <v>385</v>
      </c>
      <c r="CB53" s="50" t="s">
        <v>851</v>
      </c>
    </row>
    <row r="54" spans="1:80" x14ac:dyDescent="0.3">
      <c r="A54" s="48">
        <f t="shared" si="0"/>
        <v>54</v>
      </c>
      <c r="B54" s="161" t="s">
        <v>1045</v>
      </c>
      <c r="C54" s="162"/>
      <c r="D54" s="65"/>
      <c r="E54" s="65"/>
      <c r="F54" s="65"/>
      <c r="G54" s="65"/>
      <c r="CA54" s="50" t="s">
        <v>395</v>
      </c>
      <c r="CB54" s="50" t="s">
        <v>856</v>
      </c>
    </row>
    <row r="55" spans="1:80" x14ac:dyDescent="0.3">
      <c r="A55" s="48">
        <f t="shared" si="0"/>
        <v>55</v>
      </c>
      <c r="B55" s="161" t="s">
        <v>1046</v>
      </c>
      <c r="C55" s="162"/>
      <c r="D55" s="65"/>
      <c r="E55" s="65"/>
      <c r="F55" s="65"/>
      <c r="G55" s="65"/>
      <c r="CA55" s="50" t="s">
        <v>152</v>
      </c>
      <c r="CB55" s="50" t="s">
        <v>731</v>
      </c>
    </row>
    <row r="56" spans="1:80" x14ac:dyDescent="0.3">
      <c r="A56" s="48">
        <f t="shared" si="0"/>
        <v>56</v>
      </c>
      <c r="B56" s="161" t="s">
        <v>1047</v>
      </c>
      <c r="C56" s="162"/>
      <c r="D56" s="65"/>
      <c r="E56" s="65"/>
      <c r="F56" s="65"/>
      <c r="G56" s="65"/>
      <c r="CA56" s="50" t="s">
        <v>122</v>
      </c>
      <c r="CB56" s="50" t="s">
        <v>716</v>
      </c>
    </row>
    <row r="57" spans="1:80" x14ac:dyDescent="0.3">
      <c r="A57" s="48">
        <f t="shared" si="0"/>
        <v>57</v>
      </c>
      <c r="B57" s="165" t="s">
        <v>1048</v>
      </c>
      <c r="C57" s="162"/>
      <c r="D57" s="65"/>
      <c r="E57" s="65"/>
      <c r="F57" s="65"/>
      <c r="G57" s="65"/>
      <c r="CA57" s="50" t="s">
        <v>164</v>
      </c>
      <c r="CB57" s="50" t="s">
        <v>737</v>
      </c>
    </row>
    <row r="58" spans="1:80" x14ac:dyDescent="0.3">
      <c r="A58" s="48">
        <f t="shared" si="0"/>
        <v>58</v>
      </c>
      <c r="B58" s="161" t="s">
        <v>1049</v>
      </c>
      <c r="C58" s="162"/>
      <c r="D58" s="65"/>
      <c r="E58" s="65"/>
      <c r="F58" s="65"/>
      <c r="G58" s="65"/>
      <c r="CA58" s="50" t="s">
        <v>42</v>
      </c>
      <c r="CB58" s="50" t="s">
        <v>675</v>
      </c>
    </row>
    <row r="59" spans="1:80" x14ac:dyDescent="0.3">
      <c r="A59" s="48">
        <f t="shared" si="0"/>
        <v>59</v>
      </c>
      <c r="B59" s="161" t="s">
        <v>1050</v>
      </c>
      <c r="C59" s="162"/>
      <c r="D59" s="65"/>
      <c r="E59" s="65"/>
      <c r="F59" s="65"/>
      <c r="G59" s="65"/>
      <c r="CA59" s="50" t="s">
        <v>289</v>
      </c>
      <c r="CB59" s="50" t="s">
        <v>804</v>
      </c>
    </row>
    <row r="60" spans="1:80" x14ac:dyDescent="0.3">
      <c r="A60" s="48">
        <f t="shared" si="0"/>
        <v>60</v>
      </c>
      <c r="B60" s="161" t="s">
        <v>1051</v>
      </c>
      <c r="C60" s="162"/>
      <c r="D60" s="65"/>
      <c r="E60" s="65"/>
      <c r="F60" s="65"/>
      <c r="G60" s="65"/>
      <c r="CA60" s="50" t="s">
        <v>98</v>
      </c>
      <c r="CB60" s="50" t="s">
        <v>704</v>
      </c>
    </row>
    <row r="61" spans="1:80" x14ac:dyDescent="0.3">
      <c r="A61" s="48">
        <f t="shared" si="0"/>
        <v>61</v>
      </c>
      <c r="B61" s="163" t="s">
        <v>1052</v>
      </c>
      <c r="C61" s="164"/>
      <c r="D61" s="68"/>
      <c r="E61" s="68"/>
      <c r="F61" s="68"/>
      <c r="G61" s="68"/>
      <c r="CA61" s="50" t="s">
        <v>343</v>
      </c>
      <c r="CB61" s="50" t="s">
        <v>830</v>
      </c>
    </row>
    <row r="62" spans="1:80" x14ac:dyDescent="0.3">
      <c r="A62" s="48">
        <f t="shared" si="0"/>
        <v>62</v>
      </c>
      <c r="B62" s="163" t="s">
        <v>1053</v>
      </c>
      <c r="C62" s="164"/>
      <c r="D62" s="69">
        <f>D61-D51</f>
        <v>0</v>
      </c>
      <c r="E62" s="69">
        <f>E61-E51</f>
        <v>0</v>
      </c>
      <c r="F62" s="69">
        <f>F61-F51</f>
        <v>0</v>
      </c>
      <c r="G62" s="69">
        <f>G61-G51</f>
        <v>0</v>
      </c>
      <c r="CA62" s="50" t="s">
        <v>225</v>
      </c>
      <c r="CB62" s="50" t="s">
        <v>772</v>
      </c>
    </row>
    <row r="63" spans="1:80" x14ac:dyDescent="0.3">
      <c r="A63" s="48">
        <f t="shared" si="0"/>
        <v>63</v>
      </c>
      <c r="CA63" s="50" t="s">
        <v>429</v>
      </c>
      <c r="CB63" s="50" t="s">
        <v>873</v>
      </c>
    </row>
    <row r="64" spans="1:80" x14ac:dyDescent="0.3">
      <c r="A64" s="48">
        <f t="shared" si="0"/>
        <v>64</v>
      </c>
      <c r="B64" s="156" t="s">
        <v>1054</v>
      </c>
      <c r="C64" s="156"/>
      <c r="D64" s="70">
        <f>(D51-D40)</f>
        <v>-5200000</v>
      </c>
      <c r="E64" s="70">
        <f>(E51-E40)</f>
        <v>-2463760</v>
      </c>
      <c r="F64" s="70">
        <f>(F51-F40)</f>
        <v>0</v>
      </c>
      <c r="G64" s="70">
        <f>(G51-G40)</f>
        <v>0</v>
      </c>
      <c r="CA64" s="50" t="s">
        <v>297</v>
      </c>
      <c r="CB64" s="50" t="s">
        <v>808</v>
      </c>
    </row>
    <row r="65" spans="1:80" x14ac:dyDescent="0.3">
      <c r="A65" s="48">
        <f t="shared" si="0"/>
        <v>65</v>
      </c>
      <c r="B65" s="55"/>
      <c r="CA65" s="50" t="s">
        <v>68</v>
      </c>
      <c r="CB65" s="50" t="s">
        <v>689</v>
      </c>
    </row>
    <row r="66" spans="1:80" x14ac:dyDescent="0.3">
      <c r="A66" s="48">
        <f t="shared" si="0"/>
        <v>66</v>
      </c>
      <c r="B66" s="160" t="s">
        <v>1055</v>
      </c>
      <c r="C66" s="160"/>
      <c r="CA66" s="50" t="s">
        <v>459</v>
      </c>
      <c r="CB66" s="50" t="s">
        <v>888</v>
      </c>
    </row>
    <row r="67" spans="1:80" x14ac:dyDescent="0.3">
      <c r="A67" s="48">
        <f t="shared" si="0"/>
        <v>67</v>
      </c>
      <c r="B67" s="54"/>
      <c r="D67" s="50" t="s">
        <v>1056</v>
      </c>
      <c r="CA67" s="50" t="s">
        <v>359</v>
      </c>
      <c r="CB67" s="50" t="s">
        <v>838</v>
      </c>
    </row>
    <row r="68" spans="1:80" x14ac:dyDescent="0.3">
      <c r="A68" s="48">
        <f t="shared" ref="A68:A75" si="4">A67+1</f>
        <v>68</v>
      </c>
      <c r="C68" s="55"/>
      <c r="D68" s="55" t="s">
        <v>1057</v>
      </c>
      <c r="E68" s="159"/>
      <c r="F68" s="159"/>
      <c r="G68" s="159"/>
      <c r="CA68" s="50" t="s">
        <v>505</v>
      </c>
      <c r="CB68" s="50" t="s">
        <v>913</v>
      </c>
    </row>
    <row r="69" spans="1:80" x14ac:dyDescent="0.3">
      <c r="A69" s="48">
        <f t="shared" si="4"/>
        <v>69</v>
      </c>
      <c r="C69" s="55"/>
      <c r="D69" s="55" t="s">
        <v>1058</v>
      </c>
      <c r="E69" s="159"/>
      <c r="F69" s="159"/>
      <c r="G69" s="159"/>
      <c r="CA69" s="50" t="s">
        <v>453</v>
      </c>
      <c r="CB69" s="50" t="s">
        <v>885</v>
      </c>
    </row>
    <row r="70" spans="1:80" ht="24" customHeight="1" x14ac:dyDescent="0.3">
      <c r="A70" s="48">
        <f t="shared" si="4"/>
        <v>70</v>
      </c>
      <c r="C70" s="55"/>
      <c r="D70" s="55"/>
      <c r="E70" s="50" t="s">
        <v>1059</v>
      </c>
      <c r="CA70" s="50" t="s">
        <v>565</v>
      </c>
      <c r="CB70" s="50" t="s">
        <v>944</v>
      </c>
    </row>
    <row r="71" spans="1:80" x14ac:dyDescent="0.3">
      <c r="A71" s="48">
        <f t="shared" si="4"/>
        <v>71</v>
      </c>
      <c r="C71" s="55"/>
      <c r="D71" s="55" t="s">
        <v>1060</v>
      </c>
      <c r="E71" s="71"/>
      <c r="CA71" s="50" t="s">
        <v>90</v>
      </c>
      <c r="CB71" s="50" t="s">
        <v>700</v>
      </c>
    </row>
    <row r="72" spans="1:80" x14ac:dyDescent="0.3">
      <c r="A72" s="48">
        <f t="shared" si="4"/>
        <v>72</v>
      </c>
      <c r="CA72" s="50" t="s">
        <v>227</v>
      </c>
      <c r="CB72" s="50" t="s">
        <v>773</v>
      </c>
    </row>
    <row r="73" spans="1:80" x14ac:dyDescent="0.3">
      <c r="A73" s="48">
        <f t="shared" si="4"/>
        <v>73</v>
      </c>
      <c r="B73" s="160" t="s">
        <v>1061</v>
      </c>
      <c r="C73" s="160"/>
      <c r="CA73" s="50" t="s">
        <v>371</v>
      </c>
      <c r="CB73" s="50" t="s">
        <v>844</v>
      </c>
    </row>
    <row r="74" spans="1:80" ht="33" x14ac:dyDescent="0.3">
      <c r="A74" s="48">
        <f t="shared" si="4"/>
        <v>74</v>
      </c>
      <c r="C74" s="72"/>
      <c r="D74" s="72" t="s">
        <v>1062</v>
      </c>
      <c r="E74" s="73"/>
      <c r="F74" s="74" t="s">
        <v>1063</v>
      </c>
      <c r="G74" s="73"/>
      <c r="CA74" s="50" t="s">
        <v>413</v>
      </c>
      <c r="CB74" s="50" t="s">
        <v>865</v>
      </c>
    </row>
    <row r="75" spans="1:80" ht="23.45" customHeight="1" x14ac:dyDescent="0.3">
      <c r="A75" s="48">
        <f t="shared" si="4"/>
        <v>75</v>
      </c>
      <c r="C75" s="55"/>
      <c r="D75" s="55" t="s">
        <v>1060</v>
      </c>
      <c r="E75" s="71"/>
      <c r="F75" s="55" t="s">
        <v>1060</v>
      </c>
      <c r="G75" s="71"/>
      <c r="CA75" s="50" t="s">
        <v>231</v>
      </c>
      <c r="CB75" s="50" t="s">
        <v>775</v>
      </c>
    </row>
    <row r="76" spans="1:80" x14ac:dyDescent="0.3">
      <c r="CA76" s="50" t="s">
        <v>146</v>
      </c>
      <c r="CB76" s="50" t="s">
        <v>728</v>
      </c>
    </row>
    <row r="77" spans="1:80" x14ac:dyDescent="0.3">
      <c r="CA77" s="50" t="s">
        <v>551</v>
      </c>
      <c r="CB77" s="50" t="s">
        <v>937</v>
      </c>
    </row>
    <row r="78" spans="1:80" x14ac:dyDescent="0.3">
      <c r="CA78" s="50" t="s">
        <v>30</v>
      </c>
      <c r="CB78" s="50" t="s">
        <v>669</v>
      </c>
    </row>
    <row r="79" spans="1:80" x14ac:dyDescent="0.3">
      <c r="CA79" s="50" t="s">
        <v>182</v>
      </c>
      <c r="CB79" s="50" t="s">
        <v>746</v>
      </c>
    </row>
    <row r="80" spans="1:80" x14ac:dyDescent="0.3">
      <c r="CA80" s="50" t="s">
        <v>130</v>
      </c>
      <c r="CB80" s="50" t="s">
        <v>720</v>
      </c>
    </row>
    <row r="81" spans="79:80" x14ac:dyDescent="0.3">
      <c r="CA81" s="50" t="s">
        <v>259</v>
      </c>
      <c r="CB81" s="50" t="s">
        <v>789</v>
      </c>
    </row>
    <row r="82" spans="79:80" x14ac:dyDescent="0.3">
      <c r="CA82" s="50" t="s">
        <v>407</v>
      </c>
      <c r="CB82" s="50" t="s">
        <v>862</v>
      </c>
    </row>
    <row r="83" spans="79:80" x14ac:dyDescent="0.3">
      <c r="CA83" s="50" t="s">
        <v>60</v>
      </c>
      <c r="CB83" s="50" t="s">
        <v>685</v>
      </c>
    </row>
    <row r="84" spans="79:80" x14ac:dyDescent="0.3">
      <c r="CA84" s="50" t="s">
        <v>477</v>
      </c>
      <c r="CB84" s="50" t="s">
        <v>897</v>
      </c>
    </row>
    <row r="85" spans="79:80" x14ac:dyDescent="0.3">
      <c r="CA85" s="50" t="s">
        <v>180</v>
      </c>
      <c r="CB85" s="50" t="s">
        <v>745</v>
      </c>
    </row>
    <row r="86" spans="79:80" x14ac:dyDescent="0.3">
      <c r="CA86" s="50" t="s">
        <v>521</v>
      </c>
      <c r="CB86" s="50" t="s">
        <v>921</v>
      </c>
    </row>
    <row r="87" spans="79:80" x14ac:dyDescent="0.3">
      <c r="CA87" s="50" t="s">
        <v>375</v>
      </c>
      <c r="CB87" s="50" t="s">
        <v>846</v>
      </c>
    </row>
    <row r="88" spans="79:80" x14ac:dyDescent="0.3">
      <c r="CA88" s="50" t="s">
        <v>20</v>
      </c>
      <c r="CB88" s="50" t="s">
        <v>664</v>
      </c>
    </row>
    <row r="89" spans="79:80" x14ac:dyDescent="0.3">
      <c r="CA89" s="50" t="s">
        <v>367</v>
      </c>
      <c r="CB89" s="50" t="s">
        <v>842</v>
      </c>
    </row>
    <row r="90" spans="79:80" x14ac:dyDescent="0.3">
      <c r="CA90" s="50" t="s">
        <v>449</v>
      </c>
      <c r="CB90" s="50" t="s">
        <v>883</v>
      </c>
    </row>
    <row r="91" spans="79:80" x14ac:dyDescent="0.3">
      <c r="CA91" s="50" t="s">
        <v>545</v>
      </c>
      <c r="CB91" s="50" t="s">
        <v>934</v>
      </c>
    </row>
    <row r="92" spans="79:80" x14ac:dyDescent="0.3">
      <c r="CA92" s="50" t="s">
        <v>245</v>
      </c>
      <c r="CB92" s="50" t="s">
        <v>782</v>
      </c>
    </row>
    <row r="93" spans="79:80" x14ac:dyDescent="0.3">
      <c r="CA93" s="50" t="s">
        <v>251</v>
      </c>
      <c r="CB93" s="50" t="s">
        <v>785</v>
      </c>
    </row>
    <row r="94" spans="79:80" x14ac:dyDescent="0.3">
      <c r="CA94" s="50" t="s">
        <v>134</v>
      </c>
      <c r="CB94" s="50" t="s">
        <v>722</v>
      </c>
    </row>
    <row r="95" spans="79:80" x14ac:dyDescent="0.3">
      <c r="CA95" s="50" t="s">
        <v>571</v>
      </c>
      <c r="CB95" s="50" t="s">
        <v>947</v>
      </c>
    </row>
    <row r="96" spans="79:80" x14ac:dyDescent="0.3">
      <c r="CA96" s="50" t="s">
        <v>579</v>
      </c>
      <c r="CB96" s="50" t="s">
        <v>951</v>
      </c>
    </row>
    <row r="97" spans="79:80" x14ac:dyDescent="0.3">
      <c r="CA97" s="50" t="s">
        <v>431</v>
      </c>
      <c r="CB97" s="50" t="s">
        <v>874</v>
      </c>
    </row>
    <row r="98" spans="79:80" x14ac:dyDescent="0.3">
      <c r="CA98" s="50" t="s">
        <v>301</v>
      </c>
      <c r="CB98" s="50" t="s">
        <v>810</v>
      </c>
    </row>
    <row r="99" spans="79:80" x14ac:dyDescent="0.3">
      <c r="CA99" s="50" t="s">
        <v>439</v>
      </c>
      <c r="CB99" s="50" t="s">
        <v>878</v>
      </c>
    </row>
    <row r="100" spans="79:80" x14ac:dyDescent="0.3">
      <c r="CA100" s="50" t="s">
        <v>56</v>
      </c>
      <c r="CB100" s="50" t="s">
        <v>683</v>
      </c>
    </row>
    <row r="101" spans="79:80" x14ac:dyDescent="0.3">
      <c r="CA101" s="50" t="s">
        <v>497</v>
      </c>
      <c r="CB101" s="50" t="s">
        <v>907</v>
      </c>
    </row>
    <row r="102" spans="79:80" x14ac:dyDescent="0.3">
      <c r="CA102" s="50" t="s">
        <v>295</v>
      </c>
      <c r="CB102" s="50" t="s">
        <v>807</v>
      </c>
    </row>
    <row r="103" spans="79:80" x14ac:dyDescent="0.3">
      <c r="CA103" s="50" t="s">
        <v>577</v>
      </c>
      <c r="CB103" s="50" t="s">
        <v>950</v>
      </c>
    </row>
    <row r="104" spans="79:80" x14ac:dyDescent="0.3">
      <c r="CA104" s="50" t="s">
        <v>186</v>
      </c>
      <c r="CB104" s="50" t="s">
        <v>748</v>
      </c>
    </row>
    <row r="105" spans="79:80" x14ac:dyDescent="0.3">
      <c r="CA105" s="50" t="s">
        <v>52</v>
      </c>
      <c r="CB105" s="50" t="s">
        <v>682</v>
      </c>
    </row>
    <row r="106" spans="79:80" x14ac:dyDescent="0.3">
      <c r="CA106" s="50" t="s">
        <v>311</v>
      </c>
      <c r="CB106" s="50" t="s">
        <v>815</v>
      </c>
    </row>
    <row r="107" spans="79:80" x14ac:dyDescent="0.3">
      <c r="CA107" s="50" t="s">
        <v>138</v>
      </c>
      <c r="CB107" s="50" t="s">
        <v>724</v>
      </c>
    </row>
    <row r="108" spans="79:80" x14ac:dyDescent="0.3">
      <c r="CA108" s="50" t="s">
        <v>102</v>
      </c>
      <c r="CB108" s="50" t="s">
        <v>706</v>
      </c>
    </row>
    <row r="109" spans="79:80" x14ac:dyDescent="0.3">
      <c r="CA109" s="50" t="s">
        <v>419</v>
      </c>
      <c r="CB109" s="50" t="s">
        <v>868</v>
      </c>
    </row>
    <row r="110" spans="79:80" x14ac:dyDescent="0.3">
      <c r="CA110" s="50" t="s">
        <v>205</v>
      </c>
      <c r="CB110" s="50" t="s">
        <v>758</v>
      </c>
    </row>
    <row r="111" spans="79:80" x14ac:dyDescent="0.3">
      <c r="CA111" s="50" t="s">
        <v>112</v>
      </c>
      <c r="CB111" s="50" t="s">
        <v>711</v>
      </c>
    </row>
    <row r="112" spans="79:80" x14ac:dyDescent="0.3">
      <c r="CA112" s="50" t="s">
        <v>78</v>
      </c>
      <c r="CB112" s="50" t="s">
        <v>694</v>
      </c>
    </row>
    <row r="113" spans="79:80" x14ac:dyDescent="0.3">
      <c r="CA113" s="50" t="s">
        <v>96</v>
      </c>
      <c r="CB113" s="50" t="s">
        <v>703</v>
      </c>
    </row>
    <row r="114" spans="79:80" x14ac:dyDescent="0.3">
      <c r="CA114" s="50" t="s">
        <v>82</v>
      </c>
      <c r="CB114" s="50" t="s">
        <v>696</v>
      </c>
    </row>
    <row r="115" spans="79:80" x14ac:dyDescent="0.3">
      <c r="CA115" s="50" t="s">
        <v>14</v>
      </c>
      <c r="CB115" s="50" t="s">
        <v>661</v>
      </c>
    </row>
    <row r="116" spans="79:80" x14ac:dyDescent="0.3">
      <c r="CA116" s="50" t="s">
        <v>211</v>
      </c>
      <c r="CB116" s="50" t="s">
        <v>761</v>
      </c>
    </row>
    <row r="117" spans="79:80" x14ac:dyDescent="0.3">
      <c r="CA117" s="50" t="s">
        <v>485</v>
      </c>
      <c r="CB117" s="50" t="s">
        <v>901</v>
      </c>
    </row>
    <row r="118" spans="79:80" x14ac:dyDescent="0.3">
      <c r="CA118" s="50" t="s">
        <v>18</v>
      </c>
      <c r="CB118" s="50" t="s">
        <v>663</v>
      </c>
    </row>
    <row r="119" spans="79:80" x14ac:dyDescent="0.3">
      <c r="CA119" s="50" t="s">
        <v>233</v>
      </c>
      <c r="CB119" s="50" t="s">
        <v>776</v>
      </c>
    </row>
    <row r="120" spans="79:80" x14ac:dyDescent="0.3">
      <c r="CA120" s="50" t="s">
        <v>247</v>
      </c>
      <c r="CB120" s="50" t="s">
        <v>783</v>
      </c>
    </row>
    <row r="121" spans="79:80" x14ac:dyDescent="0.3">
      <c r="CA121" s="50" t="s">
        <v>54</v>
      </c>
      <c r="CB121" s="50" t="s">
        <v>957</v>
      </c>
    </row>
    <row r="122" spans="79:80" x14ac:dyDescent="0.3">
      <c r="CA122" s="50" t="s">
        <v>393</v>
      </c>
      <c r="CB122" s="50" t="s">
        <v>855</v>
      </c>
    </row>
    <row r="123" spans="79:80" x14ac:dyDescent="0.3">
      <c r="CA123" s="50" t="s">
        <v>533</v>
      </c>
      <c r="CB123" s="50" t="s">
        <v>958</v>
      </c>
    </row>
    <row r="124" spans="79:80" x14ac:dyDescent="0.3">
      <c r="CA124" s="50" t="s">
        <v>32</v>
      </c>
      <c r="CB124" s="50" t="s">
        <v>670</v>
      </c>
    </row>
    <row r="125" spans="79:80" x14ac:dyDescent="0.3">
      <c r="CA125" s="50" t="s">
        <v>150</v>
      </c>
      <c r="CB125" s="50" t="s">
        <v>730</v>
      </c>
    </row>
    <row r="126" spans="79:80" x14ac:dyDescent="0.3">
      <c r="CA126" s="50" t="s">
        <v>409</v>
      </c>
      <c r="CB126" s="50" t="s">
        <v>863</v>
      </c>
    </row>
    <row r="127" spans="79:80" x14ac:dyDescent="0.3">
      <c r="CA127" s="50" t="s">
        <v>209</v>
      </c>
      <c r="CB127" s="50" t="s">
        <v>760</v>
      </c>
    </row>
    <row r="128" spans="79:80" x14ac:dyDescent="0.3">
      <c r="CA128" s="50" t="s">
        <v>425</v>
      </c>
      <c r="CB128" s="50" t="s">
        <v>871</v>
      </c>
    </row>
    <row r="129" spans="79:80" x14ac:dyDescent="0.3">
      <c r="CA129" s="50" t="s">
        <v>535</v>
      </c>
      <c r="CB129" s="50" t="s">
        <v>929</v>
      </c>
    </row>
    <row r="130" spans="79:80" x14ac:dyDescent="0.3">
      <c r="CA130" s="50" t="s">
        <v>455</v>
      </c>
      <c r="CB130" s="50" t="s">
        <v>886</v>
      </c>
    </row>
    <row r="131" spans="79:80" x14ac:dyDescent="0.3">
      <c r="CA131" s="50" t="s">
        <v>6</v>
      </c>
      <c r="CB131" s="50" t="s">
        <v>657</v>
      </c>
    </row>
    <row r="132" spans="79:80" x14ac:dyDescent="0.3">
      <c r="CA132" s="50" t="s">
        <v>72</v>
      </c>
      <c r="CB132" s="50" t="s">
        <v>691</v>
      </c>
    </row>
    <row r="133" spans="79:80" x14ac:dyDescent="0.3">
      <c r="CA133" s="50" t="s">
        <v>473</v>
      </c>
      <c r="CB133" s="50" t="s">
        <v>895</v>
      </c>
    </row>
    <row r="134" spans="79:80" x14ac:dyDescent="0.3">
      <c r="CA134" s="50" t="s">
        <v>381</v>
      </c>
      <c r="CB134" s="50" t="s">
        <v>849</v>
      </c>
    </row>
    <row r="135" spans="79:80" x14ac:dyDescent="0.3">
      <c r="CA135" s="50" t="s">
        <v>255</v>
      </c>
      <c r="CB135" s="50" t="s">
        <v>787</v>
      </c>
    </row>
    <row r="136" spans="79:80" x14ac:dyDescent="0.3">
      <c r="CA136" s="50" t="s">
        <v>525</v>
      </c>
      <c r="CB136" s="50" t="s">
        <v>923</v>
      </c>
    </row>
    <row r="137" spans="79:80" x14ac:dyDescent="0.3">
      <c r="CA137" s="50" t="s">
        <v>569</v>
      </c>
      <c r="CB137" s="50" t="s">
        <v>946</v>
      </c>
    </row>
    <row r="138" spans="79:80" x14ac:dyDescent="0.3">
      <c r="CA138" s="50" t="s">
        <v>92</v>
      </c>
      <c r="CB138" s="50" t="s">
        <v>701</v>
      </c>
    </row>
    <row r="139" spans="79:80" x14ac:dyDescent="0.3">
      <c r="CA139" s="50" t="s">
        <v>26</v>
      </c>
      <c r="CB139" s="50" t="s">
        <v>667</v>
      </c>
    </row>
    <row r="140" spans="79:80" x14ac:dyDescent="0.3">
      <c r="CA140" s="50" t="s">
        <v>305</v>
      </c>
      <c r="CB140" s="50" t="s">
        <v>812</v>
      </c>
    </row>
    <row r="141" spans="79:80" x14ac:dyDescent="0.3">
      <c r="CA141" s="50" t="s">
        <v>481</v>
      </c>
      <c r="CB141" s="50" t="s">
        <v>899</v>
      </c>
    </row>
    <row r="142" spans="79:80" x14ac:dyDescent="0.3">
      <c r="CA142" s="50" t="s">
        <v>417</v>
      </c>
      <c r="CB142" s="50" t="s">
        <v>867</v>
      </c>
    </row>
    <row r="143" spans="79:80" x14ac:dyDescent="0.3">
      <c r="CA143" s="50" t="s">
        <v>142</v>
      </c>
      <c r="CB143" s="50" t="s">
        <v>726</v>
      </c>
    </row>
    <row r="144" spans="79:80" x14ac:dyDescent="0.3">
      <c r="CA144" s="50" t="s">
        <v>445</v>
      </c>
      <c r="CB144" s="50" t="s">
        <v>881</v>
      </c>
    </row>
    <row r="145" spans="79:80" x14ac:dyDescent="0.3">
      <c r="CA145" s="50" t="s">
        <v>443</v>
      </c>
      <c r="CB145" s="50" t="s">
        <v>880</v>
      </c>
    </row>
    <row r="146" spans="79:80" x14ac:dyDescent="0.3">
      <c r="CA146" s="50" t="s">
        <v>184</v>
      </c>
      <c r="CB146" s="50" t="s">
        <v>747</v>
      </c>
    </row>
    <row r="147" spans="79:80" x14ac:dyDescent="0.3">
      <c r="CA147" s="50" t="s">
        <v>527</v>
      </c>
      <c r="CB147" s="50" t="s">
        <v>924</v>
      </c>
    </row>
    <row r="148" spans="79:80" x14ac:dyDescent="0.3">
      <c r="CA148" s="50" t="s">
        <v>323</v>
      </c>
      <c r="CB148" s="50" t="s">
        <v>820</v>
      </c>
    </row>
    <row r="149" spans="79:80" x14ac:dyDescent="0.3">
      <c r="CA149" s="50" t="s">
        <v>403</v>
      </c>
      <c r="CB149" s="50" t="s">
        <v>860</v>
      </c>
    </row>
    <row r="150" spans="79:80" x14ac:dyDescent="0.3">
      <c r="CA150" s="50" t="s">
        <v>421</v>
      </c>
      <c r="CB150" s="50" t="s">
        <v>869</v>
      </c>
    </row>
    <row r="151" spans="79:80" x14ac:dyDescent="0.3">
      <c r="CA151" s="50" t="s">
        <v>144</v>
      </c>
      <c r="CB151" s="50" t="s">
        <v>727</v>
      </c>
    </row>
    <row r="152" spans="79:80" x14ac:dyDescent="0.3">
      <c r="CA152" s="50" t="s">
        <v>263</v>
      </c>
      <c r="CB152" s="50" t="s">
        <v>791</v>
      </c>
    </row>
    <row r="153" spans="79:80" x14ac:dyDescent="0.3">
      <c r="CA153" s="50" t="s">
        <v>128</v>
      </c>
      <c r="CB153" s="50" t="s">
        <v>719</v>
      </c>
    </row>
    <row r="154" spans="79:80" x14ac:dyDescent="0.3">
      <c r="CA154" s="50" t="s">
        <v>261</v>
      </c>
      <c r="CB154" s="50" t="s">
        <v>790</v>
      </c>
    </row>
    <row r="155" spans="79:80" x14ac:dyDescent="0.3">
      <c r="CA155" s="50" t="s">
        <v>587</v>
      </c>
      <c r="CB155" s="50" t="s">
        <v>955</v>
      </c>
    </row>
    <row r="156" spans="79:80" x14ac:dyDescent="0.3">
      <c r="CA156" s="50" t="s">
        <v>531</v>
      </c>
      <c r="CB156" s="50" t="s">
        <v>926</v>
      </c>
    </row>
    <row r="157" spans="79:80" x14ac:dyDescent="0.3">
      <c r="CA157" s="50" t="s">
        <v>401</v>
      </c>
      <c r="CB157" s="50" t="s">
        <v>859</v>
      </c>
    </row>
    <row r="158" spans="79:80" x14ac:dyDescent="0.3">
      <c r="CA158" s="50" t="s">
        <v>397</v>
      </c>
      <c r="CB158" s="50" t="s">
        <v>857</v>
      </c>
    </row>
    <row r="159" spans="79:80" x14ac:dyDescent="0.3">
      <c r="CA159" s="50" t="s">
        <v>411</v>
      </c>
      <c r="CB159" s="50" t="s">
        <v>864</v>
      </c>
    </row>
    <row r="160" spans="79:80" x14ac:dyDescent="0.3">
      <c r="CA160" s="50" t="s">
        <v>561</v>
      </c>
      <c r="CB160" s="50" t="s">
        <v>942</v>
      </c>
    </row>
    <row r="161" spans="79:80" x14ac:dyDescent="0.3">
      <c r="CA161" s="50" t="s">
        <v>257</v>
      </c>
      <c r="CB161" s="50" t="s">
        <v>788</v>
      </c>
    </row>
    <row r="162" spans="79:80" x14ac:dyDescent="0.3">
      <c r="CA162" s="50" t="s">
        <v>335</v>
      </c>
      <c r="CB162" s="50" t="s">
        <v>826</v>
      </c>
    </row>
    <row r="163" spans="79:80" x14ac:dyDescent="0.3">
      <c r="CA163" s="50" t="s">
        <v>313</v>
      </c>
      <c r="CB163" s="50" t="s">
        <v>1064</v>
      </c>
    </row>
    <row r="164" spans="79:80" x14ac:dyDescent="0.3">
      <c r="CA164" s="50" t="s">
        <v>341</v>
      </c>
      <c r="CB164" s="50" t="s">
        <v>829</v>
      </c>
    </row>
    <row r="165" spans="79:80" x14ac:dyDescent="0.3">
      <c r="CA165" s="50" t="s">
        <v>441</v>
      </c>
      <c r="CB165" s="50" t="s">
        <v>879</v>
      </c>
    </row>
    <row r="166" spans="79:80" x14ac:dyDescent="0.3">
      <c r="CA166" s="50" t="s">
        <v>529</v>
      </c>
      <c r="CB166" s="50" t="s">
        <v>925</v>
      </c>
    </row>
    <row r="167" spans="79:80" x14ac:dyDescent="0.3">
      <c r="CA167" s="50" t="s">
        <v>140</v>
      </c>
      <c r="CB167" s="50" t="s">
        <v>725</v>
      </c>
    </row>
    <row r="168" spans="79:80" x14ac:dyDescent="0.3">
      <c r="CA168" s="50" t="s">
        <v>108</v>
      </c>
      <c r="CB168" s="50" t="s">
        <v>709</v>
      </c>
    </row>
    <row r="169" spans="79:80" x14ac:dyDescent="0.3">
      <c r="CA169" s="50" t="s">
        <v>219</v>
      </c>
      <c r="CB169" s="50" t="s">
        <v>767</v>
      </c>
    </row>
    <row r="170" spans="79:80" x14ac:dyDescent="0.3">
      <c r="CA170" s="50" t="s">
        <v>309</v>
      </c>
      <c r="CB170" s="50" t="s">
        <v>814</v>
      </c>
    </row>
    <row r="171" spans="79:80" x14ac:dyDescent="0.3">
      <c r="CA171" s="50" t="s">
        <v>339</v>
      </c>
      <c r="CB171" s="50" t="s">
        <v>828</v>
      </c>
    </row>
    <row r="172" spans="79:80" x14ac:dyDescent="0.3">
      <c r="CA172" s="50" t="s">
        <v>489</v>
      </c>
      <c r="CB172" s="50" t="s">
        <v>903</v>
      </c>
    </row>
    <row r="173" spans="79:80" x14ac:dyDescent="0.3">
      <c r="CA173" s="50" t="s">
        <v>483</v>
      </c>
      <c r="CB173" s="50" t="s">
        <v>900</v>
      </c>
    </row>
    <row r="174" spans="79:80" x14ac:dyDescent="0.3">
      <c r="CA174" s="50" t="s">
        <v>213</v>
      </c>
      <c r="CB174" s="50" t="s">
        <v>762</v>
      </c>
    </row>
    <row r="175" spans="79:80" x14ac:dyDescent="0.3">
      <c r="CA175" s="50" t="s">
        <v>162</v>
      </c>
      <c r="CB175" s="50" t="s">
        <v>736</v>
      </c>
    </row>
    <row r="176" spans="79:80" x14ac:dyDescent="0.3">
      <c r="CA176" s="50" t="s">
        <v>557</v>
      </c>
      <c r="CB176" s="50" t="s">
        <v>940</v>
      </c>
    </row>
    <row r="177" spans="79:80" x14ac:dyDescent="0.3">
      <c r="CA177" s="50" t="s">
        <v>160</v>
      </c>
      <c r="CB177" s="50" t="s">
        <v>735</v>
      </c>
    </row>
    <row r="178" spans="79:80" x14ac:dyDescent="0.3">
      <c r="CA178" s="50" t="s">
        <v>329</v>
      </c>
      <c r="CB178" s="50" t="s">
        <v>823</v>
      </c>
    </row>
    <row r="179" spans="79:80" x14ac:dyDescent="0.3">
      <c r="CA179" s="50" t="s">
        <v>158</v>
      </c>
      <c r="CB179" s="50" t="s">
        <v>734</v>
      </c>
    </row>
    <row r="180" spans="79:80" x14ac:dyDescent="0.3">
      <c r="CA180" s="50" t="s">
        <v>291</v>
      </c>
      <c r="CB180" s="50" t="s">
        <v>805</v>
      </c>
    </row>
    <row r="181" spans="79:80" x14ac:dyDescent="0.3">
      <c r="CA181" s="50" t="s">
        <v>317</v>
      </c>
      <c r="CB181" s="50" t="s">
        <v>817</v>
      </c>
    </row>
    <row r="182" spans="79:80" x14ac:dyDescent="0.3">
      <c r="CA182" s="50" t="s">
        <v>493</v>
      </c>
      <c r="CB182" s="50" t="s">
        <v>905</v>
      </c>
    </row>
    <row r="183" spans="79:80" x14ac:dyDescent="0.3">
      <c r="CA183" s="50" t="s">
        <v>315</v>
      </c>
      <c r="CB183" s="50" t="s">
        <v>816</v>
      </c>
    </row>
    <row r="184" spans="79:80" x14ac:dyDescent="0.3">
      <c r="CA184" s="50" t="s">
        <v>273</v>
      </c>
      <c r="CB184" s="50" t="s">
        <v>796</v>
      </c>
    </row>
    <row r="185" spans="79:80" x14ac:dyDescent="0.3">
      <c r="CA185" s="50" t="s">
        <v>463</v>
      </c>
      <c r="CB185" s="50" t="s">
        <v>890</v>
      </c>
    </row>
    <row r="186" spans="79:80" x14ac:dyDescent="0.3">
      <c r="CA186" s="50" t="s">
        <v>379</v>
      </c>
      <c r="CB186" s="50" t="s">
        <v>848</v>
      </c>
    </row>
    <row r="187" spans="79:80" x14ac:dyDescent="0.3">
      <c r="CA187" s="50" t="s">
        <v>437</v>
      </c>
      <c r="CB187" s="50" t="s">
        <v>877</v>
      </c>
    </row>
    <row r="188" spans="79:80" x14ac:dyDescent="0.3">
      <c r="CA188" s="50" t="s">
        <v>100</v>
      </c>
      <c r="CB188" s="50" t="s">
        <v>705</v>
      </c>
    </row>
    <row r="189" spans="79:80" x14ac:dyDescent="0.3">
      <c r="CA189" s="50" t="s">
        <v>84</v>
      </c>
      <c r="CB189" s="50" t="s">
        <v>697</v>
      </c>
    </row>
    <row r="190" spans="79:80" x14ac:dyDescent="0.3">
      <c r="CA190" s="50" t="s">
        <v>327</v>
      </c>
      <c r="CB190" s="50" t="s">
        <v>822</v>
      </c>
    </row>
    <row r="191" spans="79:80" x14ac:dyDescent="0.3">
      <c r="CA191" s="50" t="s">
        <v>361</v>
      </c>
      <c r="CB191" s="50" t="s">
        <v>839</v>
      </c>
    </row>
    <row r="192" spans="79:80" x14ac:dyDescent="0.3">
      <c r="CA192" s="50" t="s">
        <v>4</v>
      </c>
      <c r="CB192" s="50" t="s">
        <v>656</v>
      </c>
    </row>
    <row r="193" spans="79:80" x14ac:dyDescent="0.3">
      <c r="CA193" s="50" t="s">
        <v>88</v>
      </c>
      <c r="CB193" s="50" t="s">
        <v>699</v>
      </c>
    </row>
    <row r="194" spans="79:80" x14ac:dyDescent="0.3">
      <c r="CA194" s="50" t="s">
        <v>543</v>
      </c>
      <c r="CB194" s="50" t="s">
        <v>933</v>
      </c>
    </row>
    <row r="195" spans="79:80" x14ac:dyDescent="0.3">
      <c r="CA195" s="50" t="s">
        <v>106</v>
      </c>
      <c r="CB195" s="50" t="s">
        <v>708</v>
      </c>
    </row>
    <row r="196" spans="79:80" x14ac:dyDescent="0.3">
      <c r="CA196" s="50" t="s">
        <v>321</v>
      </c>
      <c r="CB196" s="50" t="s">
        <v>819</v>
      </c>
    </row>
    <row r="197" spans="79:80" x14ac:dyDescent="0.3">
      <c r="CA197" s="50" t="s">
        <v>16</v>
      </c>
      <c r="CB197" s="50" t="s">
        <v>662</v>
      </c>
    </row>
    <row r="198" spans="79:80" x14ac:dyDescent="0.3">
      <c r="CA198" s="50" t="s">
        <v>275</v>
      </c>
      <c r="CB198" s="50" t="s">
        <v>797</v>
      </c>
    </row>
    <row r="199" spans="79:80" x14ac:dyDescent="0.3">
      <c r="CA199" s="50" t="s">
        <v>365</v>
      </c>
      <c r="CB199" s="50" t="s">
        <v>841</v>
      </c>
    </row>
    <row r="200" spans="79:80" x14ac:dyDescent="0.3">
      <c r="CA200" s="50" t="s">
        <v>307</v>
      </c>
      <c r="CB200" s="50" t="s">
        <v>813</v>
      </c>
    </row>
    <row r="201" spans="79:80" x14ac:dyDescent="0.3">
      <c r="CA201" s="50" t="s">
        <v>114</v>
      </c>
      <c r="CB201" s="50" t="s">
        <v>712</v>
      </c>
    </row>
    <row r="202" spans="79:80" x14ac:dyDescent="0.3">
      <c r="CA202" s="50" t="s">
        <v>40</v>
      </c>
      <c r="CB202" s="50" t="s">
        <v>674</v>
      </c>
    </row>
    <row r="203" spans="79:80" x14ac:dyDescent="0.3">
      <c r="CA203" s="50" t="s">
        <v>176</v>
      </c>
      <c r="CB203" s="50" t="s">
        <v>743</v>
      </c>
    </row>
    <row r="204" spans="79:80" x14ac:dyDescent="0.3">
      <c r="CA204" s="50" t="s">
        <v>517</v>
      </c>
      <c r="CB204" s="50" t="s">
        <v>919</v>
      </c>
    </row>
    <row r="205" spans="79:80" x14ac:dyDescent="0.3">
      <c r="CA205" s="50" t="s">
        <v>22</v>
      </c>
      <c r="CB205" s="50" t="s">
        <v>665</v>
      </c>
    </row>
    <row r="206" spans="79:80" x14ac:dyDescent="0.3">
      <c r="CA206" s="50" t="s">
        <v>539</v>
      </c>
      <c r="CB206" s="50" t="s">
        <v>931</v>
      </c>
    </row>
    <row r="207" spans="79:80" x14ac:dyDescent="0.3">
      <c r="CA207" s="50" t="s">
        <v>349</v>
      </c>
      <c r="CB207" s="50" t="s">
        <v>833</v>
      </c>
    </row>
    <row r="208" spans="79:80" x14ac:dyDescent="0.3">
      <c r="CA208" s="50" t="s">
        <v>168</v>
      </c>
      <c r="CB208" s="50" t="s">
        <v>739</v>
      </c>
    </row>
    <row r="209" spans="79:80" x14ac:dyDescent="0.3">
      <c r="CA209" s="50" t="s">
        <v>172</v>
      </c>
      <c r="CB209" s="50" t="s">
        <v>741</v>
      </c>
    </row>
    <row r="210" spans="79:80" x14ac:dyDescent="0.3">
      <c r="CA210" s="50" t="s">
        <v>48</v>
      </c>
      <c r="CB210" s="50" t="s">
        <v>678</v>
      </c>
    </row>
    <row r="211" spans="79:80" x14ac:dyDescent="0.3">
      <c r="CA211" s="50" t="s">
        <v>118</v>
      </c>
      <c r="CB211" s="50" t="s">
        <v>714</v>
      </c>
    </row>
    <row r="212" spans="79:80" x14ac:dyDescent="0.3">
      <c r="CA212" s="50" t="s">
        <v>495</v>
      </c>
      <c r="CB212" s="50" t="s">
        <v>906</v>
      </c>
    </row>
    <row r="213" spans="79:80" x14ac:dyDescent="0.3">
      <c r="CA213" s="50" t="s">
        <v>331</v>
      </c>
      <c r="CB213" s="50" t="s">
        <v>824</v>
      </c>
    </row>
    <row r="214" spans="79:80" x14ac:dyDescent="0.3">
      <c r="CA214" s="50" t="s">
        <v>285</v>
      </c>
      <c r="CB214" s="50" t="s">
        <v>802</v>
      </c>
    </row>
    <row r="215" spans="79:80" x14ac:dyDescent="0.3">
      <c r="CA215" s="50" t="s">
        <v>190</v>
      </c>
      <c r="CB215" s="50" t="s">
        <v>750</v>
      </c>
    </row>
    <row r="216" spans="79:80" x14ac:dyDescent="0.3">
      <c r="CA216" s="50" t="s">
        <v>104</v>
      </c>
      <c r="CB216" s="50" t="s">
        <v>707</v>
      </c>
    </row>
    <row r="217" spans="79:80" x14ac:dyDescent="0.3">
      <c r="CA217" s="50" t="s">
        <v>24</v>
      </c>
      <c r="CB217" s="50" t="s">
        <v>666</v>
      </c>
    </row>
    <row r="218" spans="79:80" x14ac:dyDescent="0.3">
      <c r="CA218" s="50" t="s">
        <v>66</v>
      </c>
      <c r="CB218" s="50" t="s">
        <v>688</v>
      </c>
    </row>
    <row r="219" spans="79:80" x14ac:dyDescent="0.3">
      <c r="CA219" s="50" t="s">
        <v>8</v>
      </c>
      <c r="CB219" s="50" t="s">
        <v>658</v>
      </c>
    </row>
    <row r="220" spans="79:80" x14ac:dyDescent="0.3">
      <c r="CA220" s="50" t="s">
        <v>461</v>
      </c>
      <c r="CB220" s="50" t="s">
        <v>889</v>
      </c>
    </row>
    <row r="221" spans="79:80" x14ac:dyDescent="0.3">
      <c r="CA221" s="50" t="s">
        <v>197</v>
      </c>
      <c r="CB221" s="50" t="s">
        <v>754</v>
      </c>
    </row>
    <row r="222" spans="79:80" x14ac:dyDescent="0.3">
      <c r="CA222" s="50" t="s">
        <v>499</v>
      </c>
      <c r="CB222" s="50" t="s">
        <v>908</v>
      </c>
    </row>
    <row r="223" spans="79:80" x14ac:dyDescent="0.3">
      <c r="CA223" s="50" t="s">
        <v>249</v>
      </c>
      <c r="CB223" s="50" t="s">
        <v>784</v>
      </c>
    </row>
    <row r="224" spans="79:80" x14ac:dyDescent="0.3">
      <c r="CA224" s="50" t="s">
        <v>553</v>
      </c>
      <c r="CB224" s="50" t="s">
        <v>938</v>
      </c>
    </row>
    <row r="225" spans="79:80" x14ac:dyDescent="0.3">
      <c r="CA225" s="50" t="s">
        <v>126</v>
      </c>
      <c r="CB225" s="50" t="s">
        <v>718</v>
      </c>
    </row>
    <row r="226" spans="79:80" x14ac:dyDescent="0.3">
      <c r="CA226" s="50" t="s">
        <v>383</v>
      </c>
      <c r="CB226" s="50" t="s">
        <v>850</v>
      </c>
    </row>
    <row r="227" spans="79:80" x14ac:dyDescent="0.3">
      <c r="CA227" s="50" t="s">
        <v>154</v>
      </c>
      <c r="CB227" s="50" t="s">
        <v>732</v>
      </c>
    </row>
    <row r="228" spans="79:80" x14ac:dyDescent="0.3">
      <c r="CA228" s="50" t="s">
        <v>178</v>
      </c>
      <c r="CB228" s="50" t="s">
        <v>744</v>
      </c>
    </row>
    <row r="229" spans="79:80" x14ac:dyDescent="0.3">
      <c r="CA229" s="50" t="s">
        <v>389</v>
      </c>
      <c r="CB229" s="50" t="s">
        <v>853</v>
      </c>
    </row>
    <row r="230" spans="79:80" x14ac:dyDescent="0.3">
      <c r="CA230" s="50" t="s">
        <v>567</v>
      </c>
      <c r="CB230" s="50" t="s">
        <v>945</v>
      </c>
    </row>
    <row r="231" spans="79:80" x14ac:dyDescent="0.3">
      <c r="CA231" s="50" t="s">
        <v>345</v>
      </c>
      <c r="CB231" s="50" t="s">
        <v>831</v>
      </c>
    </row>
    <row r="232" spans="79:80" x14ac:dyDescent="0.3">
      <c r="CA232" s="50" t="s">
        <v>44</v>
      </c>
      <c r="CB232" s="50" t="s">
        <v>676</v>
      </c>
    </row>
    <row r="233" spans="79:80" x14ac:dyDescent="0.3">
      <c r="CA233" s="50" t="s">
        <v>377</v>
      </c>
      <c r="CB233" s="50" t="s">
        <v>847</v>
      </c>
    </row>
    <row r="234" spans="79:80" x14ac:dyDescent="0.3">
      <c r="CA234" s="50" t="s">
        <v>303</v>
      </c>
      <c r="CB234" s="50" t="s">
        <v>811</v>
      </c>
    </row>
    <row r="235" spans="79:80" x14ac:dyDescent="0.3">
      <c r="CA235" s="50" t="s">
        <v>207</v>
      </c>
      <c r="CB235" s="50" t="s">
        <v>759</v>
      </c>
    </row>
    <row r="236" spans="79:80" x14ac:dyDescent="0.3">
      <c r="CA236" s="50" t="s">
        <v>399</v>
      </c>
      <c r="CB236" s="50" t="s">
        <v>858</v>
      </c>
    </row>
    <row r="237" spans="79:80" x14ac:dyDescent="0.3">
      <c r="CA237" s="50" t="s">
        <v>192</v>
      </c>
      <c r="CB237" s="50" t="s">
        <v>751</v>
      </c>
    </row>
    <row r="238" spans="79:80" x14ac:dyDescent="0.3">
      <c r="CA238" s="50" t="s">
        <v>423</v>
      </c>
      <c r="CB238" s="50" t="s">
        <v>870</v>
      </c>
    </row>
    <row r="239" spans="79:80" x14ac:dyDescent="0.3">
      <c r="CA239" s="50" t="s">
        <v>203</v>
      </c>
      <c r="CB239" s="50" t="s">
        <v>757</v>
      </c>
    </row>
    <row r="240" spans="79:80" x14ac:dyDescent="0.3">
      <c r="CA240" s="50" t="s">
        <v>124</v>
      </c>
      <c r="CB240" s="50" t="s">
        <v>717</v>
      </c>
    </row>
    <row r="241" spans="79:80" x14ac:dyDescent="0.3">
      <c r="CA241" s="50" t="s">
        <v>333</v>
      </c>
      <c r="CB241" s="50" t="s">
        <v>825</v>
      </c>
    </row>
    <row r="242" spans="79:80" x14ac:dyDescent="0.3">
      <c r="CA242" s="50" t="s">
        <v>223</v>
      </c>
      <c r="CB242" s="50" t="s">
        <v>769</v>
      </c>
    </row>
    <row r="243" spans="79:80" x14ac:dyDescent="0.3">
      <c r="CA243" s="50" t="s">
        <v>166</v>
      </c>
      <c r="CB243" s="50" t="s">
        <v>738</v>
      </c>
    </row>
    <row r="244" spans="79:80" x14ac:dyDescent="0.3">
      <c r="CA244" s="50" t="s">
        <v>299</v>
      </c>
      <c r="CB244" s="50" t="s">
        <v>809</v>
      </c>
    </row>
    <row r="245" spans="79:80" x14ac:dyDescent="0.3">
      <c r="CA245" s="50" t="s">
        <v>435</v>
      </c>
      <c r="CB245" s="50" t="s">
        <v>876</v>
      </c>
    </row>
    <row r="246" spans="79:80" x14ac:dyDescent="0.3">
      <c r="CA246" s="50" t="s">
        <v>283</v>
      </c>
      <c r="CB246" s="50" t="s">
        <v>801</v>
      </c>
    </row>
    <row r="247" spans="79:80" x14ac:dyDescent="0.3">
      <c r="CA247" s="50" t="s">
        <v>555</v>
      </c>
      <c r="CB247" s="50" t="s">
        <v>939</v>
      </c>
    </row>
    <row r="248" spans="79:80" x14ac:dyDescent="0.3">
      <c r="CA248" s="50" t="s">
        <v>433</v>
      </c>
      <c r="CB248" s="50" t="s">
        <v>875</v>
      </c>
    </row>
    <row r="249" spans="79:80" x14ac:dyDescent="0.3">
      <c r="CA249" s="50" t="s">
        <v>110</v>
      </c>
      <c r="CB249" s="50" t="s">
        <v>710</v>
      </c>
    </row>
    <row r="250" spans="79:80" x14ac:dyDescent="0.3">
      <c r="CA250" s="50" t="s">
        <v>70</v>
      </c>
      <c r="CB250" s="50" t="s">
        <v>690</v>
      </c>
    </row>
    <row r="251" spans="79:80" x14ac:dyDescent="0.3">
      <c r="CA251" s="50" t="s">
        <v>28</v>
      </c>
      <c r="CB251" s="50" t="s">
        <v>668</v>
      </c>
    </row>
    <row r="252" spans="79:80" x14ac:dyDescent="0.3">
      <c r="CA252" s="50" t="s">
        <v>347</v>
      </c>
      <c r="CB252" s="50" t="s">
        <v>832</v>
      </c>
    </row>
    <row r="253" spans="79:80" x14ac:dyDescent="0.3">
      <c r="CA253" s="50" t="s">
        <v>547</v>
      </c>
      <c r="CB253" s="50" t="s">
        <v>935</v>
      </c>
    </row>
    <row r="254" spans="79:80" x14ac:dyDescent="0.3">
      <c r="CA254" s="50" t="s">
        <v>405</v>
      </c>
      <c r="CB254" s="50" t="s">
        <v>861</v>
      </c>
    </row>
    <row r="255" spans="79:80" x14ac:dyDescent="0.3">
      <c r="CA255" s="50" t="s">
        <v>427</v>
      </c>
      <c r="CB255" s="50" t="s">
        <v>872</v>
      </c>
    </row>
    <row r="256" spans="79:80" x14ac:dyDescent="0.3">
      <c r="CA256" s="50" t="s">
        <v>475</v>
      </c>
      <c r="CB256" s="50" t="s">
        <v>896</v>
      </c>
    </row>
    <row r="257" spans="79:80" x14ac:dyDescent="0.3">
      <c r="CA257" s="50" t="s">
        <v>357</v>
      </c>
      <c r="CB257" s="50" t="s">
        <v>837</v>
      </c>
    </row>
    <row r="258" spans="79:80" x14ac:dyDescent="0.3">
      <c r="CA258" s="50" t="s">
        <v>573</v>
      </c>
      <c r="CB258" s="50" t="s">
        <v>948</v>
      </c>
    </row>
    <row r="259" spans="79:80" x14ac:dyDescent="0.3">
      <c r="CA259" s="50" t="s">
        <v>351</v>
      </c>
      <c r="CB259" s="50" t="s">
        <v>834</v>
      </c>
    </row>
    <row r="260" spans="79:80" x14ac:dyDescent="0.3">
      <c r="CA260" s="50" t="s">
        <v>148</v>
      </c>
      <c r="CB260" s="50" t="s">
        <v>729</v>
      </c>
    </row>
    <row r="261" spans="79:80" x14ac:dyDescent="0.3">
      <c r="CA261" s="50" t="s">
        <v>201</v>
      </c>
      <c r="CB261" s="50" t="s">
        <v>756</v>
      </c>
    </row>
    <row r="262" spans="79:80" x14ac:dyDescent="0.3">
      <c r="CA262" s="50" t="s">
        <v>537</v>
      </c>
      <c r="CB262" s="50" t="s">
        <v>930</v>
      </c>
    </row>
    <row r="263" spans="79:80" x14ac:dyDescent="0.3">
      <c r="CA263" s="50" t="s">
        <v>501</v>
      </c>
      <c r="CB263" s="50" t="s">
        <v>909</v>
      </c>
    </row>
    <row r="264" spans="79:80" x14ac:dyDescent="0.3">
      <c r="CA264" s="50" t="s">
        <v>229</v>
      </c>
      <c r="CB264" s="50" t="s">
        <v>774</v>
      </c>
    </row>
    <row r="265" spans="79:80" x14ac:dyDescent="0.3">
      <c r="CA265" s="50" t="s">
        <v>271</v>
      </c>
      <c r="CB265" s="50" t="s">
        <v>795</v>
      </c>
    </row>
    <row r="266" spans="79:80" x14ac:dyDescent="0.3">
      <c r="CA266" s="50" t="s">
        <v>325</v>
      </c>
      <c r="CB266" s="50" t="s">
        <v>821</v>
      </c>
    </row>
    <row r="267" spans="79:80" x14ac:dyDescent="0.3">
      <c r="CA267" s="50" t="s">
        <v>575</v>
      </c>
      <c r="CB267" s="50" t="s">
        <v>949</v>
      </c>
    </row>
    <row r="268" spans="79:80" x14ac:dyDescent="0.3">
      <c r="CA268" s="50" t="s">
        <v>511</v>
      </c>
      <c r="CB268" s="50" t="s">
        <v>916</v>
      </c>
    </row>
    <row r="269" spans="79:80" x14ac:dyDescent="0.3">
      <c r="CA269" s="50" t="s">
        <v>74</v>
      </c>
      <c r="CB269" s="50" t="s">
        <v>692</v>
      </c>
    </row>
    <row r="270" spans="79:80" x14ac:dyDescent="0.3">
      <c r="CA270" s="50" t="s">
        <v>243</v>
      </c>
      <c r="CB270" s="50" t="s">
        <v>781</v>
      </c>
    </row>
    <row r="271" spans="79:80" x14ac:dyDescent="0.3">
      <c r="CA271" s="50" t="s">
        <v>196</v>
      </c>
      <c r="CB271" s="50" t="s">
        <v>753</v>
      </c>
    </row>
    <row r="272" spans="79:80" x14ac:dyDescent="0.3">
      <c r="CA272" s="50" t="s">
        <v>491</v>
      </c>
      <c r="CB272" s="50" t="s">
        <v>904</v>
      </c>
    </row>
    <row r="273" spans="79:80" x14ac:dyDescent="0.3">
      <c r="CA273" s="50" t="s">
        <v>559</v>
      </c>
      <c r="CB273" s="50" t="s">
        <v>941</v>
      </c>
    </row>
    <row r="274" spans="79:80" x14ac:dyDescent="0.3">
      <c r="CA274" s="50" t="s">
        <v>355</v>
      </c>
      <c r="CB274" s="50" t="s">
        <v>836</v>
      </c>
    </row>
    <row r="275" spans="79:80" x14ac:dyDescent="0.3">
      <c r="CA275" s="50" t="s">
        <v>469</v>
      </c>
      <c r="CB275" s="50" t="s">
        <v>893</v>
      </c>
    </row>
    <row r="276" spans="79:80" x14ac:dyDescent="0.3">
      <c r="CA276" s="50" t="s">
        <v>50</v>
      </c>
      <c r="CB276" s="50" t="s">
        <v>681</v>
      </c>
    </row>
    <row r="277" spans="79:80" x14ac:dyDescent="0.3">
      <c r="CA277" s="50" t="s">
        <v>188</v>
      </c>
      <c r="CB277" s="50" t="s">
        <v>749</v>
      </c>
    </row>
    <row r="278" spans="79:80" x14ac:dyDescent="0.3">
      <c r="CA278" s="50" t="s">
        <v>503</v>
      </c>
      <c r="CB278" s="50" t="s">
        <v>912</v>
      </c>
    </row>
    <row r="279" spans="79:80" x14ac:dyDescent="0.3">
      <c r="CA279" s="50" t="s">
        <v>116</v>
      </c>
      <c r="CB279" s="50" t="s">
        <v>713</v>
      </c>
    </row>
    <row r="280" spans="79:80" x14ac:dyDescent="0.3">
      <c r="CA280" s="50" t="s">
        <v>515</v>
      </c>
      <c r="CB280" s="50" t="s">
        <v>918</v>
      </c>
    </row>
    <row r="281" spans="79:80" x14ac:dyDescent="0.3">
      <c r="CA281" s="50" t="s">
        <v>507</v>
      </c>
      <c r="CB281" s="50" t="s">
        <v>914</v>
      </c>
    </row>
    <row r="282" spans="79:80" x14ac:dyDescent="0.3">
      <c r="CA282" s="50" t="s">
        <v>583</v>
      </c>
      <c r="CB282" s="50" t="s">
        <v>953</v>
      </c>
    </row>
    <row r="283" spans="79:80" x14ac:dyDescent="0.3">
      <c r="CA283" s="50" t="s">
        <v>120</v>
      </c>
      <c r="CB283" s="50" t="s">
        <v>715</v>
      </c>
    </row>
    <row r="284" spans="79:80" x14ac:dyDescent="0.3">
      <c r="CA284" s="50" t="s">
        <v>58</v>
      </c>
      <c r="CB284" s="50" t="s">
        <v>684</v>
      </c>
    </row>
    <row r="285" spans="79:80" x14ac:dyDescent="0.3">
      <c r="CA285" s="50" t="s">
        <v>0</v>
      </c>
      <c r="CB285" s="50" t="s">
        <v>652</v>
      </c>
    </row>
    <row r="286" spans="79:80" x14ac:dyDescent="0.3">
      <c r="CA286" s="50" t="s">
        <v>94</v>
      </c>
      <c r="CB286" s="50" t="s">
        <v>702</v>
      </c>
    </row>
    <row r="287" spans="79:80" x14ac:dyDescent="0.3">
      <c r="CA287" s="50" t="s">
        <v>467</v>
      </c>
      <c r="CB287" s="50" t="s">
        <v>892</v>
      </c>
    </row>
    <row r="288" spans="79:80" x14ac:dyDescent="0.3">
      <c r="CA288" s="50" t="s">
        <v>38</v>
      </c>
      <c r="CB288" s="50" t="s">
        <v>673</v>
      </c>
    </row>
    <row r="289" spans="79:80" x14ac:dyDescent="0.3">
      <c r="CA289" s="50" t="s">
        <v>457</v>
      </c>
      <c r="CB289" s="50" t="s">
        <v>887</v>
      </c>
    </row>
    <row r="290" spans="79:80" x14ac:dyDescent="0.3">
      <c r="CA290" s="50" t="s">
        <v>585</v>
      </c>
      <c r="CB290" s="50" t="s">
        <v>954</v>
      </c>
    </row>
    <row r="291" spans="79:80" x14ac:dyDescent="0.3">
      <c r="CA291" s="50" t="s">
        <v>279</v>
      </c>
      <c r="CB291" s="50" t="s">
        <v>799</v>
      </c>
    </row>
    <row r="292" spans="79:80" x14ac:dyDescent="0.3">
      <c r="CA292" s="50" t="s">
        <v>373</v>
      </c>
      <c r="CB292" s="50" t="s">
        <v>845</v>
      </c>
    </row>
    <row r="293" spans="79:80" x14ac:dyDescent="0.3">
      <c r="CA293" s="50" t="s">
        <v>253</v>
      </c>
      <c r="CB293" s="50" t="s">
        <v>786</v>
      </c>
    </row>
    <row r="294" spans="79:80" x14ac:dyDescent="0.3">
      <c r="CA294" s="50" t="s">
        <v>293</v>
      </c>
      <c r="CB294" s="50" t="s">
        <v>806</v>
      </c>
    </row>
    <row r="295" spans="79:80" x14ac:dyDescent="0.3">
      <c r="CA295" s="50" t="s">
        <v>337</v>
      </c>
      <c r="CB295" s="50" t="s">
        <v>827</v>
      </c>
    </row>
    <row r="296" spans="79:80" x14ac:dyDescent="0.3">
      <c r="CA296" s="50" t="s">
        <v>132</v>
      </c>
      <c r="CB296" s="50" t="s">
        <v>721</v>
      </c>
    </row>
    <row r="297" spans="79:80" x14ac:dyDescent="0.3">
      <c r="CA297" s="50" t="s">
        <v>267</v>
      </c>
      <c r="CB297" s="50" t="s">
        <v>793</v>
      </c>
    </row>
    <row r="298" spans="79:80" x14ac:dyDescent="0.3">
      <c r="CA298" s="50" t="s">
        <v>156</v>
      </c>
      <c r="CB298" s="50" t="s">
        <v>733</v>
      </c>
    </row>
    <row r="299" spans="79:80" x14ac:dyDescent="0.3">
      <c r="CA299" s="50" t="s">
        <v>237</v>
      </c>
      <c r="CB299" s="50" t="s">
        <v>778</v>
      </c>
    </row>
    <row r="300" spans="79:80" x14ac:dyDescent="0.3">
      <c r="CA300" s="50" t="s">
        <v>80</v>
      </c>
      <c r="CB300" s="50" t="s">
        <v>695</v>
      </c>
    </row>
    <row r="301" spans="79:80" x14ac:dyDescent="0.3">
      <c r="CA301" s="50" t="s">
        <v>563</v>
      </c>
      <c r="CB301" s="50" t="s">
        <v>943</v>
      </c>
    </row>
    <row r="302" spans="79:80" x14ac:dyDescent="0.3">
      <c r="CA302" s="50" t="s">
        <v>487</v>
      </c>
      <c r="CB302" s="50" t="s">
        <v>902</v>
      </c>
    </row>
    <row r="303" spans="79:80" x14ac:dyDescent="0.3">
      <c r="CA303" s="50" t="s">
        <v>581</v>
      </c>
      <c r="CB303" s="50" t="s">
        <v>952</v>
      </c>
    </row>
  </sheetData>
  <mergeCells count="39">
    <mergeCell ref="B42:C42"/>
    <mergeCell ref="B43:C43"/>
    <mergeCell ref="B44:C44"/>
    <mergeCell ref="D41:G41"/>
    <mergeCell ref="C1:E1"/>
    <mergeCell ref="D2:E2"/>
    <mergeCell ref="C3:D3"/>
    <mergeCell ref="E3:F3"/>
    <mergeCell ref="C4:D4"/>
    <mergeCell ref="E4:F4"/>
    <mergeCell ref="B17:G21"/>
    <mergeCell ref="D31:G31"/>
    <mergeCell ref="C32:G32"/>
    <mergeCell ref="D38:G38"/>
    <mergeCell ref="B40:C40"/>
    <mergeCell ref="B45:C45"/>
    <mergeCell ref="B46:C46"/>
    <mergeCell ref="B56:C56"/>
    <mergeCell ref="B57:C57"/>
    <mergeCell ref="B58:C58"/>
    <mergeCell ref="B54:C54"/>
    <mergeCell ref="B55:C55"/>
    <mergeCell ref="B47:C47"/>
    <mergeCell ref="D52:G52"/>
    <mergeCell ref="B53:C53"/>
    <mergeCell ref="J4:K4"/>
    <mergeCell ref="E69:G69"/>
    <mergeCell ref="B73:C73"/>
    <mergeCell ref="B60:C60"/>
    <mergeCell ref="B61:C61"/>
    <mergeCell ref="B62:C62"/>
    <mergeCell ref="B64:C64"/>
    <mergeCell ref="B66:C66"/>
    <mergeCell ref="E68:G68"/>
    <mergeCell ref="B59:C59"/>
    <mergeCell ref="B48:C48"/>
    <mergeCell ref="B49:C49"/>
    <mergeCell ref="B50:C50"/>
    <mergeCell ref="B51:C51"/>
  </mergeCells>
  <conditionalFormatting sqref="D62:G62">
    <cfRule type="cellIs" dxfId="6" priority="1" operator="notEqual">
      <formula>0</formula>
    </cfRule>
  </conditionalFormatting>
  <dataValidations count="2">
    <dataValidation type="custom" allowBlank="1" showInputMessage="1" showErrorMessage="1" error="This is not a valid email address" sqref="E3:F3" xr:uid="{00000000-0002-0000-0300-000000000000}">
      <formula1>ISNUMBER(MATCH("*@*.?*",E3,0))</formula1>
    </dataValidation>
    <dataValidation type="list" allowBlank="1" showInputMessage="1" showErrorMessage="1" sqref="F12 F14" xr:uid="{00000000-0002-0000-0300-000001000000}">
      <formula1>"Yes, No"</formula1>
    </dataValidation>
  </dataValidations>
  <hyperlinks>
    <hyperlink ref="C7" r:id="rId1" xr:uid="{00000000-0004-0000-0300-000000000000}"/>
  </hyperlinks>
  <pageMargins left="0.9" right="0.9" top="1" bottom="0.81" header="0.5" footer="0.5"/>
  <pageSetup scale="49" orientation="portrait" r:id="rId2"/>
  <headerFooter>
    <oddHeader xml:space="preserve">&amp;C&amp;"Century Gothic,Bold"&amp;36&amp;K000000ENRICHMENT LEVY:&amp;KFF0000
&amp;28OSPI PRE-BALLOT APPROVAL
</oddHeader>
    <oddFooter>&amp;R&amp;"Century Gothic,Regular"&amp;D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Sheet1!$E$3:$E$15</xm:f>
          </x14:formula1>
          <xm:sqref>C2</xm:sqref>
        </x14:dataValidation>
        <x14:dataValidation type="list" allowBlank="1" showInputMessage="1" showErrorMessage="1" xr:uid="{00000000-0002-0000-0300-000003000000}">
          <x14:formula1>
            <xm:f>Sheet1!$C$3:$C$9</xm:f>
          </x14:formula1>
          <xm:sqref>F2 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F305"/>
  <sheetViews>
    <sheetView workbookViewId="0">
      <pane xSplit="7" ySplit="3" topLeftCell="P4" activePane="bottomRight" state="frozen"/>
      <selection pane="topRight" activeCell="H1" sqref="H1"/>
      <selection pane="bottomLeft" activeCell="A4" sqref="A4"/>
      <selection pane="bottomRight" activeCell="Y2" sqref="Y2"/>
    </sheetView>
  </sheetViews>
  <sheetFormatPr defaultRowHeight="15" x14ac:dyDescent="0.25"/>
  <cols>
    <col min="1" max="1" width="7.5703125" customWidth="1"/>
    <col min="2" max="2" width="20.42578125" bestFit="1" customWidth="1"/>
    <col min="3" max="7" width="15.28515625" hidden="1" customWidth="1"/>
    <col min="8" max="8" width="17.7109375" style="2" hidden="1" customWidth="1"/>
    <col min="9" max="9" width="16" hidden="1" customWidth="1"/>
    <col min="10" max="13" width="19" hidden="1" customWidth="1"/>
    <col min="14" max="20" width="19" customWidth="1"/>
    <col min="21" max="21" width="16.28515625" bestFit="1" customWidth="1"/>
    <col min="23" max="23" width="16.28515625" bestFit="1" customWidth="1"/>
    <col min="24" max="24" width="11.7109375" customWidth="1"/>
    <col min="25" max="25" width="12.28515625" customWidth="1"/>
    <col min="26" max="26" width="12.85546875" bestFit="1" customWidth="1"/>
  </cols>
  <sheetData>
    <row r="1" spans="1:32" x14ac:dyDescent="0.25">
      <c r="A1" s="4">
        <v>1</v>
      </c>
      <c r="B1" s="4">
        <f>1+A1</f>
        <v>2</v>
      </c>
      <c r="C1" s="4">
        <f t="shared" ref="C1:I1" si="0">1+B1</f>
        <v>3</v>
      </c>
      <c r="D1" s="4">
        <f t="shared" si="0"/>
        <v>4</v>
      </c>
      <c r="E1" s="4">
        <f t="shared" si="0"/>
        <v>5</v>
      </c>
      <c r="F1" s="4">
        <f t="shared" si="0"/>
        <v>6</v>
      </c>
      <c r="G1" s="4">
        <f t="shared" si="0"/>
        <v>7</v>
      </c>
      <c r="H1" s="4">
        <f t="shared" si="0"/>
        <v>8</v>
      </c>
      <c r="I1" s="4">
        <f t="shared" si="0"/>
        <v>9</v>
      </c>
      <c r="J1" s="4">
        <v>2019</v>
      </c>
      <c r="K1" s="4">
        <v>2020</v>
      </c>
      <c r="L1" s="4">
        <v>2021</v>
      </c>
      <c r="M1" s="4" t="s">
        <v>1192</v>
      </c>
      <c r="N1" s="4">
        <v>2023</v>
      </c>
      <c r="O1" s="4">
        <v>2024</v>
      </c>
      <c r="P1" s="4">
        <v>2025</v>
      </c>
      <c r="Q1" s="4">
        <v>2026</v>
      </c>
      <c r="R1" s="4">
        <v>2027</v>
      </c>
      <c r="S1" s="4">
        <v>2028</v>
      </c>
      <c r="T1" s="4">
        <v>2029</v>
      </c>
      <c r="U1" s="4">
        <f>COLUMN(U1)</f>
        <v>21</v>
      </c>
      <c r="V1" s="4">
        <f t="shared" ref="V1:Z1" si="1">COLUMN(V1)</f>
        <v>22</v>
      </c>
      <c r="W1" s="4">
        <f t="shared" si="1"/>
        <v>23</v>
      </c>
      <c r="X1" s="4">
        <f t="shared" si="1"/>
        <v>24</v>
      </c>
      <c r="Y1" s="4">
        <f t="shared" si="1"/>
        <v>25</v>
      </c>
      <c r="Z1" s="4">
        <f t="shared" si="1"/>
        <v>26</v>
      </c>
      <c r="AA1" s="4"/>
      <c r="AB1" s="4"/>
      <c r="AC1" s="4"/>
      <c r="AD1" s="4"/>
      <c r="AE1" s="4"/>
      <c r="AF1" s="4"/>
    </row>
    <row r="2" spans="1:32" s="3" customFormat="1" ht="45" x14ac:dyDescent="0.25">
      <c r="A2" s="3" t="s">
        <v>595</v>
      </c>
      <c r="B2" s="3" t="s">
        <v>596</v>
      </c>
      <c r="H2" s="7" t="s">
        <v>590</v>
      </c>
      <c r="I2" s="3" t="s">
        <v>589</v>
      </c>
      <c r="J2" s="3" t="s">
        <v>960</v>
      </c>
      <c r="K2" s="3" t="s">
        <v>968</v>
      </c>
      <c r="L2" s="3" t="s">
        <v>977</v>
      </c>
      <c r="M2" s="3" t="s">
        <v>1145</v>
      </c>
      <c r="N2" s="3" t="s">
        <v>1196</v>
      </c>
      <c r="O2" s="3" t="s">
        <v>971</v>
      </c>
      <c r="P2" s="3" t="s">
        <v>978</v>
      </c>
      <c r="Q2" s="3" t="s">
        <v>1086</v>
      </c>
      <c r="R2" s="3" t="s">
        <v>1146</v>
      </c>
      <c r="S2" s="3" t="s">
        <v>1147</v>
      </c>
      <c r="T2" s="3" t="s">
        <v>1200</v>
      </c>
      <c r="U2" s="3" t="s">
        <v>1166</v>
      </c>
      <c r="V2" s="3" t="s">
        <v>599</v>
      </c>
      <c r="W2" s="3" t="s">
        <v>1165</v>
      </c>
      <c r="X2" s="3" t="s">
        <v>1193</v>
      </c>
      <c r="Y2" s="3" t="s">
        <v>1194</v>
      </c>
      <c r="Z2" s="3" t="s">
        <v>1195</v>
      </c>
    </row>
    <row r="3" spans="1:32" x14ac:dyDescent="0.25">
      <c r="A3" s="20" t="s">
        <v>634</v>
      </c>
      <c r="B3" s="20" t="s">
        <v>959</v>
      </c>
      <c r="H3" s="2">
        <f>VLOOKUP(A3,VAL!$A$3:$F$298,3,FALSE)</f>
        <v>2243795589</v>
      </c>
      <c r="I3" s="2">
        <f>SUM(I4:I298)</f>
        <v>2166753078.0100002</v>
      </c>
      <c r="J3" s="6">
        <f t="shared" ref="J3:N3" si="2">SUM(J4:J298)</f>
        <v>1279129574623.282</v>
      </c>
      <c r="K3" s="6">
        <f t="shared" si="2"/>
        <v>1378166225565.6702</v>
      </c>
      <c r="L3" s="6">
        <f t="shared" si="2"/>
        <v>1448310511480</v>
      </c>
      <c r="M3" s="6">
        <f t="shared" si="2"/>
        <v>1606892332006</v>
      </c>
      <c r="N3" s="6">
        <f t="shared" si="2"/>
        <v>1963670985269</v>
      </c>
      <c r="O3" s="6">
        <f t="shared" ref="O3:R3" si="3">SUM(O4:O298)</f>
        <v>2051831994316</v>
      </c>
      <c r="P3" s="6">
        <f t="shared" si="3"/>
        <v>2192225296244</v>
      </c>
      <c r="Q3" s="6">
        <f t="shared" si="3"/>
        <v>2340214849773</v>
      </c>
      <c r="R3" s="6">
        <f t="shared" si="3"/>
        <v>2501465230927</v>
      </c>
      <c r="S3" s="6">
        <f>SUM(S4:S298)</f>
        <v>2668263518566</v>
      </c>
      <c r="T3" s="6">
        <f>SUM(T4:T298)</f>
        <v>2845566152370</v>
      </c>
      <c r="U3" s="6">
        <f>SUM(U4:U305)</f>
        <v>67085737.010000005</v>
      </c>
      <c r="V3" t="str">
        <f>A3</f>
        <v>00000</v>
      </c>
      <c r="W3" s="6">
        <f>SUM(W4:W298)</f>
        <v>1102742107.0200002</v>
      </c>
    </row>
    <row r="4" spans="1:32" x14ac:dyDescent="0.25">
      <c r="A4" t="s">
        <v>136</v>
      </c>
      <c r="B4" t="s">
        <v>137</v>
      </c>
      <c r="C4" s="1"/>
      <c r="D4" s="1"/>
      <c r="E4" s="1"/>
      <c r="F4" s="1"/>
      <c r="G4" s="2"/>
      <c r="H4" s="2">
        <f>VLOOKUP(A4,VAL!$A$3:$F$298,3,FALSE)</f>
        <v>5200000</v>
      </c>
      <c r="I4" s="2">
        <v>5200000</v>
      </c>
      <c r="J4" s="2">
        <v>1271394795</v>
      </c>
      <c r="K4" s="2">
        <v>1412053622</v>
      </c>
      <c r="L4" s="2">
        <v>1481581065</v>
      </c>
      <c r="M4" s="2">
        <v>1758564529</v>
      </c>
      <c r="N4" s="2">
        <v>2151128984</v>
      </c>
      <c r="O4" s="2">
        <v>2109223338</v>
      </c>
      <c r="P4" s="2">
        <v>2352935632</v>
      </c>
      <c r="Q4" s="2">
        <v>2565720814</v>
      </c>
      <c r="R4" s="2">
        <v>2809070975</v>
      </c>
      <c r="S4" s="2">
        <v>3117001059</v>
      </c>
      <c r="T4" s="2">
        <v>3464418588</v>
      </c>
      <c r="U4" s="2">
        <v>675799.43</v>
      </c>
      <c r="V4" t="str">
        <f t="shared" ref="V4:V67" si="4">A4</f>
        <v>14005</v>
      </c>
      <c r="W4" s="2">
        <v>2083017.16</v>
      </c>
      <c r="X4" s="1">
        <v>368651.82</v>
      </c>
      <c r="Y4" s="1">
        <v>48435.849999999977</v>
      </c>
      <c r="Z4" s="1">
        <v>0</v>
      </c>
    </row>
    <row r="5" spans="1:32" x14ac:dyDescent="0.25">
      <c r="A5" t="s">
        <v>265</v>
      </c>
      <c r="B5" t="s">
        <v>266</v>
      </c>
      <c r="C5" s="1"/>
      <c r="D5" s="1"/>
      <c r="E5" s="1"/>
      <c r="F5" s="1"/>
      <c r="G5" s="2"/>
      <c r="H5" s="2">
        <f>VLOOKUP(A5,VAL!$A$3:$F$298,3,FALSE)</f>
        <v>683833</v>
      </c>
      <c r="I5" s="2">
        <v>683833</v>
      </c>
      <c r="J5" s="2">
        <v>436147055.30000001</v>
      </c>
      <c r="K5" s="2">
        <v>504154971.68000001</v>
      </c>
      <c r="L5" s="2">
        <v>548550815</v>
      </c>
      <c r="M5" s="2">
        <v>630642906</v>
      </c>
      <c r="N5" s="2">
        <v>814631042</v>
      </c>
      <c r="O5" s="2">
        <v>798236695</v>
      </c>
      <c r="P5" s="2">
        <v>881627850</v>
      </c>
      <c r="Q5" s="2">
        <v>976488272</v>
      </c>
      <c r="R5" s="2">
        <v>1092774448</v>
      </c>
      <c r="S5" s="2">
        <v>1228653669</v>
      </c>
      <c r="T5" s="2">
        <v>1416378473</v>
      </c>
      <c r="U5" s="2">
        <v>11624.14</v>
      </c>
      <c r="V5" t="str">
        <f t="shared" si="4"/>
        <v>21226</v>
      </c>
      <c r="W5" s="2">
        <v>481138.69</v>
      </c>
      <c r="X5" s="1">
        <v>0</v>
      </c>
      <c r="Y5" s="1">
        <v>0</v>
      </c>
      <c r="Z5" s="1">
        <v>66313.23</v>
      </c>
    </row>
    <row r="6" spans="1:32" x14ac:dyDescent="0.25">
      <c r="A6" t="s">
        <v>287</v>
      </c>
      <c r="B6" t="s">
        <v>288</v>
      </c>
      <c r="C6" s="1"/>
      <c r="D6" s="1"/>
      <c r="E6" s="1"/>
      <c r="F6" s="1"/>
      <c r="G6" s="2"/>
      <c r="H6" s="2">
        <f>VLOOKUP(A6,VAL!$A$3:$F$298,3,FALSE)</f>
        <v>210000</v>
      </c>
      <c r="I6" s="2">
        <v>210000</v>
      </c>
      <c r="J6" s="2">
        <v>79682287</v>
      </c>
      <c r="K6" s="2">
        <v>78303068</v>
      </c>
      <c r="L6" s="2">
        <v>80612413</v>
      </c>
      <c r="M6" s="2">
        <v>80406423</v>
      </c>
      <c r="N6" s="2">
        <v>82240679</v>
      </c>
      <c r="O6" s="2">
        <v>84199062</v>
      </c>
      <c r="P6" s="2">
        <v>87159728</v>
      </c>
      <c r="Q6" s="2">
        <v>88419929</v>
      </c>
      <c r="R6" s="2">
        <v>89970975</v>
      </c>
      <c r="S6" s="2">
        <v>91979580</v>
      </c>
      <c r="T6" s="2">
        <v>95473758</v>
      </c>
      <c r="U6" s="2">
        <v>7344.38</v>
      </c>
      <c r="V6" t="str">
        <f t="shared" si="4"/>
        <v>22017</v>
      </c>
      <c r="W6" s="2">
        <v>95241.41</v>
      </c>
      <c r="X6" s="1">
        <v>0</v>
      </c>
      <c r="Y6" s="1">
        <v>0</v>
      </c>
      <c r="Z6" s="1">
        <v>0</v>
      </c>
    </row>
    <row r="7" spans="1:32" x14ac:dyDescent="0.25">
      <c r="A7" t="s">
        <v>391</v>
      </c>
      <c r="B7" t="s">
        <v>392</v>
      </c>
      <c r="C7" s="1"/>
      <c r="D7" s="1"/>
      <c r="E7" s="1"/>
      <c r="F7" s="1"/>
      <c r="G7" s="2"/>
      <c r="H7" s="2">
        <f>VLOOKUP(A7,VAL!$A$3:$F$298,3,FALSE)</f>
        <v>7623438</v>
      </c>
      <c r="I7" s="2">
        <v>6794150</v>
      </c>
      <c r="J7" s="2">
        <v>6247578413</v>
      </c>
      <c r="K7" s="2">
        <v>6742753097</v>
      </c>
      <c r="L7" s="2">
        <v>6969972076</v>
      </c>
      <c r="M7" s="2">
        <v>7601298964</v>
      </c>
      <c r="N7" s="2">
        <v>8944181931</v>
      </c>
      <c r="O7" s="2">
        <v>9057267803</v>
      </c>
      <c r="P7" s="2">
        <v>9835179973</v>
      </c>
      <c r="Q7" s="2">
        <v>10646815699</v>
      </c>
      <c r="R7" s="2">
        <v>11698913084</v>
      </c>
      <c r="S7" s="2">
        <v>12849216600</v>
      </c>
      <c r="T7" s="2">
        <v>14139862257</v>
      </c>
      <c r="U7" s="2">
        <v>0</v>
      </c>
      <c r="V7" t="str">
        <f t="shared" si="4"/>
        <v>29103</v>
      </c>
      <c r="W7" s="2">
        <v>3475433.87</v>
      </c>
      <c r="X7" s="1">
        <v>0</v>
      </c>
      <c r="Y7" s="1">
        <v>0</v>
      </c>
      <c r="Z7" s="1">
        <v>0</v>
      </c>
    </row>
    <row r="8" spans="1:32" x14ac:dyDescent="0.25">
      <c r="A8" t="s">
        <v>415</v>
      </c>
      <c r="B8" t="s">
        <v>416</v>
      </c>
      <c r="C8" s="1"/>
      <c r="D8" s="1"/>
      <c r="E8" s="1"/>
      <c r="F8" s="1"/>
      <c r="G8" s="2"/>
      <c r="H8" s="2">
        <f>VLOOKUP(A8,VAL!$A$3:$F$298,3,FALSE)</f>
        <v>14541698</v>
      </c>
      <c r="I8" s="2">
        <v>14541698</v>
      </c>
      <c r="J8" s="2">
        <v>4726690928</v>
      </c>
      <c r="K8" s="2">
        <v>5088268664</v>
      </c>
      <c r="L8" s="2">
        <v>5545746081</v>
      </c>
      <c r="M8" s="2">
        <v>6159745639</v>
      </c>
      <c r="N8" s="2">
        <v>7885003520</v>
      </c>
      <c r="O8" s="2">
        <v>8510601286</v>
      </c>
      <c r="P8" s="2">
        <v>9072082833</v>
      </c>
      <c r="Q8" s="2">
        <v>9679283402</v>
      </c>
      <c r="R8" s="2">
        <v>10549929381</v>
      </c>
      <c r="S8" s="2">
        <v>11325846767</v>
      </c>
      <c r="T8" s="2">
        <v>11787269835</v>
      </c>
      <c r="U8" s="2">
        <v>0</v>
      </c>
      <c r="V8" t="str">
        <f t="shared" si="4"/>
        <v>31016</v>
      </c>
      <c r="W8" s="2">
        <v>4358960</v>
      </c>
      <c r="X8" s="1">
        <v>0</v>
      </c>
      <c r="Y8" s="1">
        <v>0</v>
      </c>
      <c r="Z8" s="1">
        <v>175694.7</v>
      </c>
    </row>
    <row r="9" spans="1:32" x14ac:dyDescent="0.25">
      <c r="A9" t="s">
        <v>12</v>
      </c>
      <c r="B9" t="s">
        <v>13</v>
      </c>
      <c r="C9" s="1"/>
      <c r="D9" s="1"/>
      <c r="E9" s="1"/>
      <c r="F9" s="1"/>
      <c r="G9" s="2"/>
      <c r="H9" s="2">
        <f>VLOOKUP(A9,VAL!$A$3:$F$298,3,FALSE)</f>
        <v>652000</v>
      </c>
      <c r="I9" s="2">
        <v>652000</v>
      </c>
      <c r="J9" s="2">
        <v>379559065</v>
      </c>
      <c r="K9" s="2">
        <v>385237192</v>
      </c>
      <c r="L9" s="2">
        <v>420927606</v>
      </c>
      <c r="M9" s="2">
        <v>434743594</v>
      </c>
      <c r="N9" s="2">
        <v>453460009</v>
      </c>
      <c r="O9" s="2">
        <v>480526417</v>
      </c>
      <c r="P9" s="2">
        <v>515810633</v>
      </c>
      <c r="Q9" s="2">
        <v>552642585</v>
      </c>
      <c r="R9" s="2">
        <v>584691471</v>
      </c>
      <c r="S9" s="2">
        <v>616629876</v>
      </c>
      <c r="T9" s="2">
        <v>679937841</v>
      </c>
      <c r="U9" s="2">
        <v>108372.65</v>
      </c>
      <c r="V9" t="str">
        <f t="shared" si="4"/>
        <v>02420</v>
      </c>
      <c r="W9" s="2">
        <v>482720.23</v>
      </c>
      <c r="X9" s="1">
        <v>14915.43</v>
      </c>
      <c r="Y9" s="1">
        <v>1959.6800000000003</v>
      </c>
      <c r="Z9" s="1">
        <v>0</v>
      </c>
    </row>
    <row r="10" spans="1:32" x14ac:dyDescent="0.25">
      <c r="A10" t="s">
        <v>199</v>
      </c>
      <c r="B10" t="s">
        <v>200</v>
      </c>
      <c r="C10" s="1"/>
      <c r="D10" s="1"/>
      <c r="E10" s="1"/>
      <c r="F10" s="1"/>
      <c r="G10" s="2"/>
      <c r="H10" s="2">
        <f>VLOOKUP(A10,VAL!$A$3:$F$298,3,FALSE)</f>
        <v>45400000</v>
      </c>
      <c r="I10" s="2">
        <v>45400000</v>
      </c>
      <c r="J10" s="2">
        <v>13005891148</v>
      </c>
      <c r="K10" s="2">
        <v>13916579293</v>
      </c>
      <c r="L10" s="2">
        <v>14945911728</v>
      </c>
      <c r="M10" s="2">
        <v>16284857292</v>
      </c>
      <c r="N10" s="2">
        <v>19896728414</v>
      </c>
      <c r="O10" s="2">
        <v>20914855703</v>
      </c>
      <c r="P10" s="2">
        <v>22075369451</v>
      </c>
      <c r="Q10" s="2">
        <v>23417840229</v>
      </c>
      <c r="R10" s="2">
        <v>25565061622</v>
      </c>
      <c r="S10" s="2">
        <v>27355512679</v>
      </c>
      <c r="T10" s="2">
        <v>29001351305</v>
      </c>
      <c r="U10" s="2">
        <v>900306.3</v>
      </c>
      <c r="V10" t="str">
        <f t="shared" si="4"/>
        <v>17408</v>
      </c>
      <c r="W10" s="2">
        <v>19289413.460000001</v>
      </c>
      <c r="X10" s="1">
        <v>478791.42</v>
      </c>
      <c r="Y10" s="1">
        <v>62906.710000000021</v>
      </c>
      <c r="Z10" s="1">
        <v>858898.81</v>
      </c>
    </row>
    <row r="11" spans="1:32" x14ac:dyDescent="0.25">
      <c r="A11" t="s">
        <v>217</v>
      </c>
      <c r="B11" t="s">
        <v>218</v>
      </c>
      <c r="C11" s="1"/>
      <c r="D11" s="1"/>
      <c r="E11" s="1"/>
      <c r="F11" s="1"/>
      <c r="G11" s="2"/>
      <c r="H11" s="2">
        <f>VLOOKUP(A11,VAL!$A$3:$F$298,3,FALSE)</f>
        <v>10600000</v>
      </c>
      <c r="I11" s="2">
        <v>10600000</v>
      </c>
      <c r="J11" s="2">
        <v>8364266463</v>
      </c>
      <c r="K11" s="2">
        <v>9177489644</v>
      </c>
      <c r="L11" s="2">
        <v>9517030156</v>
      </c>
      <c r="M11" s="2">
        <v>10229216682</v>
      </c>
      <c r="N11" s="2">
        <v>12773274349</v>
      </c>
      <c r="O11" s="2">
        <v>12081517815</v>
      </c>
      <c r="P11" s="2">
        <v>12826910095</v>
      </c>
      <c r="Q11" s="2">
        <v>14113356379</v>
      </c>
      <c r="R11" s="2">
        <v>15007955898</v>
      </c>
      <c r="S11" s="2">
        <v>16749898811</v>
      </c>
      <c r="T11" s="2">
        <v>18070174414</v>
      </c>
      <c r="U11" s="2">
        <v>0</v>
      </c>
      <c r="V11" t="str">
        <f t="shared" si="4"/>
        <v>18303</v>
      </c>
      <c r="W11" s="2">
        <v>4738000</v>
      </c>
      <c r="X11" s="1">
        <v>0</v>
      </c>
      <c r="Y11" s="1">
        <v>0</v>
      </c>
      <c r="Z11" s="1">
        <v>0</v>
      </c>
    </row>
    <row r="12" spans="1:32" x14ac:dyDescent="0.25">
      <c r="A12" t="s">
        <v>64</v>
      </c>
      <c r="B12" t="s">
        <v>65</v>
      </c>
      <c r="C12" s="1"/>
      <c r="D12" s="1"/>
      <c r="E12" s="1"/>
      <c r="F12" s="1"/>
      <c r="G12" s="2"/>
      <c r="H12" s="2">
        <f>VLOOKUP(A12,VAL!$A$3:$F$298,3,FALSE)</f>
        <v>33260000</v>
      </c>
      <c r="I12" s="2">
        <v>33260000</v>
      </c>
      <c r="J12" s="2">
        <v>10599887243</v>
      </c>
      <c r="K12" s="2">
        <v>11323320162</v>
      </c>
      <c r="L12" s="2">
        <v>12212187022</v>
      </c>
      <c r="M12" s="2">
        <v>13661864172</v>
      </c>
      <c r="N12" s="2">
        <v>16591904085</v>
      </c>
      <c r="O12" s="2">
        <v>18254964089</v>
      </c>
      <c r="P12" s="2">
        <v>19180940990</v>
      </c>
      <c r="Q12" s="2">
        <v>20637344185</v>
      </c>
      <c r="R12" s="2">
        <v>22211347141</v>
      </c>
      <c r="S12" s="2">
        <v>23746964892</v>
      </c>
      <c r="T12" s="2">
        <v>25159143401</v>
      </c>
      <c r="U12" s="2">
        <v>0</v>
      </c>
      <c r="V12" t="str">
        <f t="shared" si="4"/>
        <v>06119</v>
      </c>
      <c r="W12" s="2">
        <v>12674150</v>
      </c>
      <c r="X12" s="1">
        <v>0</v>
      </c>
      <c r="Y12" s="1">
        <v>0</v>
      </c>
      <c r="Z12" s="1">
        <v>539967.63</v>
      </c>
    </row>
    <row r="13" spans="1:32" x14ac:dyDescent="0.25">
      <c r="A13" t="s">
        <v>194</v>
      </c>
      <c r="B13" t="s">
        <v>195</v>
      </c>
      <c r="C13" s="1"/>
      <c r="D13" s="1"/>
      <c r="E13" s="1"/>
      <c r="F13" s="1"/>
      <c r="G13" s="2"/>
      <c r="H13" s="2">
        <f>VLOOKUP(A13,VAL!$A$3:$F$298,3,FALSE)</f>
        <v>68000000</v>
      </c>
      <c r="I13" s="2">
        <v>68000000</v>
      </c>
      <c r="J13" s="2">
        <v>72429545401</v>
      </c>
      <c r="K13" s="2">
        <v>76525448992</v>
      </c>
      <c r="L13" s="2">
        <v>79716099044</v>
      </c>
      <c r="M13" s="2">
        <v>87045225976</v>
      </c>
      <c r="N13" s="2">
        <v>111956419970</v>
      </c>
      <c r="O13" s="2">
        <v>114570686034</v>
      </c>
      <c r="P13" s="2">
        <v>123191716184</v>
      </c>
      <c r="Q13" s="2">
        <v>130520845543</v>
      </c>
      <c r="R13" s="2">
        <v>137576974112</v>
      </c>
      <c r="S13" s="2">
        <v>147882889009</v>
      </c>
      <c r="T13" s="2">
        <v>156726408396</v>
      </c>
      <c r="U13" s="2">
        <v>0</v>
      </c>
      <c r="V13" t="str">
        <f t="shared" si="4"/>
        <v>17405</v>
      </c>
      <c r="W13" s="2">
        <v>26684093.050000001</v>
      </c>
      <c r="X13" s="1">
        <v>0</v>
      </c>
      <c r="Y13" s="1">
        <v>0</v>
      </c>
      <c r="Z13" s="1">
        <v>0</v>
      </c>
    </row>
    <row r="14" spans="1:32" x14ac:dyDescent="0.25">
      <c r="A14" t="s">
        <v>519</v>
      </c>
      <c r="B14" t="s">
        <v>520</v>
      </c>
      <c r="C14" s="1"/>
      <c r="D14" s="1"/>
      <c r="E14" s="1"/>
      <c r="F14" s="1"/>
      <c r="G14" s="2"/>
      <c r="H14" s="2">
        <f>VLOOKUP(A14,VAL!$A$3:$F$298,3,FALSE)</f>
        <v>34900000</v>
      </c>
      <c r="I14" s="2">
        <v>34900000</v>
      </c>
      <c r="J14" s="2">
        <v>15796966783</v>
      </c>
      <c r="K14" s="2">
        <v>17611229666</v>
      </c>
      <c r="L14" s="2">
        <v>18924204130</v>
      </c>
      <c r="M14" s="2">
        <v>21179593477</v>
      </c>
      <c r="N14" s="2">
        <v>25672728515</v>
      </c>
      <c r="O14" s="2">
        <v>26707754667</v>
      </c>
      <c r="P14" s="2">
        <v>30672737059</v>
      </c>
      <c r="Q14" s="2">
        <v>33290246028</v>
      </c>
      <c r="R14" s="2">
        <v>38102307899</v>
      </c>
      <c r="S14" s="2">
        <v>42538456389</v>
      </c>
      <c r="T14" s="2">
        <v>48401270301</v>
      </c>
      <c r="U14" s="2">
        <v>0</v>
      </c>
      <c r="V14" t="str">
        <f t="shared" si="4"/>
        <v>37501</v>
      </c>
      <c r="W14" s="2">
        <v>15026843.890000001</v>
      </c>
      <c r="X14" s="1">
        <v>0</v>
      </c>
      <c r="Y14" s="1">
        <v>0</v>
      </c>
      <c r="Z14" s="1">
        <v>0</v>
      </c>
    </row>
    <row r="15" spans="1:32" x14ac:dyDescent="0.25">
      <c r="A15" t="s">
        <v>2</v>
      </c>
      <c r="B15" t="s">
        <v>3</v>
      </c>
      <c r="C15" s="1"/>
      <c r="D15" s="1"/>
      <c r="E15" s="1"/>
      <c r="F15" s="1"/>
      <c r="G15" s="2"/>
      <c r="H15" s="2">
        <f>VLOOKUP(A15,VAL!$A$3:$F$298,3,FALSE)</f>
        <v>40000</v>
      </c>
      <c r="I15" s="2">
        <v>40000</v>
      </c>
      <c r="J15" s="2">
        <v>21271879</v>
      </c>
      <c r="K15" s="2">
        <v>21304085</v>
      </c>
      <c r="L15" s="2">
        <v>21730781</v>
      </c>
      <c r="M15" s="2">
        <v>22121495</v>
      </c>
      <c r="N15" s="2">
        <v>23106763</v>
      </c>
      <c r="O15" s="2">
        <v>23854141</v>
      </c>
      <c r="P15" s="2">
        <v>23907694</v>
      </c>
      <c r="Q15" s="2">
        <v>25618904</v>
      </c>
      <c r="R15" s="2">
        <v>26073333</v>
      </c>
      <c r="S15" s="2">
        <v>27264578</v>
      </c>
      <c r="T15" s="2">
        <v>27241544</v>
      </c>
      <c r="U15" s="2">
        <v>0</v>
      </c>
      <c r="V15" t="str">
        <f t="shared" si="4"/>
        <v>01122</v>
      </c>
      <c r="W15" s="2">
        <v>23690</v>
      </c>
      <c r="X15" s="1">
        <v>0</v>
      </c>
      <c r="Y15" s="1">
        <v>0</v>
      </c>
      <c r="Z15" s="1">
        <v>0</v>
      </c>
    </row>
    <row r="16" spans="1:32" x14ac:dyDescent="0.25">
      <c r="A16" t="s">
        <v>369</v>
      </c>
      <c r="B16" t="s">
        <v>370</v>
      </c>
      <c r="C16" s="1"/>
      <c r="D16" s="1"/>
      <c r="E16" s="1"/>
      <c r="F16" s="1"/>
      <c r="G16" s="2"/>
      <c r="H16" s="2">
        <f>VLOOKUP(A16,VAL!$A$3:$F$298,3,FALSE)</f>
        <v>25500000</v>
      </c>
      <c r="I16" s="2">
        <v>25500000</v>
      </c>
      <c r="J16" s="2">
        <v>12620771580</v>
      </c>
      <c r="K16" s="2">
        <v>13875022261</v>
      </c>
      <c r="L16" s="2">
        <v>15339568229</v>
      </c>
      <c r="M16" s="2">
        <v>18009170258</v>
      </c>
      <c r="N16" s="2">
        <v>22321721769</v>
      </c>
      <c r="O16" s="2">
        <v>22539813810</v>
      </c>
      <c r="P16" s="2">
        <v>24303858553</v>
      </c>
      <c r="Q16" s="2">
        <v>25288648975</v>
      </c>
      <c r="R16" s="2">
        <v>27435730540</v>
      </c>
      <c r="S16" s="2">
        <v>29013719999</v>
      </c>
      <c r="T16" s="2">
        <v>31020870504</v>
      </c>
      <c r="U16" s="2">
        <v>1792182.63</v>
      </c>
      <c r="V16" t="str">
        <f t="shared" si="4"/>
        <v>27403</v>
      </c>
      <c r="W16" s="2">
        <v>18478200</v>
      </c>
      <c r="X16" s="1">
        <v>360314.81</v>
      </c>
      <c r="Y16" s="1">
        <v>47340.489999999991</v>
      </c>
      <c r="Z16" s="1">
        <v>1531490.71</v>
      </c>
    </row>
    <row r="17" spans="1:26" x14ac:dyDescent="0.25">
      <c r="A17" t="s">
        <v>239</v>
      </c>
      <c r="B17" t="s">
        <v>240</v>
      </c>
      <c r="C17" s="1"/>
      <c r="D17" s="1"/>
      <c r="E17" s="1"/>
      <c r="F17" s="1"/>
      <c r="G17" s="2"/>
      <c r="H17" s="2">
        <f>VLOOKUP(A17,VAL!$A$3:$F$298,3,FALSE)</f>
        <v>300000</v>
      </c>
      <c r="I17" s="2">
        <v>300000</v>
      </c>
      <c r="J17" s="2">
        <v>413220679.87</v>
      </c>
      <c r="K17" s="2">
        <v>403534119</v>
      </c>
      <c r="L17" s="2">
        <v>416661633</v>
      </c>
      <c r="M17" s="2">
        <v>388144476</v>
      </c>
      <c r="N17" s="2">
        <v>497968621</v>
      </c>
      <c r="O17" s="2">
        <v>383702435</v>
      </c>
      <c r="P17" s="2">
        <v>384211370</v>
      </c>
      <c r="Q17" s="2">
        <v>397313121</v>
      </c>
      <c r="R17" s="2">
        <v>388820477</v>
      </c>
      <c r="S17" s="2">
        <v>376856469</v>
      </c>
      <c r="T17" s="2">
        <v>378850242</v>
      </c>
      <c r="U17" s="2">
        <v>0</v>
      </c>
      <c r="V17" t="str">
        <f t="shared" si="4"/>
        <v>20203</v>
      </c>
      <c r="W17" s="2">
        <v>142140</v>
      </c>
      <c r="X17" s="1">
        <v>0</v>
      </c>
      <c r="Y17" s="1">
        <v>0</v>
      </c>
      <c r="Z17" s="1">
        <v>0</v>
      </c>
    </row>
    <row r="18" spans="1:26" x14ac:dyDescent="0.25">
      <c r="A18" t="s">
        <v>523</v>
      </c>
      <c r="B18" t="s">
        <v>524</v>
      </c>
      <c r="C18" s="1"/>
      <c r="D18" s="1"/>
      <c r="E18" s="1"/>
      <c r="F18" s="1"/>
      <c r="G18" s="2"/>
      <c r="H18" s="2">
        <f>VLOOKUP(A18,VAL!$A$3:$F$298,3,FALSE)</f>
        <v>7340000</v>
      </c>
      <c r="I18" s="2">
        <v>5503375</v>
      </c>
      <c r="J18" s="2">
        <v>4290480814</v>
      </c>
      <c r="K18" s="2">
        <v>4763490860</v>
      </c>
      <c r="L18" s="2">
        <v>5028661717</v>
      </c>
      <c r="M18" s="2">
        <v>5388331328</v>
      </c>
      <c r="N18" s="2">
        <v>6634870266</v>
      </c>
      <c r="O18" s="2">
        <v>6519605671</v>
      </c>
      <c r="P18" s="2">
        <v>7332583729</v>
      </c>
      <c r="Q18" s="2">
        <v>8101188592</v>
      </c>
      <c r="R18" s="2">
        <v>8959931515</v>
      </c>
      <c r="S18" s="2">
        <v>9624668734</v>
      </c>
      <c r="T18" s="2">
        <v>10654367469</v>
      </c>
      <c r="U18" s="2">
        <v>0</v>
      </c>
      <c r="V18" t="str">
        <f t="shared" si="4"/>
        <v>37503</v>
      </c>
      <c r="W18" s="2">
        <v>2882120.66</v>
      </c>
      <c r="X18" s="1">
        <v>0</v>
      </c>
      <c r="Y18" s="1">
        <v>0</v>
      </c>
      <c r="Z18" s="1">
        <v>0</v>
      </c>
    </row>
    <row r="19" spans="1:26" x14ac:dyDescent="0.25">
      <c r="A19" t="s">
        <v>269</v>
      </c>
      <c r="B19" t="s">
        <v>270</v>
      </c>
      <c r="C19" s="1"/>
      <c r="D19" s="1"/>
      <c r="E19" s="1"/>
      <c r="F19" s="1"/>
      <c r="G19" s="2"/>
      <c r="H19" s="2">
        <f>VLOOKUP(A19,VAL!$A$3:$F$298,3,FALSE)</f>
        <v>250000</v>
      </c>
      <c r="I19" s="2">
        <v>250000</v>
      </c>
      <c r="J19" s="2">
        <v>133737639.8</v>
      </c>
      <c r="K19" s="2">
        <v>164586934.61000001</v>
      </c>
      <c r="L19" s="2">
        <v>181205724</v>
      </c>
      <c r="M19" s="2">
        <v>174739145</v>
      </c>
      <c r="N19" s="2">
        <v>248992600</v>
      </c>
      <c r="O19" s="2">
        <v>221121671</v>
      </c>
      <c r="P19" s="2">
        <v>245737834</v>
      </c>
      <c r="Q19" s="2">
        <v>267376213</v>
      </c>
      <c r="R19" s="2">
        <v>299417500</v>
      </c>
      <c r="S19" s="2">
        <v>331205037</v>
      </c>
      <c r="T19" s="2">
        <v>381417440</v>
      </c>
      <c r="U19" s="2">
        <v>0</v>
      </c>
      <c r="V19" t="str">
        <f t="shared" si="4"/>
        <v>21234</v>
      </c>
      <c r="W19" s="2">
        <v>118851.31</v>
      </c>
      <c r="X19" s="1">
        <v>0</v>
      </c>
      <c r="Y19" s="1">
        <v>0</v>
      </c>
      <c r="Z19" s="1">
        <v>0</v>
      </c>
    </row>
    <row r="20" spans="1:26" x14ac:dyDescent="0.25">
      <c r="A20" t="s">
        <v>215</v>
      </c>
      <c r="B20" t="s">
        <v>216</v>
      </c>
      <c r="C20" s="1"/>
      <c r="D20" s="1"/>
      <c r="E20" s="1"/>
      <c r="F20" s="1"/>
      <c r="G20" s="2"/>
      <c r="H20" s="2">
        <f>VLOOKUP(A20,VAL!$A$3:$F$298,3,FALSE)</f>
        <v>6652154</v>
      </c>
      <c r="I20" s="2">
        <v>6652154</v>
      </c>
      <c r="J20" s="2">
        <v>4442847999.5</v>
      </c>
      <c r="K20" s="2">
        <v>4933504730</v>
      </c>
      <c r="L20" s="2">
        <v>5392533124</v>
      </c>
      <c r="M20" s="2">
        <v>6158835935</v>
      </c>
      <c r="N20" s="2">
        <v>7324731921</v>
      </c>
      <c r="O20" s="2">
        <v>7872055545</v>
      </c>
      <c r="P20" s="2">
        <v>8656509148</v>
      </c>
      <c r="Q20" s="2">
        <v>9664672132</v>
      </c>
      <c r="R20" s="2">
        <v>10591620474</v>
      </c>
      <c r="S20" s="2">
        <v>11979200977</v>
      </c>
      <c r="T20" s="2">
        <v>13276320528</v>
      </c>
      <c r="U20" s="2">
        <v>0</v>
      </c>
      <c r="V20" t="str">
        <f t="shared" si="4"/>
        <v>18100</v>
      </c>
      <c r="W20" s="2">
        <v>6400373.2599999998</v>
      </c>
      <c r="X20" s="1">
        <v>0</v>
      </c>
      <c r="Y20" s="1">
        <v>0</v>
      </c>
      <c r="Z20" s="1">
        <v>0</v>
      </c>
    </row>
    <row r="21" spans="1:26" x14ac:dyDescent="0.25">
      <c r="A21" t="s">
        <v>319</v>
      </c>
      <c r="B21" t="s">
        <v>320</v>
      </c>
      <c r="C21" s="1"/>
      <c r="D21" s="1"/>
      <c r="E21" s="1"/>
      <c r="F21" s="1"/>
      <c r="G21" s="2"/>
      <c r="H21" s="2">
        <f>VLOOKUP(A21,VAL!$A$3:$F$298,3,FALSE)</f>
        <v>672176</v>
      </c>
      <c r="I21" s="2">
        <v>672176</v>
      </c>
      <c r="J21" s="2">
        <v>460821635</v>
      </c>
      <c r="K21" s="2">
        <v>474043636</v>
      </c>
      <c r="L21" s="2">
        <v>494960226</v>
      </c>
      <c r="M21" s="2">
        <v>510552002</v>
      </c>
      <c r="N21" s="2">
        <v>577381851</v>
      </c>
      <c r="O21" s="2">
        <v>556979025</v>
      </c>
      <c r="P21" s="2">
        <v>583275195</v>
      </c>
      <c r="Q21" s="2">
        <v>605902404</v>
      </c>
      <c r="R21" s="2">
        <v>625764407</v>
      </c>
      <c r="S21" s="2">
        <v>650790913</v>
      </c>
      <c r="T21" s="2">
        <v>666283290</v>
      </c>
      <c r="U21" s="2">
        <v>226461.04</v>
      </c>
      <c r="V21" t="str">
        <f t="shared" si="4"/>
        <v>24111</v>
      </c>
      <c r="W21" s="2">
        <v>542479.68000000005</v>
      </c>
      <c r="X21" s="1">
        <v>0</v>
      </c>
      <c r="Y21" s="1">
        <v>0</v>
      </c>
      <c r="Z21" s="1">
        <v>0</v>
      </c>
    </row>
    <row r="22" spans="1:26" x14ac:dyDescent="0.25">
      <c r="A22" t="s">
        <v>86</v>
      </c>
      <c r="B22" t="s">
        <v>87</v>
      </c>
      <c r="C22" s="1"/>
      <c r="D22" s="1"/>
      <c r="E22" s="1"/>
      <c r="F22" s="1"/>
      <c r="G22" s="2"/>
      <c r="H22" s="2">
        <f>VLOOKUP(A22,VAL!$A$3:$F$298,3,FALSE)</f>
        <v>285134</v>
      </c>
      <c r="I22" s="2">
        <v>285134</v>
      </c>
      <c r="J22" s="2">
        <v>159130055</v>
      </c>
      <c r="K22" s="2">
        <v>166734063</v>
      </c>
      <c r="L22" s="2">
        <v>169143554</v>
      </c>
      <c r="M22" s="2">
        <v>176145723</v>
      </c>
      <c r="N22" s="2">
        <v>186433575</v>
      </c>
      <c r="O22" s="2">
        <v>201453144</v>
      </c>
      <c r="P22" s="2">
        <v>210312205</v>
      </c>
      <c r="Q22" s="2">
        <v>217078733</v>
      </c>
      <c r="R22" s="2">
        <v>224191064</v>
      </c>
      <c r="S22" s="2">
        <v>240229018</v>
      </c>
      <c r="T22" s="2">
        <v>249490221</v>
      </c>
      <c r="U22" s="2">
        <v>278940.57</v>
      </c>
      <c r="V22" t="str">
        <f t="shared" si="4"/>
        <v>09075</v>
      </c>
      <c r="W22" s="2">
        <v>141068.56</v>
      </c>
      <c r="X22" s="1">
        <v>66337.78</v>
      </c>
      <c r="Y22" s="1">
        <v>8715.89</v>
      </c>
      <c r="Z22" s="1">
        <v>0</v>
      </c>
    </row>
    <row r="23" spans="1:26" x14ac:dyDescent="0.25">
      <c r="A23" t="s">
        <v>170</v>
      </c>
      <c r="B23" t="s">
        <v>171</v>
      </c>
      <c r="C23" s="1"/>
      <c r="D23" s="1"/>
      <c r="E23" s="1"/>
      <c r="F23" s="1"/>
      <c r="G23" s="2"/>
      <c r="H23" s="2">
        <f>VLOOKUP(A23,VAL!$A$3:$F$298,3,FALSE)</f>
        <v>314681</v>
      </c>
      <c r="I23" s="2">
        <v>228088.67</v>
      </c>
      <c r="J23" s="2">
        <v>302793922</v>
      </c>
      <c r="K23" s="2">
        <v>303966979</v>
      </c>
      <c r="L23" s="2">
        <v>313043686</v>
      </c>
      <c r="M23" s="2">
        <v>337167369</v>
      </c>
      <c r="N23" s="2">
        <v>401807541</v>
      </c>
      <c r="O23" s="2">
        <v>372323731</v>
      </c>
      <c r="P23" s="2">
        <v>384197817</v>
      </c>
      <c r="Q23" s="2">
        <v>399716939</v>
      </c>
      <c r="R23" s="2">
        <v>442019363</v>
      </c>
      <c r="S23" s="2">
        <v>475956806</v>
      </c>
      <c r="T23" s="2">
        <v>507143460</v>
      </c>
      <c r="U23" s="2">
        <v>0</v>
      </c>
      <c r="V23" t="str">
        <f t="shared" si="4"/>
        <v>16046</v>
      </c>
      <c r="W23" s="2">
        <v>141132.07</v>
      </c>
      <c r="X23" s="1">
        <v>0</v>
      </c>
      <c r="Y23" s="1">
        <v>0</v>
      </c>
      <c r="Z23" s="1">
        <v>0</v>
      </c>
    </row>
    <row r="24" spans="1:26" x14ac:dyDescent="0.25">
      <c r="A24" t="s">
        <v>387</v>
      </c>
      <c r="B24" t="s">
        <v>388</v>
      </c>
      <c r="C24" s="1"/>
      <c r="D24" s="1"/>
      <c r="E24" s="1"/>
      <c r="F24" s="1"/>
      <c r="G24" s="2"/>
      <c r="H24" s="2">
        <f>VLOOKUP(A24,VAL!$A$3:$F$298,3,FALSE)</f>
        <v>9100000</v>
      </c>
      <c r="I24" s="2">
        <v>9100000</v>
      </c>
      <c r="J24" s="2">
        <v>3723611061</v>
      </c>
      <c r="K24" s="2">
        <v>4024115440</v>
      </c>
      <c r="L24" s="2">
        <v>4327094193</v>
      </c>
      <c r="M24" s="2">
        <v>4934278356</v>
      </c>
      <c r="N24" s="2">
        <v>5869252196</v>
      </c>
      <c r="O24" s="2">
        <v>5967658732</v>
      </c>
      <c r="P24" s="2">
        <v>6574946246</v>
      </c>
      <c r="Q24" s="2">
        <v>7239604175</v>
      </c>
      <c r="R24" s="2">
        <v>7691106525</v>
      </c>
      <c r="S24" s="2">
        <v>8410636735</v>
      </c>
      <c r="T24" s="2">
        <v>9443175720</v>
      </c>
      <c r="U24" s="2">
        <v>0</v>
      </c>
      <c r="V24" t="str">
        <f t="shared" si="4"/>
        <v>29100</v>
      </c>
      <c r="W24" s="2">
        <v>4568236.6100000003</v>
      </c>
      <c r="X24" s="1">
        <v>0</v>
      </c>
      <c r="Y24" s="1">
        <v>0</v>
      </c>
      <c r="Z24" s="1">
        <v>0</v>
      </c>
    </row>
    <row r="25" spans="1:26" x14ac:dyDescent="0.25">
      <c r="A25" t="s">
        <v>62</v>
      </c>
      <c r="B25" t="s">
        <v>63</v>
      </c>
      <c r="C25" s="1"/>
      <c r="D25" s="1"/>
      <c r="E25" s="1"/>
      <c r="F25" s="1"/>
      <c r="G25" s="2"/>
      <c r="H25" s="2">
        <f>VLOOKUP(A25,VAL!$A$3:$F$298,3,FALSE)</f>
        <v>16583000</v>
      </c>
      <c r="I25" s="2">
        <v>16583000</v>
      </c>
      <c r="J25" s="2">
        <v>6062219212</v>
      </c>
      <c r="K25" s="2">
        <v>6377588029</v>
      </c>
      <c r="L25" s="2">
        <v>6733876264</v>
      </c>
      <c r="M25" s="2">
        <v>7476577401</v>
      </c>
      <c r="N25" s="2">
        <v>9304742279</v>
      </c>
      <c r="O25" s="2">
        <v>9402415955</v>
      </c>
      <c r="P25" s="2">
        <v>9928312866</v>
      </c>
      <c r="Q25" s="2">
        <v>10544195857</v>
      </c>
      <c r="R25" s="2">
        <v>11209835564</v>
      </c>
      <c r="S25" s="2">
        <v>11660613849</v>
      </c>
      <c r="T25" s="2">
        <v>12058144298</v>
      </c>
      <c r="U25" s="2">
        <v>178577.33</v>
      </c>
      <c r="V25" t="str">
        <f t="shared" si="4"/>
        <v>06117</v>
      </c>
      <c r="W25" s="2">
        <v>8139884</v>
      </c>
      <c r="X25" s="1">
        <v>0</v>
      </c>
      <c r="Y25" s="1">
        <v>0</v>
      </c>
      <c r="Z25" s="1">
        <v>558460.81999999995</v>
      </c>
    </row>
    <row r="26" spans="1:26" x14ac:dyDescent="0.25">
      <c r="A26" t="s">
        <v>46</v>
      </c>
      <c r="B26" t="s">
        <v>47</v>
      </c>
      <c r="C26" s="1"/>
      <c r="D26" s="1"/>
      <c r="E26" s="1"/>
      <c r="F26" s="1"/>
      <c r="G26" s="2"/>
      <c r="H26" s="2">
        <f>VLOOKUP(A26,VAL!$A$3:$F$298,3,FALSE)</f>
        <v>275000</v>
      </c>
      <c r="I26" s="2">
        <v>276341.59999999998</v>
      </c>
      <c r="J26" s="2">
        <v>139062654</v>
      </c>
      <c r="K26" s="2">
        <v>143559463</v>
      </c>
      <c r="L26" s="2">
        <v>156885013</v>
      </c>
      <c r="M26" s="2">
        <v>161771048</v>
      </c>
      <c r="N26" s="2">
        <v>191806984</v>
      </c>
      <c r="O26" s="2">
        <v>179280092</v>
      </c>
      <c r="P26" s="2">
        <v>189274327</v>
      </c>
      <c r="Q26" s="2">
        <v>198285117</v>
      </c>
      <c r="R26" s="2">
        <v>210675868</v>
      </c>
      <c r="S26" s="2">
        <v>224234353</v>
      </c>
      <c r="T26" s="2">
        <v>235648318</v>
      </c>
      <c r="U26" s="2">
        <v>172337.79</v>
      </c>
      <c r="V26" t="str">
        <f t="shared" si="4"/>
        <v>05401</v>
      </c>
      <c r="W26" s="2">
        <v>171735.56</v>
      </c>
      <c r="X26" s="1">
        <v>56144.5</v>
      </c>
      <c r="Y26" s="1">
        <v>7376.6299999999974</v>
      </c>
      <c r="Z26" s="1">
        <v>0</v>
      </c>
    </row>
    <row r="27" spans="1:26" x14ac:dyDescent="0.25">
      <c r="A27" t="s">
        <v>353</v>
      </c>
      <c r="B27" t="s">
        <v>354</v>
      </c>
      <c r="C27" s="1"/>
      <c r="D27" s="1"/>
      <c r="E27" s="1"/>
      <c r="F27" s="1"/>
      <c r="G27" s="2"/>
      <c r="H27" s="2">
        <f>VLOOKUP(A27,VAL!$A$3:$F$298,3,FALSE)</f>
        <v>607000</v>
      </c>
      <c r="I27" s="2">
        <v>607000</v>
      </c>
      <c r="J27" s="2">
        <v>123591715</v>
      </c>
      <c r="K27" s="2">
        <v>133177949</v>
      </c>
      <c r="L27" s="2">
        <v>146196402</v>
      </c>
      <c r="M27" s="2">
        <v>167501825</v>
      </c>
      <c r="N27" s="2">
        <v>197710747</v>
      </c>
      <c r="O27" s="2">
        <v>207767702</v>
      </c>
      <c r="P27" s="2">
        <v>220824230</v>
      </c>
      <c r="Q27" s="2">
        <v>233132268</v>
      </c>
      <c r="R27" s="2">
        <v>248329013</v>
      </c>
      <c r="S27" s="2">
        <v>264513374</v>
      </c>
      <c r="T27" s="2">
        <v>280433636</v>
      </c>
      <c r="U27" s="2">
        <v>36780.53</v>
      </c>
      <c r="V27" t="str">
        <f t="shared" si="4"/>
        <v>27019</v>
      </c>
      <c r="W27" s="2">
        <v>194708.11</v>
      </c>
      <c r="X27" s="1">
        <v>16120.38</v>
      </c>
      <c r="Y27" s="1">
        <v>2118.0000000000018</v>
      </c>
      <c r="Z27" s="1">
        <v>2086.73</v>
      </c>
    </row>
    <row r="28" spans="1:26" x14ac:dyDescent="0.25">
      <c r="A28" t="s">
        <v>36</v>
      </c>
      <c r="B28" t="s">
        <v>37</v>
      </c>
      <c r="C28" s="1"/>
      <c r="D28" s="1"/>
      <c r="E28" s="1"/>
      <c r="F28" s="1"/>
      <c r="G28" s="2"/>
      <c r="H28" s="2">
        <f>VLOOKUP(A28,VAL!$A$3:$F$298,3,FALSE)</f>
        <v>3195365</v>
      </c>
      <c r="I28" s="2">
        <v>3195365</v>
      </c>
      <c r="J28" s="2">
        <v>2707334479</v>
      </c>
      <c r="K28" s="2">
        <v>3089854467</v>
      </c>
      <c r="L28" s="2">
        <v>3382824774</v>
      </c>
      <c r="M28" s="2">
        <v>3726474004</v>
      </c>
      <c r="N28" s="2">
        <v>4665616599</v>
      </c>
      <c r="O28" s="2">
        <v>4680915473</v>
      </c>
      <c r="P28" s="2">
        <v>5112895347</v>
      </c>
      <c r="Q28" s="2">
        <v>5761615704</v>
      </c>
      <c r="R28" s="2">
        <v>6581413334</v>
      </c>
      <c r="S28" s="2">
        <v>7411074116</v>
      </c>
      <c r="T28" s="2">
        <v>8231036591</v>
      </c>
      <c r="U28" s="2">
        <v>0</v>
      </c>
      <c r="V28" t="str">
        <f t="shared" si="4"/>
        <v>04228</v>
      </c>
      <c r="W28" s="2">
        <v>1652822.55</v>
      </c>
      <c r="X28" s="1">
        <v>0</v>
      </c>
      <c r="Y28" s="1">
        <v>0</v>
      </c>
      <c r="Z28" s="1">
        <v>0</v>
      </c>
    </row>
    <row r="29" spans="1:26" x14ac:dyDescent="0.25">
      <c r="A29" t="s">
        <v>34</v>
      </c>
      <c r="B29" t="s">
        <v>35</v>
      </c>
      <c r="C29" s="1"/>
      <c r="D29" s="1"/>
      <c r="E29" s="1"/>
      <c r="F29" s="1"/>
      <c r="G29" s="2"/>
      <c r="H29" s="2">
        <f>VLOOKUP(A29,VAL!$A$3:$F$298,3,FALSE)</f>
        <v>1462859</v>
      </c>
      <c r="I29" s="2">
        <v>1462859</v>
      </c>
      <c r="J29" s="2">
        <v>818511282</v>
      </c>
      <c r="K29" s="2">
        <v>886510513</v>
      </c>
      <c r="L29" s="2">
        <v>970640272</v>
      </c>
      <c r="M29" s="2">
        <v>1096938693</v>
      </c>
      <c r="N29" s="2">
        <v>1260503994</v>
      </c>
      <c r="O29" s="2">
        <v>1328747009</v>
      </c>
      <c r="P29" s="2">
        <v>1418775501</v>
      </c>
      <c r="Q29" s="2">
        <v>1519025195</v>
      </c>
      <c r="R29" s="2">
        <v>1676267857</v>
      </c>
      <c r="S29" s="2">
        <v>1834830429</v>
      </c>
      <c r="T29" s="2">
        <v>2022925742</v>
      </c>
      <c r="U29" s="2">
        <v>275311.94</v>
      </c>
      <c r="V29" t="str">
        <f t="shared" si="4"/>
        <v>04222</v>
      </c>
      <c r="W29" s="2">
        <v>978545.77</v>
      </c>
      <c r="X29" s="1">
        <v>30677.56</v>
      </c>
      <c r="Y29" s="1">
        <v>4030.619999999999</v>
      </c>
      <c r="Z29" s="1">
        <v>67391.679999999993</v>
      </c>
    </row>
    <row r="30" spans="1:26" x14ac:dyDescent="0.25">
      <c r="A30" t="s">
        <v>76</v>
      </c>
      <c r="B30" t="s">
        <v>77</v>
      </c>
      <c r="C30" s="1"/>
      <c r="D30" s="1"/>
      <c r="E30" s="1"/>
      <c r="F30" s="1"/>
      <c r="G30" s="2"/>
      <c r="H30" s="2">
        <f>VLOOKUP(A30,VAL!$A$3:$F$298,3,FALSE)</f>
        <v>1455000</v>
      </c>
      <c r="I30" s="2">
        <v>1455000</v>
      </c>
      <c r="J30" s="2">
        <v>973409302</v>
      </c>
      <c r="K30" s="2">
        <v>1109342056.4300001</v>
      </c>
      <c r="L30" s="2">
        <v>1190291405</v>
      </c>
      <c r="M30" s="2">
        <v>1364401750</v>
      </c>
      <c r="N30" s="2">
        <v>1711205579</v>
      </c>
      <c r="O30" s="2">
        <v>1695807549</v>
      </c>
      <c r="P30" s="2">
        <v>1857662864</v>
      </c>
      <c r="Q30" s="2">
        <v>2082415837</v>
      </c>
      <c r="R30" s="2">
        <v>2310043431</v>
      </c>
      <c r="S30" s="2">
        <v>2577265956</v>
      </c>
      <c r="T30" s="2">
        <v>2901118219</v>
      </c>
      <c r="U30" s="2">
        <v>71027.47</v>
      </c>
      <c r="V30" t="str">
        <f t="shared" si="4"/>
        <v>08401</v>
      </c>
      <c r="W30" s="2">
        <v>1220035</v>
      </c>
      <c r="X30" s="1">
        <v>50119.71</v>
      </c>
      <c r="Y30" s="1">
        <v>6585.0500000000029</v>
      </c>
      <c r="Z30" s="1">
        <v>140330.82999999999</v>
      </c>
    </row>
    <row r="31" spans="1:26" x14ac:dyDescent="0.25">
      <c r="A31" t="s">
        <v>241</v>
      </c>
      <c r="B31" t="s">
        <v>242</v>
      </c>
      <c r="C31" s="1"/>
      <c r="D31" s="1"/>
      <c r="E31" s="1"/>
      <c r="F31" s="1"/>
      <c r="G31" s="2"/>
      <c r="H31" s="2">
        <f>VLOOKUP(A31,VAL!$A$3:$F$298,3,FALSE)</f>
        <v>225000</v>
      </c>
      <c r="I31" s="2">
        <v>225000</v>
      </c>
      <c r="J31" s="2">
        <v>147755611.16999999</v>
      </c>
      <c r="K31" s="2">
        <v>143927583</v>
      </c>
      <c r="L31" s="2">
        <v>147736312</v>
      </c>
      <c r="M31" s="2">
        <v>146114051</v>
      </c>
      <c r="N31" s="2">
        <v>164229886</v>
      </c>
      <c r="O31" s="2">
        <v>146085849</v>
      </c>
      <c r="P31" s="2">
        <v>146237860</v>
      </c>
      <c r="Q31" s="2">
        <v>145048931</v>
      </c>
      <c r="R31" s="2">
        <v>139376211</v>
      </c>
      <c r="S31" s="2">
        <v>137482521</v>
      </c>
      <c r="T31" s="2">
        <v>136149013</v>
      </c>
      <c r="U31" s="2">
        <v>0</v>
      </c>
      <c r="V31" t="str">
        <f t="shared" si="4"/>
        <v>20215</v>
      </c>
      <c r="W31" s="2">
        <v>123162.89</v>
      </c>
      <c r="X31" s="1">
        <v>0</v>
      </c>
      <c r="Y31" s="1">
        <v>0</v>
      </c>
      <c r="Z31" s="1">
        <v>0</v>
      </c>
    </row>
    <row r="32" spans="1:26" x14ac:dyDescent="0.25">
      <c r="A32" t="s">
        <v>221</v>
      </c>
      <c r="B32" t="s">
        <v>222</v>
      </c>
      <c r="C32" s="1"/>
      <c r="D32" s="1"/>
      <c r="E32" s="1"/>
      <c r="F32" s="1"/>
      <c r="G32" s="2"/>
      <c r="H32" s="2">
        <f>VLOOKUP(A32,VAL!$A$3:$F$298,3,FALSE)</f>
        <v>22900000</v>
      </c>
      <c r="I32" s="2">
        <v>22900000</v>
      </c>
      <c r="J32" s="2">
        <v>8441276517</v>
      </c>
      <c r="K32" s="2">
        <v>9386593416</v>
      </c>
      <c r="L32" s="2">
        <v>9995766161</v>
      </c>
      <c r="M32" s="2">
        <v>11034694802</v>
      </c>
      <c r="N32" s="2">
        <v>13118108614</v>
      </c>
      <c r="O32" s="2">
        <v>13749643578</v>
      </c>
      <c r="P32" s="2">
        <v>15364506783</v>
      </c>
      <c r="Q32" s="2">
        <v>16772071739</v>
      </c>
      <c r="R32" s="2">
        <v>18561191187</v>
      </c>
      <c r="S32" s="2">
        <v>20571258375</v>
      </c>
      <c r="T32" s="2">
        <v>22775351952</v>
      </c>
      <c r="U32" s="2">
        <v>529027.1</v>
      </c>
      <c r="V32" t="str">
        <f t="shared" si="4"/>
        <v>18401</v>
      </c>
      <c r="W32" s="2">
        <v>8291500</v>
      </c>
      <c r="X32" s="1">
        <v>869409.28000000003</v>
      </c>
      <c r="Y32" s="1">
        <v>114228.59999999998</v>
      </c>
      <c r="Z32" s="1">
        <v>0</v>
      </c>
    </row>
    <row r="33" spans="1:26" x14ac:dyDescent="0.25">
      <c r="A33" t="s">
        <v>447</v>
      </c>
      <c r="B33" t="s">
        <v>448</v>
      </c>
      <c r="C33" s="1"/>
      <c r="D33" s="1"/>
      <c r="E33" s="1"/>
      <c r="F33" s="1"/>
      <c r="G33" s="2"/>
      <c r="H33" s="2">
        <f>VLOOKUP(A33,VAL!$A$3:$F$298,3,FALSE)</f>
        <v>13646750</v>
      </c>
      <c r="I33" s="2">
        <v>13646750</v>
      </c>
      <c r="J33" s="2">
        <v>8964462238</v>
      </c>
      <c r="K33" s="2">
        <v>9888686136</v>
      </c>
      <c r="L33" s="2">
        <v>11183601079</v>
      </c>
      <c r="M33" s="2">
        <v>12602270522</v>
      </c>
      <c r="N33" s="2">
        <v>16404282642</v>
      </c>
      <c r="O33" s="2">
        <v>17438964263</v>
      </c>
      <c r="P33" s="2">
        <v>18647966020</v>
      </c>
      <c r="Q33" s="2">
        <v>20175606632</v>
      </c>
      <c r="R33" s="2">
        <v>21524295723</v>
      </c>
      <c r="S33" s="2">
        <v>23066125427</v>
      </c>
      <c r="T33" s="2">
        <v>24871950480</v>
      </c>
      <c r="U33" s="2">
        <v>1244533.06</v>
      </c>
      <c r="V33" t="str">
        <f t="shared" si="4"/>
        <v>32356</v>
      </c>
      <c r="W33" s="2">
        <v>13840171.800000001</v>
      </c>
      <c r="X33" s="1">
        <v>222461.18</v>
      </c>
      <c r="Y33" s="1">
        <v>29228.380000000005</v>
      </c>
      <c r="Z33" s="1">
        <v>1590253.78</v>
      </c>
    </row>
    <row r="34" spans="1:26" x14ac:dyDescent="0.25">
      <c r="A34" t="s">
        <v>281</v>
      </c>
      <c r="B34" t="s">
        <v>282</v>
      </c>
      <c r="C34" s="1"/>
      <c r="D34" s="1"/>
      <c r="E34" s="1"/>
      <c r="F34" s="1"/>
      <c r="G34" s="2"/>
      <c r="H34" s="2">
        <f>VLOOKUP(A34,VAL!$A$3:$F$298,3,FALSE)</f>
        <v>3300000</v>
      </c>
      <c r="I34" s="2">
        <v>3300000</v>
      </c>
      <c r="J34" s="2">
        <v>2153425530.04</v>
      </c>
      <c r="K34" s="2">
        <v>2618050594.9299998</v>
      </c>
      <c r="L34" s="2">
        <v>2980087683</v>
      </c>
      <c r="M34" s="2">
        <v>3179689130</v>
      </c>
      <c r="N34" s="2">
        <v>4131948094</v>
      </c>
      <c r="O34" s="2">
        <v>4152488233</v>
      </c>
      <c r="P34" s="2">
        <v>4719488174</v>
      </c>
      <c r="Q34" s="2">
        <v>5356462339</v>
      </c>
      <c r="R34" s="2">
        <v>6149580152</v>
      </c>
      <c r="S34" s="2">
        <v>7011303781</v>
      </c>
      <c r="T34" s="2">
        <v>7859938891</v>
      </c>
      <c r="U34" s="2">
        <v>224501.14</v>
      </c>
      <c r="V34" t="str">
        <f t="shared" si="4"/>
        <v>21401</v>
      </c>
      <c r="W34" s="2">
        <v>2132100</v>
      </c>
      <c r="X34" s="1">
        <v>123624.16</v>
      </c>
      <c r="Y34" s="1">
        <v>16242.540000000008</v>
      </c>
      <c r="Z34" s="1">
        <v>252820.25</v>
      </c>
    </row>
    <row r="35" spans="1:26" x14ac:dyDescent="0.25">
      <c r="A35" t="s">
        <v>277</v>
      </c>
      <c r="B35" t="s">
        <v>278</v>
      </c>
      <c r="C35" s="1"/>
      <c r="D35" s="1"/>
      <c r="E35" s="1"/>
      <c r="F35" s="1"/>
      <c r="G35" s="2"/>
      <c r="H35" s="2">
        <f>VLOOKUP(A35,VAL!$A$3:$F$298,3,FALSE)</f>
        <v>5000000</v>
      </c>
      <c r="I35" s="2">
        <v>5000000</v>
      </c>
      <c r="J35" s="2">
        <v>1929730765.4200001</v>
      </c>
      <c r="K35" s="2">
        <v>2094437182.6700001</v>
      </c>
      <c r="L35" s="2">
        <v>2305335307</v>
      </c>
      <c r="M35" s="2">
        <v>2592795778</v>
      </c>
      <c r="N35" s="2">
        <v>3027198100</v>
      </c>
      <c r="O35" s="2">
        <v>3177089642</v>
      </c>
      <c r="P35" s="2">
        <v>3492810446</v>
      </c>
      <c r="Q35" s="2">
        <v>3702444960</v>
      </c>
      <c r="R35" s="2">
        <v>4124546607</v>
      </c>
      <c r="S35" s="2">
        <v>4442975951</v>
      </c>
      <c r="T35" s="2">
        <v>5049809792</v>
      </c>
      <c r="U35" s="2">
        <v>270395.37</v>
      </c>
      <c r="V35" t="str">
        <f t="shared" si="4"/>
        <v>21302</v>
      </c>
      <c r="W35" s="2">
        <v>2565627</v>
      </c>
      <c r="X35" s="1">
        <v>227329.86</v>
      </c>
      <c r="Y35" s="1">
        <v>29868.060000000027</v>
      </c>
      <c r="Z35" s="1">
        <v>196589.9</v>
      </c>
    </row>
    <row r="36" spans="1:26" x14ac:dyDescent="0.25">
      <c r="A36" t="s">
        <v>451</v>
      </c>
      <c r="B36" t="s">
        <v>452</v>
      </c>
      <c r="C36" s="1"/>
      <c r="D36" s="1"/>
      <c r="E36" s="1"/>
      <c r="F36" s="1"/>
      <c r="G36" s="2"/>
      <c r="H36" s="2">
        <f>VLOOKUP(A36,VAL!$A$3:$F$298,3,FALSE)</f>
        <v>5800000</v>
      </c>
      <c r="I36" s="2">
        <v>5800000</v>
      </c>
      <c r="J36" s="2">
        <v>3860781609</v>
      </c>
      <c r="K36" s="2">
        <v>4400617859</v>
      </c>
      <c r="L36" s="2">
        <v>4919859903</v>
      </c>
      <c r="M36" s="2">
        <v>5521050049</v>
      </c>
      <c r="N36" s="2">
        <v>7126428321</v>
      </c>
      <c r="O36" s="2">
        <v>7781822242</v>
      </c>
      <c r="P36" s="2">
        <v>8222224287</v>
      </c>
      <c r="Q36" s="2">
        <v>8635158541</v>
      </c>
      <c r="R36" s="2">
        <v>9227405457</v>
      </c>
      <c r="S36" s="2">
        <v>9656050924</v>
      </c>
      <c r="T36" s="2">
        <v>10072523684</v>
      </c>
      <c r="U36" s="2">
        <v>7059.72</v>
      </c>
      <c r="V36" t="str">
        <f t="shared" si="4"/>
        <v>32360</v>
      </c>
      <c r="W36" s="2">
        <v>4122060</v>
      </c>
      <c r="X36" s="1">
        <v>0</v>
      </c>
      <c r="Y36" s="1">
        <v>0</v>
      </c>
      <c r="Z36" s="1">
        <v>117367.13</v>
      </c>
    </row>
    <row r="37" spans="1:26" x14ac:dyDescent="0.25">
      <c r="A37" t="s">
        <v>465</v>
      </c>
      <c r="B37" t="s">
        <v>466</v>
      </c>
      <c r="C37" s="1"/>
      <c r="D37" s="1"/>
      <c r="E37" s="1"/>
      <c r="F37" s="1"/>
      <c r="G37" s="2"/>
      <c r="H37" s="2">
        <f>VLOOKUP(A37,VAL!$A$3:$F$298,3,FALSE)</f>
        <v>1000000</v>
      </c>
      <c r="I37" s="2">
        <v>1000000</v>
      </c>
      <c r="J37" s="2">
        <v>530050324.14999998</v>
      </c>
      <c r="K37" s="2">
        <v>576604544</v>
      </c>
      <c r="L37" s="2">
        <v>591883090</v>
      </c>
      <c r="M37" s="2">
        <v>634453817</v>
      </c>
      <c r="N37" s="2">
        <v>712364954</v>
      </c>
      <c r="O37" s="2">
        <v>735997819</v>
      </c>
      <c r="P37" s="2">
        <v>793067059</v>
      </c>
      <c r="Q37" s="2">
        <v>834371645</v>
      </c>
      <c r="R37" s="2">
        <v>914760671</v>
      </c>
      <c r="S37" s="2">
        <v>995016903</v>
      </c>
      <c r="T37" s="2">
        <v>1032828810</v>
      </c>
      <c r="U37" s="2">
        <v>45061.37</v>
      </c>
      <c r="V37" t="str">
        <f t="shared" si="4"/>
        <v>33036</v>
      </c>
      <c r="W37" s="2">
        <v>473800</v>
      </c>
      <c r="X37" s="1">
        <v>0</v>
      </c>
      <c r="Y37" s="1">
        <v>0</v>
      </c>
      <c r="Z37" s="1">
        <v>58414.05</v>
      </c>
    </row>
    <row r="38" spans="1:26" x14ac:dyDescent="0.25">
      <c r="A38" t="s">
        <v>174</v>
      </c>
      <c r="B38" t="s">
        <v>175</v>
      </c>
      <c r="C38" s="1"/>
      <c r="D38" s="1"/>
      <c r="E38" s="1"/>
      <c r="F38" s="1"/>
      <c r="G38" s="2"/>
      <c r="H38" s="2">
        <f>VLOOKUP(A38,VAL!$A$3:$F$298,3,FALSE)</f>
        <v>3595000</v>
      </c>
      <c r="I38" s="2">
        <v>2359364.2000000002</v>
      </c>
      <c r="J38" s="2">
        <v>2023726880</v>
      </c>
      <c r="K38" s="2">
        <v>2168828584</v>
      </c>
      <c r="L38" s="2">
        <v>2359328946</v>
      </c>
      <c r="M38" s="2">
        <v>2587759535</v>
      </c>
      <c r="N38" s="2">
        <v>3159221403</v>
      </c>
      <c r="O38" s="2">
        <v>3092446983</v>
      </c>
      <c r="P38" s="2">
        <v>3302448239</v>
      </c>
      <c r="Q38" s="2">
        <v>3583920263</v>
      </c>
      <c r="R38" s="2">
        <v>4003577254</v>
      </c>
      <c r="S38" s="2">
        <v>4343641632</v>
      </c>
      <c r="T38" s="2">
        <v>4772006008</v>
      </c>
      <c r="U38" s="2">
        <v>0</v>
      </c>
      <c r="V38" t="str">
        <f t="shared" si="4"/>
        <v>16049</v>
      </c>
      <c r="W38" s="2">
        <v>995771.75</v>
      </c>
      <c r="X38" s="1">
        <v>0</v>
      </c>
      <c r="Y38" s="1">
        <v>0</v>
      </c>
      <c r="Z38" s="1">
        <v>0</v>
      </c>
    </row>
    <row r="39" spans="1:26" x14ac:dyDescent="0.25">
      <c r="A39" t="s">
        <v>10</v>
      </c>
      <c r="B39" t="s">
        <v>11</v>
      </c>
      <c r="C39" s="1"/>
      <c r="D39" s="1"/>
      <c r="E39" s="1"/>
      <c r="F39" s="1"/>
      <c r="G39" s="2"/>
      <c r="H39" s="2">
        <f>VLOOKUP(A39,VAL!$A$3:$F$298,3,FALSE)</f>
        <v>2337122</v>
      </c>
      <c r="I39" s="2">
        <v>2337112</v>
      </c>
      <c r="J39" s="2">
        <v>1309443970</v>
      </c>
      <c r="K39" s="2">
        <v>1448070953</v>
      </c>
      <c r="L39" s="2">
        <v>1500840770</v>
      </c>
      <c r="M39" s="2">
        <v>1605107732</v>
      </c>
      <c r="N39" s="2">
        <v>1621650392</v>
      </c>
      <c r="O39" s="2">
        <v>1754116227</v>
      </c>
      <c r="P39" s="2">
        <v>1842167942</v>
      </c>
      <c r="Q39" s="2">
        <v>1931052467</v>
      </c>
      <c r="R39" s="2">
        <v>2028575769</v>
      </c>
      <c r="S39" s="2">
        <v>2095453229</v>
      </c>
      <c r="T39" s="2">
        <v>2238238352</v>
      </c>
      <c r="U39" s="2">
        <v>492883.47</v>
      </c>
      <c r="V39" t="str">
        <f t="shared" si="4"/>
        <v>02250</v>
      </c>
      <c r="W39" s="2">
        <v>1473853.92</v>
      </c>
      <c r="X39" s="1">
        <v>265269.73</v>
      </c>
      <c r="Y39" s="1">
        <v>34852.850000000035</v>
      </c>
      <c r="Z39" s="1">
        <v>0</v>
      </c>
    </row>
    <row r="40" spans="1:26" x14ac:dyDescent="0.25">
      <c r="A40" t="s">
        <v>235</v>
      </c>
      <c r="B40" t="s">
        <v>236</v>
      </c>
      <c r="C40" s="1"/>
      <c r="D40" s="1"/>
      <c r="E40" s="1"/>
      <c r="F40" s="1"/>
      <c r="G40" s="2"/>
      <c r="H40" s="2">
        <f>VLOOKUP(A40,VAL!$A$3:$F$298,3,FALSE)</f>
        <v>2200000</v>
      </c>
      <c r="I40" s="2">
        <v>2200000</v>
      </c>
      <c r="J40" s="2">
        <v>3009986073.8000002</v>
      </c>
      <c r="K40" s="2">
        <v>3524938264.8000002</v>
      </c>
      <c r="L40" s="2">
        <v>4005527596</v>
      </c>
      <c r="M40" s="2">
        <v>4475531924</v>
      </c>
      <c r="N40" s="2">
        <v>6054358133</v>
      </c>
      <c r="O40" s="2">
        <v>5746876521</v>
      </c>
      <c r="P40" s="2">
        <v>6397844288</v>
      </c>
      <c r="Q40" s="2">
        <v>7004722362</v>
      </c>
      <c r="R40" s="2">
        <v>8231616900</v>
      </c>
      <c r="S40" s="2">
        <v>9175130966</v>
      </c>
      <c r="T40" s="2">
        <v>10096628646</v>
      </c>
      <c r="U40" s="2">
        <v>0</v>
      </c>
      <c r="V40" t="str">
        <f t="shared" si="4"/>
        <v>19404</v>
      </c>
      <c r="W40" s="2">
        <v>1172584.73</v>
      </c>
      <c r="X40" s="1">
        <v>0</v>
      </c>
      <c r="Y40" s="1">
        <v>0</v>
      </c>
      <c r="Z40" s="1">
        <v>0</v>
      </c>
    </row>
    <row r="41" spans="1:26" x14ac:dyDescent="0.25">
      <c r="A41" t="s">
        <v>363</v>
      </c>
      <c r="B41" t="s">
        <v>364</v>
      </c>
      <c r="C41" s="1"/>
      <c r="D41" s="1"/>
      <c r="E41" s="1"/>
      <c r="F41" s="1"/>
      <c r="G41" s="2"/>
      <c r="H41" s="2">
        <f>VLOOKUP(A41,VAL!$A$3:$F$298,3,FALSE)</f>
        <v>23500000</v>
      </c>
      <c r="I41" s="2">
        <v>23500000</v>
      </c>
      <c r="J41" s="2">
        <v>6895908379</v>
      </c>
      <c r="K41" s="2">
        <v>7445006727</v>
      </c>
      <c r="L41" s="2">
        <v>8106931001</v>
      </c>
      <c r="M41" s="2">
        <v>9362171786</v>
      </c>
      <c r="N41" s="2">
        <v>10952342777</v>
      </c>
      <c r="O41" s="2">
        <v>11403384260</v>
      </c>
      <c r="P41" s="2">
        <v>11886123846</v>
      </c>
      <c r="Q41" s="2">
        <v>12358885949</v>
      </c>
      <c r="R41" s="2">
        <v>12989438175</v>
      </c>
      <c r="S41" s="2">
        <v>13718836383</v>
      </c>
      <c r="T41" s="2">
        <v>14609648774</v>
      </c>
      <c r="U41" s="2">
        <v>1692311.94</v>
      </c>
      <c r="V41" t="str">
        <f t="shared" si="4"/>
        <v>27400</v>
      </c>
      <c r="W41" s="2">
        <v>10473403.01</v>
      </c>
      <c r="X41" s="1">
        <v>1029098.69</v>
      </c>
      <c r="Y41" s="1">
        <v>135209.63000000012</v>
      </c>
      <c r="Z41" s="1">
        <v>668202.51</v>
      </c>
    </row>
    <row r="42" spans="1:26" x14ac:dyDescent="0.25">
      <c r="A42" t="s">
        <v>541</v>
      </c>
      <c r="B42" t="s">
        <v>542</v>
      </c>
      <c r="C42" s="1"/>
      <c r="D42" s="1"/>
      <c r="E42" s="1"/>
      <c r="F42" s="1"/>
      <c r="G42" s="2"/>
      <c r="H42" s="2">
        <f>VLOOKUP(A42,VAL!$A$3:$F$298,3,FALSE)</f>
        <v>750000</v>
      </c>
      <c r="I42" s="2">
        <v>750000</v>
      </c>
      <c r="J42" s="2">
        <v>437627523</v>
      </c>
      <c r="K42" s="2">
        <v>442429728</v>
      </c>
      <c r="L42" s="2">
        <v>462732374</v>
      </c>
      <c r="M42" s="2">
        <v>468940708</v>
      </c>
      <c r="N42" s="2">
        <v>477197813</v>
      </c>
      <c r="O42" s="2">
        <v>485297657</v>
      </c>
      <c r="P42" s="2">
        <v>523043815</v>
      </c>
      <c r="Q42" s="2">
        <v>545265652</v>
      </c>
      <c r="R42" s="2">
        <v>558452466</v>
      </c>
      <c r="S42" s="2">
        <v>597093923</v>
      </c>
      <c r="T42" s="2">
        <v>638346844</v>
      </c>
      <c r="U42" s="2">
        <v>49721.15</v>
      </c>
      <c r="V42" t="str">
        <f t="shared" si="4"/>
        <v>38300</v>
      </c>
      <c r="W42" s="2">
        <v>426420</v>
      </c>
      <c r="X42" s="1">
        <v>57202.9</v>
      </c>
      <c r="Y42" s="1">
        <v>7515.6899999999951</v>
      </c>
      <c r="Z42" s="1">
        <v>5947.64</v>
      </c>
    </row>
    <row r="43" spans="1:26" x14ac:dyDescent="0.25">
      <c r="A43" t="s">
        <v>509</v>
      </c>
      <c r="B43" t="s">
        <v>510</v>
      </c>
      <c r="C43" s="1"/>
      <c r="D43" s="1"/>
      <c r="E43" s="1"/>
      <c r="F43" s="1"/>
      <c r="G43" s="2"/>
      <c r="H43" s="2">
        <f>VLOOKUP(A43,VAL!$A$3:$F$298,3,FALSE)</f>
        <v>2300000</v>
      </c>
      <c r="I43" s="2">
        <v>2300000</v>
      </c>
      <c r="J43" s="2">
        <v>1095637799</v>
      </c>
      <c r="K43" s="2">
        <v>1197682837</v>
      </c>
      <c r="L43" s="2">
        <v>1236509607</v>
      </c>
      <c r="M43" s="2">
        <v>1481514030</v>
      </c>
      <c r="N43" s="2">
        <v>1741781038</v>
      </c>
      <c r="O43" s="2">
        <v>1835429071</v>
      </c>
      <c r="P43" s="2">
        <v>2119795980</v>
      </c>
      <c r="Q43" s="2">
        <v>2422447980</v>
      </c>
      <c r="R43" s="2">
        <v>2681169365</v>
      </c>
      <c r="S43" s="2">
        <v>2872576214</v>
      </c>
      <c r="T43" s="2">
        <v>3124609329</v>
      </c>
      <c r="U43" s="2">
        <v>126769.02</v>
      </c>
      <c r="V43" t="str">
        <f t="shared" si="4"/>
        <v>36250</v>
      </c>
      <c r="W43" s="2">
        <v>1302950</v>
      </c>
      <c r="X43" s="1">
        <v>118199.8</v>
      </c>
      <c r="Y43" s="1">
        <v>15529.849999999991</v>
      </c>
      <c r="Z43" s="1">
        <v>0</v>
      </c>
    </row>
    <row r="44" spans="1:26" x14ac:dyDescent="0.25">
      <c r="A44" t="s">
        <v>549</v>
      </c>
      <c r="B44" t="s">
        <v>550</v>
      </c>
      <c r="C44" s="1"/>
      <c r="D44" s="1"/>
      <c r="E44" s="1"/>
      <c r="F44" s="1"/>
      <c r="G44" s="2"/>
      <c r="H44" s="2">
        <f>VLOOKUP(A44,VAL!$A$3:$F$298,3,FALSE)</f>
        <v>496935</v>
      </c>
      <c r="I44" s="2">
        <v>496935</v>
      </c>
      <c r="J44" s="2">
        <v>153179924</v>
      </c>
      <c r="K44" s="2">
        <v>166718969</v>
      </c>
      <c r="L44" s="2">
        <v>168615724</v>
      </c>
      <c r="M44" s="2">
        <v>174319183</v>
      </c>
      <c r="N44" s="2">
        <v>175917633</v>
      </c>
      <c r="O44" s="2">
        <v>189762434</v>
      </c>
      <c r="P44" s="2">
        <v>199717639</v>
      </c>
      <c r="Q44" s="2">
        <v>207224805</v>
      </c>
      <c r="R44" s="2">
        <v>218383029</v>
      </c>
      <c r="S44" s="2">
        <v>236532806</v>
      </c>
      <c r="T44" s="2">
        <v>244341053</v>
      </c>
      <c r="U44" s="2">
        <v>0</v>
      </c>
      <c r="V44" t="str">
        <f t="shared" si="4"/>
        <v>38306</v>
      </c>
      <c r="W44" s="2">
        <v>189021.09</v>
      </c>
      <c r="X44" s="1">
        <v>23806.05</v>
      </c>
      <c r="Y44" s="1">
        <v>3127.7900000000009</v>
      </c>
      <c r="Z44" s="1">
        <v>0</v>
      </c>
    </row>
    <row r="45" spans="1:26" x14ac:dyDescent="0.25">
      <c r="A45" t="s">
        <v>479</v>
      </c>
      <c r="B45" t="s">
        <v>480</v>
      </c>
      <c r="C45" s="1"/>
      <c r="D45" s="1"/>
      <c r="E45" s="1"/>
      <c r="F45" s="1"/>
      <c r="G45" s="2"/>
      <c r="H45" s="2">
        <f>VLOOKUP(A45,VAL!$A$3:$F$298,3,FALSE)</f>
        <v>125000</v>
      </c>
      <c r="I45" s="2">
        <v>125000</v>
      </c>
      <c r="J45" s="2">
        <v>105712276.34</v>
      </c>
      <c r="K45" s="2">
        <v>117490343</v>
      </c>
      <c r="L45" s="2">
        <v>119194497</v>
      </c>
      <c r="M45" s="2">
        <v>125028253</v>
      </c>
      <c r="N45" s="2">
        <v>135541674</v>
      </c>
      <c r="O45" s="2">
        <v>139125716</v>
      </c>
      <c r="P45" s="2">
        <v>150076038</v>
      </c>
      <c r="Q45" s="2">
        <v>158180119</v>
      </c>
      <c r="R45" s="2">
        <v>165242052</v>
      </c>
      <c r="S45" s="2">
        <v>174857450</v>
      </c>
      <c r="T45" s="2">
        <v>178402257</v>
      </c>
      <c r="U45" s="2">
        <v>0</v>
      </c>
      <c r="V45" t="str">
        <f t="shared" si="4"/>
        <v>33206</v>
      </c>
      <c r="W45" s="2">
        <v>82915</v>
      </c>
      <c r="X45" s="1">
        <v>0</v>
      </c>
      <c r="Y45" s="1">
        <v>0</v>
      </c>
      <c r="Z45" s="1">
        <v>535.59</v>
      </c>
    </row>
    <row r="46" spans="1:26" x14ac:dyDescent="0.25">
      <c r="A46" t="s">
        <v>513</v>
      </c>
      <c r="B46" t="s">
        <v>514</v>
      </c>
      <c r="C46" s="1"/>
      <c r="D46" s="1"/>
      <c r="E46" s="1"/>
      <c r="F46" s="1"/>
      <c r="G46" s="2"/>
      <c r="H46" s="2">
        <f>VLOOKUP(A46,VAL!$A$3:$F$298,3,FALSE)</f>
        <v>2300000</v>
      </c>
      <c r="I46" s="2">
        <v>2300000</v>
      </c>
      <c r="J46" s="2">
        <v>689707058</v>
      </c>
      <c r="K46" s="2">
        <v>834117209</v>
      </c>
      <c r="L46" s="2">
        <v>883715283</v>
      </c>
      <c r="M46" s="2">
        <v>1025644337</v>
      </c>
      <c r="N46" s="2">
        <v>1171898676</v>
      </c>
      <c r="O46" s="2">
        <v>1274935502</v>
      </c>
      <c r="P46" s="2">
        <v>1450783792</v>
      </c>
      <c r="Q46" s="2">
        <v>1645540393</v>
      </c>
      <c r="R46" s="2">
        <v>1793608352</v>
      </c>
      <c r="S46" s="2">
        <v>1940064562</v>
      </c>
      <c r="T46" s="2">
        <v>2126937961</v>
      </c>
      <c r="U46" s="2">
        <v>0</v>
      </c>
      <c r="V46" t="str">
        <f t="shared" si="4"/>
        <v>36400</v>
      </c>
      <c r="W46" s="2">
        <v>950713.34</v>
      </c>
      <c r="X46" s="1">
        <v>0</v>
      </c>
      <c r="Y46" s="1">
        <v>0</v>
      </c>
      <c r="Z46" s="1">
        <v>0</v>
      </c>
    </row>
    <row r="47" spans="1:26" x14ac:dyDescent="0.25">
      <c r="A47" t="s">
        <v>471</v>
      </c>
      <c r="B47" t="s">
        <v>472</v>
      </c>
      <c r="C47" s="1"/>
      <c r="D47" s="1"/>
      <c r="E47" s="1"/>
      <c r="F47" s="1"/>
      <c r="G47" s="2"/>
      <c r="H47" s="2">
        <f>VLOOKUP(A47,VAL!$A$3:$F$298,3,FALSE)</f>
        <v>1590688</v>
      </c>
      <c r="I47" s="2">
        <v>1590688</v>
      </c>
      <c r="J47" s="2">
        <v>1066986456.41</v>
      </c>
      <c r="K47" s="2">
        <v>1133622260</v>
      </c>
      <c r="L47" s="2">
        <v>1241065665</v>
      </c>
      <c r="M47" s="2">
        <v>1291390063</v>
      </c>
      <c r="N47" s="2">
        <v>1430268637</v>
      </c>
      <c r="O47" s="2">
        <v>1470287468</v>
      </c>
      <c r="P47" s="2">
        <v>1592930424</v>
      </c>
      <c r="Q47" s="2">
        <v>1691174164</v>
      </c>
      <c r="R47" s="2">
        <v>1800298490</v>
      </c>
      <c r="S47" s="2">
        <v>1927587969</v>
      </c>
      <c r="T47" s="2">
        <v>2016853539</v>
      </c>
      <c r="U47" s="2">
        <v>176989.45</v>
      </c>
      <c r="V47" t="str">
        <f t="shared" si="4"/>
        <v>33115</v>
      </c>
      <c r="W47" s="2">
        <v>823475.77</v>
      </c>
      <c r="X47" s="1">
        <v>174132.61</v>
      </c>
      <c r="Y47" s="1">
        <v>22878.670000000013</v>
      </c>
      <c r="Z47" s="1">
        <v>49361.03</v>
      </c>
    </row>
    <row r="48" spans="1:26" x14ac:dyDescent="0.25">
      <c r="A48" t="s">
        <v>385</v>
      </c>
      <c r="B48" t="s">
        <v>386</v>
      </c>
      <c r="C48" s="1"/>
      <c r="D48" s="1"/>
      <c r="E48" s="1"/>
      <c r="F48" s="1"/>
      <c r="G48" s="2"/>
      <c r="H48" s="2">
        <f>VLOOKUP(A48,VAL!$A$3:$F$298,3,FALSE)</f>
        <v>1806509</v>
      </c>
      <c r="I48" s="2">
        <v>1806509</v>
      </c>
      <c r="J48" s="2">
        <v>715043391</v>
      </c>
      <c r="K48" s="2">
        <v>751917605</v>
      </c>
      <c r="L48" s="2">
        <v>783316242</v>
      </c>
      <c r="M48" s="2">
        <v>882324601</v>
      </c>
      <c r="N48" s="2">
        <v>1071754287</v>
      </c>
      <c r="O48" s="2">
        <v>1058826569</v>
      </c>
      <c r="P48" s="2">
        <v>1158822089</v>
      </c>
      <c r="Q48" s="2">
        <v>1248209955</v>
      </c>
      <c r="R48" s="2">
        <v>1342570131</v>
      </c>
      <c r="S48" s="2">
        <v>1441320817</v>
      </c>
      <c r="T48" s="2">
        <v>1618640693</v>
      </c>
      <c r="U48" s="2">
        <v>0</v>
      </c>
      <c r="V48" t="str">
        <f t="shared" si="4"/>
        <v>29011</v>
      </c>
      <c r="W48" s="2">
        <v>661093.01</v>
      </c>
      <c r="X48" s="1">
        <v>0</v>
      </c>
      <c r="Y48" s="1">
        <v>0</v>
      </c>
      <c r="Z48" s="1">
        <v>0</v>
      </c>
    </row>
    <row r="49" spans="1:26" x14ac:dyDescent="0.25">
      <c r="A49" t="s">
        <v>395</v>
      </c>
      <c r="B49" t="s">
        <v>396</v>
      </c>
      <c r="C49" s="1"/>
      <c r="D49" s="1"/>
      <c r="E49" s="1"/>
      <c r="F49" s="1"/>
      <c r="G49" s="2"/>
      <c r="H49" s="2">
        <f>VLOOKUP(A49,VAL!$A$3:$F$298,3,FALSE)</f>
        <v>877000</v>
      </c>
      <c r="I49" s="2">
        <v>877000</v>
      </c>
      <c r="J49" s="2">
        <v>563711590</v>
      </c>
      <c r="K49" s="2">
        <v>612857358</v>
      </c>
      <c r="L49" s="2">
        <v>649170967</v>
      </c>
      <c r="M49" s="2">
        <v>705717830</v>
      </c>
      <c r="N49" s="2">
        <v>882748324</v>
      </c>
      <c r="O49" s="2">
        <v>840429830</v>
      </c>
      <c r="P49" s="2">
        <v>900082317</v>
      </c>
      <c r="Q49" s="2">
        <v>990977483</v>
      </c>
      <c r="R49" s="2">
        <v>1077607759</v>
      </c>
      <c r="S49" s="2">
        <v>1150167009</v>
      </c>
      <c r="T49" s="2">
        <v>1277747090</v>
      </c>
      <c r="U49" s="2">
        <v>0</v>
      </c>
      <c r="V49" t="str">
        <f t="shared" si="4"/>
        <v>29317</v>
      </c>
      <c r="W49" s="2">
        <v>480433.2</v>
      </c>
      <c r="X49" s="1">
        <v>0</v>
      </c>
      <c r="Y49" s="1">
        <v>0</v>
      </c>
      <c r="Z49" s="1">
        <v>0</v>
      </c>
    </row>
    <row r="50" spans="1:26" x14ac:dyDescent="0.25">
      <c r="A50" t="s">
        <v>152</v>
      </c>
      <c r="B50" t="s">
        <v>153</v>
      </c>
      <c r="C50" s="1"/>
      <c r="D50" s="1"/>
      <c r="E50" s="1"/>
      <c r="F50" s="1"/>
      <c r="G50" s="2"/>
      <c r="H50" s="2">
        <f>VLOOKUP(A50,VAL!$A$3:$F$298,3,FALSE)</f>
        <v>820000</v>
      </c>
      <c r="I50" s="2">
        <v>820000</v>
      </c>
      <c r="J50" s="2">
        <v>185151719</v>
      </c>
      <c r="K50" s="2">
        <v>208681636</v>
      </c>
      <c r="L50" s="2">
        <v>222804265</v>
      </c>
      <c r="M50" s="2">
        <v>249660177</v>
      </c>
      <c r="N50" s="2">
        <v>315629027</v>
      </c>
      <c r="O50" s="2">
        <v>304384130</v>
      </c>
      <c r="P50" s="2">
        <v>335323470</v>
      </c>
      <c r="Q50" s="2">
        <v>362111506</v>
      </c>
      <c r="R50" s="2">
        <v>398917914</v>
      </c>
      <c r="S50" s="2">
        <v>440413050</v>
      </c>
      <c r="T50" s="2">
        <v>492408134</v>
      </c>
      <c r="U50" s="2">
        <v>24967.84</v>
      </c>
      <c r="V50" t="str">
        <f t="shared" si="4"/>
        <v>14099</v>
      </c>
      <c r="W50" s="2">
        <v>295722.27</v>
      </c>
      <c r="X50" s="1">
        <v>6741.24</v>
      </c>
      <c r="Y50" s="1">
        <v>885.71</v>
      </c>
      <c r="Z50" s="1">
        <v>24539.89</v>
      </c>
    </row>
    <row r="51" spans="1:26" x14ac:dyDescent="0.25">
      <c r="A51" t="s">
        <v>122</v>
      </c>
      <c r="B51" t="s">
        <v>123</v>
      </c>
      <c r="C51" s="1"/>
      <c r="D51" s="1"/>
      <c r="E51" s="1"/>
      <c r="F51" s="1"/>
      <c r="G51" s="2"/>
      <c r="H51" s="2">
        <f>VLOOKUP(A51,VAL!$A$3:$F$298,3,FALSE)</f>
        <v>505924</v>
      </c>
      <c r="I51" s="2">
        <v>505924</v>
      </c>
      <c r="J51" s="2">
        <v>218611713</v>
      </c>
      <c r="K51" s="2">
        <v>220973013</v>
      </c>
      <c r="L51" s="2">
        <v>227277014</v>
      </c>
      <c r="M51" s="2">
        <v>240174372</v>
      </c>
      <c r="N51" s="2">
        <v>269404237</v>
      </c>
      <c r="O51" s="2">
        <v>260146654</v>
      </c>
      <c r="P51" s="2">
        <v>260399093</v>
      </c>
      <c r="Q51" s="2">
        <v>272586722</v>
      </c>
      <c r="R51" s="2">
        <v>281350880</v>
      </c>
      <c r="S51" s="2">
        <v>295200125</v>
      </c>
      <c r="T51" s="2">
        <v>304860026</v>
      </c>
      <c r="U51" s="2">
        <v>0</v>
      </c>
      <c r="V51" t="str">
        <f t="shared" si="4"/>
        <v>13151</v>
      </c>
      <c r="W51" s="2">
        <v>173561.47</v>
      </c>
      <c r="X51" s="1">
        <v>0</v>
      </c>
      <c r="Y51" s="1">
        <v>0</v>
      </c>
      <c r="Z51" s="1">
        <v>16194.26</v>
      </c>
    </row>
    <row r="52" spans="1:26" x14ac:dyDescent="0.25">
      <c r="A52" t="s">
        <v>164</v>
      </c>
      <c r="B52" t="s">
        <v>165</v>
      </c>
      <c r="C52" s="1"/>
      <c r="D52" s="1"/>
      <c r="E52" s="1"/>
      <c r="F52" s="1"/>
      <c r="G52" s="2"/>
      <c r="H52" s="2">
        <f>VLOOKUP(A52,VAL!$A$3:$F$298,3,FALSE)</f>
        <v>2440000</v>
      </c>
      <c r="I52" s="2">
        <v>2440000</v>
      </c>
      <c r="J52" s="2">
        <v>2324275081.4699998</v>
      </c>
      <c r="K52" s="2">
        <v>2617230487</v>
      </c>
      <c r="L52" s="2">
        <v>2743804573</v>
      </c>
      <c r="M52" s="2">
        <v>2955731501</v>
      </c>
      <c r="N52" s="2">
        <v>3600756366</v>
      </c>
      <c r="O52" s="2">
        <v>3449165373</v>
      </c>
      <c r="P52" s="2">
        <v>3626122042</v>
      </c>
      <c r="Q52" s="2">
        <v>3968511975</v>
      </c>
      <c r="R52" s="2">
        <v>4326090463</v>
      </c>
      <c r="S52" s="2">
        <v>4615410459</v>
      </c>
      <c r="T52" s="2">
        <v>4965512646</v>
      </c>
      <c r="U52" s="2">
        <v>0</v>
      </c>
      <c r="V52" t="str">
        <f t="shared" si="4"/>
        <v>15204</v>
      </c>
      <c r="W52" s="2">
        <v>1156072</v>
      </c>
      <c r="X52" s="1">
        <v>0</v>
      </c>
      <c r="Y52" s="1">
        <v>0</v>
      </c>
      <c r="Z52" s="1">
        <v>0</v>
      </c>
    </row>
    <row r="53" spans="1:26" x14ac:dyDescent="0.25">
      <c r="A53" t="s">
        <v>42</v>
      </c>
      <c r="B53" t="s">
        <v>43</v>
      </c>
      <c r="C53" s="1"/>
      <c r="D53" s="1"/>
      <c r="E53" s="1"/>
      <c r="F53" s="1"/>
      <c r="G53" s="2"/>
      <c r="H53" s="2">
        <f>VLOOKUP(A53,VAL!$A$3:$F$298,3,FALSE)</f>
        <v>520000</v>
      </c>
      <c r="I53" s="2">
        <v>522445.83</v>
      </c>
      <c r="J53" s="2">
        <v>348826932.5</v>
      </c>
      <c r="K53" s="2">
        <v>373153419</v>
      </c>
      <c r="L53" s="2">
        <v>405191517</v>
      </c>
      <c r="M53" s="2">
        <v>442408242</v>
      </c>
      <c r="N53" s="2">
        <v>577365754</v>
      </c>
      <c r="O53" s="2">
        <v>523748517</v>
      </c>
      <c r="P53" s="2">
        <v>572517381</v>
      </c>
      <c r="Q53" s="2">
        <v>611076896</v>
      </c>
      <c r="R53" s="2">
        <v>675665669</v>
      </c>
      <c r="S53" s="2">
        <v>735399851</v>
      </c>
      <c r="T53" s="2">
        <v>807810251</v>
      </c>
      <c r="U53" s="2">
        <v>0</v>
      </c>
      <c r="V53" t="str">
        <f t="shared" si="4"/>
        <v>05313</v>
      </c>
      <c r="W53" s="2">
        <v>247023.93</v>
      </c>
      <c r="X53" s="1">
        <v>0</v>
      </c>
      <c r="Y53" s="1">
        <v>0</v>
      </c>
      <c r="Z53" s="1">
        <v>0</v>
      </c>
    </row>
    <row r="54" spans="1:26" x14ac:dyDescent="0.25">
      <c r="A54" t="s">
        <v>289</v>
      </c>
      <c r="B54" t="s">
        <v>290</v>
      </c>
      <c r="C54" s="1"/>
      <c r="D54" s="1"/>
      <c r="E54" s="1"/>
      <c r="F54" s="1"/>
      <c r="G54" s="2"/>
      <c r="H54" s="2">
        <f>VLOOKUP(A54,VAL!$A$3:$F$298,3,FALSE)</f>
        <v>275000</v>
      </c>
      <c r="I54" s="2">
        <v>275000</v>
      </c>
      <c r="J54" s="2">
        <v>248936319</v>
      </c>
      <c r="K54" s="2">
        <v>265652478</v>
      </c>
      <c r="L54" s="2">
        <v>278259849</v>
      </c>
      <c r="M54" s="2">
        <v>296047914</v>
      </c>
      <c r="N54" s="2">
        <v>319716978</v>
      </c>
      <c r="O54" s="2">
        <v>340222259</v>
      </c>
      <c r="P54" s="2">
        <v>382634283</v>
      </c>
      <c r="Q54" s="2">
        <v>411567627</v>
      </c>
      <c r="R54" s="2">
        <v>437816658</v>
      </c>
      <c r="S54" s="2">
        <v>466497672</v>
      </c>
      <c r="T54" s="2">
        <v>495361511</v>
      </c>
      <c r="U54" s="2">
        <v>0</v>
      </c>
      <c r="V54" t="str">
        <f t="shared" si="4"/>
        <v>22073</v>
      </c>
      <c r="W54" s="2">
        <v>113712</v>
      </c>
      <c r="X54" s="1">
        <v>0</v>
      </c>
      <c r="Y54" s="1">
        <v>0</v>
      </c>
      <c r="Z54" s="1">
        <v>0</v>
      </c>
    </row>
    <row r="55" spans="1:26" x14ac:dyDescent="0.25">
      <c r="A55" t="s">
        <v>98</v>
      </c>
      <c r="B55" t="s">
        <v>99</v>
      </c>
      <c r="C55" s="1"/>
      <c r="D55" s="1"/>
      <c r="E55" s="1"/>
      <c r="F55" s="1"/>
      <c r="G55" s="2"/>
      <c r="H55" s="2">
        <f>VLOOKUP(A55,VAL!$A$3:$F$298,3,FALSE)</f>
        <v>185000</v>
      </c>
      <c r="I55" s="2">
        <v>185000</v>
      </c>
      <c r="J55" s="2">
        <v>121071472.49127273</v>
      </c>
      <c r="K55" s="2">
        <v>140228753</v>
      </c>
      <c r="L55" s="2">
        <v>127292316</v>
      </c>
      <c r="M55" s="2">
        <v>137260916</v>
      </c>
      <c r="N55" s="2">
        <v>169440241</v>
      </c>
      <c r="O55" s="2">
        <v>147059270</v>
      </c>
      <c r="P55" s="2">
        <v>153987443</v>
      </c>
      <c r="Q55" s="2">
        <v>162407256</v>
      </c>
      <c r="R55" s="2">
        <v>168123390</v>
      </c>
      <c r="S55" s="2">
        <v>178828900</v>
      </c>
      <c r="T55" s="2">
        <v>191235047</v>
      </c>
      <c r="U55" s="2">
        <v>75373.06</v>
      </c>
      <c r="V55" t="str">
        <f t="shared" si="4"/>
        <v>10050</v>
      </c>
      <c r="W55" s="2">
        <v>94760</v>
      </c>
      <c r="X55" s="1">
        <v>0</v>
      </c>
      <c r="Y55" s="1">
        <v>0</v>
      </c>
      <c r="Z55" s="1">
        <v>32866.97</v>
      </c>
    </row>
    <row r="56" spans="1:26" x14ac:dyDescent="0.25">
      <c r="A56" t="s">
        <v>343</v>
      </c>
      <c r="B56" t="s">
        <v>344</v>
      </c>
      <c r="C56" s="1"/>
      <c r="D56" s="1"/>
      <c r="E56" s="1"/>
      <c r="F56" s="1"/>
      <c r="G56" s="2"/>
      <c r="H56" s="2">
        <f>VLOOKUP(A56,VAL!$A$3:$F$298,3,FALSE)</f>
        <v>425000</v>
      </c>
      <c r="I56" s="2">
        <v>425000</v>
      </c>
      <c r="J56" s="2">
        <v>323256414</v>
      </c>
      <c r="K56" s="2">
        <v>333301217</v>
      </c>
      <c r="L56" s="2">
        <v>315038243</v>
      </c>
      <c r="M56" s="2">
        <v>324448791</v>
      </c>
      <c r="N56" s="2">
        <v>379419638</v>
      </c>
      <c r="O56" s="2">
        <v>328831372</v>
      </c>
      <c r="P56" s="2">
        <v>320208645</v>
      </c>
      <c r="Q56" s="2">
        <v>321338026</v>
      </c>
      <c r="R56" s="2">
        <v>330219218</v>
      </c>
      <c r="S56" s="2">
        <v>321656915</v>
      </c>
      <c r="T56" s="2">
        <v>322419152</v>
      </c>
      <c r="U56" s="2">
        <v>0</v>
      </c>
      <c r="V56" t="str">
        <f t="shared" si="4"/>
        <v>26059</v>
      </c>
      <c r="W56" s="2">
        <v>234531</v>
      </c>
      <c r="X56" s="1">
        <v>0</v>
      </c>
      <c r="Y56" s="1">
        <v>0</v>
      </c>
      <c r="Z56" s="1">
        <v>0</v>
      </c>
    </row>
    <row r="57" spans="1:26" x14ac:dyDescent="0.25">
      <c r="A57" t="s">
        <v>225</v>
      </c>
      <c r="B57" t="s">
        <v>226</v>
      </c>
      <c r="C57" s="1"/>
      <c r="D57" s="1"/>
      <c r="E57" s="1"/>
      <c r="F57" s="1"/>
      <c r="G57" s="2"/>
      <c r="H57" s="2">
        <f>VLOOKUP(A57,VAL!$A$3:$F$298,3,FALSE)</f>
        <v>125000</v>
      </c>
      <c r="I57" s="2">
        <v>125000</v>
      </c>
      <c r="J57" s="2">
        <v>120427137.5</v>
      </c>
      <c r="K57" s="2">
        <v>151598795.5</v>
      </c>
      <c r="L57" s="2">
        <v>166091524</v>
      </c>
      <c r="M57" s="2">
        <v>180630820</v>
      </c>
      <c r="N57" s="2">
        <v>208456261</v>
      </c>
      <c r="O57" s="2">
        <v>226562183</v>
      </c>
      <c r="P57" s="2">
        <v>250756293</v>
      </c>
      <c r="Q57" s="2">
        <v>277021888</v>
      </c>
      <c r="R57" s="2">
        <v>328861576</v>
      </c>
      <c r="S57" s="2">
        <v>365123378</v>
      </c>
      <c r="T57" s="2">
        <v>417580999</v>
      </c>
      <c r="U57" s="2">
        <v>0</v>
      </c>
      <c r="V57" t="str">
        <f t="shared" si="4"/>
        <v>19007</v>
      </c>
      <c r="W57" s="2">
        <v>40273</v>
      </c>
      <c r="X57" s="1">
        <v>0</v>
      </c>
      <c r="Y57" s="1">
        <v>0</v>
      </c>
      <c r="Z57" s="1">
        <v>0</v>
      </c>
    </row>
    <row r="58" spans="1:26" x14ac:dyDescent="0.25">
      <c r="A58" t="s">
        <v>429</v>
      </c>
      <c r="B58" t="s">
        <v>430</v>
      </c>
      <c r="C58" s="1"/>
      <c r="D58" s="1"/>
      <c r="E58" s="1"/>
      <c r="F58" s="1"/>
      <c r="G58" s="2"/>
      <c r="H58" s="2">
        <f>VLOOKUP(A58,VAL!$A$3:$F$298,3,FALSE)</f>
        <v>520596</v>
      </c>
      <c r="I58" s="2">
        <v>520596</v>
      </c>
      <c r="J58" s="2">
        <v>415056583</v>
      </c>
      <c r="K58" s="2">
        <v>467935645</v>
      </c>
      <c r="L58" s="2">
        <v>489662998</v>
      </c>
      <c r="M58" s="2">
        <v>558542564</v>
      </c>
      <c r="N58" s="2">
        <v>731001649</v>
      </c>
      <c r="O58" s="2">
        <v>784025918</v>
      </c>
      <c r="P58" s="2">
        <v>836450680</v>
      </c>
      <c r="Q58" s="2">
        <v>906506461</v>
      </c>
      <c r="R58" s="2">
        <v>960939865</v>
      </c>
      <c r="S58" s="2">
        <v>1030955470</v>
      </c>
      <c r="T58" s="2">
        <v>1115552407</v>
      </c>
      <c r="U58" s="2">
        <v>0</v>
      </c>
      <c r="V58" t="str">
        <f t="shared" si="4"/>
        <v>31330</v>
      </c>
      <c r="W58" s="2">
        <v>246658.38</v>
      </c>
      <c r="X58" s="1">
        <v>0</v>
      </c>
      <c r="Y58" s="1">
        <v>0</v>
      </c>
      <c r="Z58" s="1">
        <v>0</v>
      </c>
    </row>
    <row r="59" spans="1:26" x14ac:dyDescent="0.25">
      <c r="A59" t="s">
        <v>297</v>
      </c>
      <c r="B59" t="s">
        <v>298</v>
      </c>
      <c r="C59" s="1"/>
      <c r="D59" s="1"/>
      <c r="E59" s="1"/>
      <c r="F59" s="1"/>
      <c r="G59" s="2"/>
      <c r="H59" s="2">
        <f>VLOOKUP(A59,VAL!$A$3:$F$298,3,FALSE)</f>
        <v>1109000</v>
      </c>
      <c r="I59" s="2">
        <v>1109000</v>
      </c>
      <c r="J59" s="2">
        <v>279329975</v>
      </c>
      <c r="K59" s="2">
        <v>290434639</v>
      </c>
      <c r="L59" s="2">
        <v>320264781</v>
      </c>
      <c r="M59" s="2">
        <v>343828868</v>
      </c>
      <c r="N59" s="2">
        <v>465448133</v>
      </c>
      <c r="O59" s="2">
        <v>404986830</v>
      </c>
      <c r="P59" s="2">
        <v>442974542</v>
      </c>
      <c r="Q59" s="2">
        <v>487051202</v>
      </c>
      <c r="R59" s="2">
        <v>515518359</v>
      </c>
      <c r="S59" s="2">
        <v>560914322</v>
      </c>
      <c r="T59" s="2">
        <v>615884120</v>
      </c>
      <c r="U59" s="2">
        <v>107914.34</v>
      </c>
      <c r="V59" t="str">
        <f t="shared" si="4"/>
        <v>22207</v>
      </c>
      <c r="W59" s="2">
        <v>360088</v>
      </c>
      <c r="X59" s="1">
        <v>0</v>
      </c>
      <c r="Y59" s="1">
        <v>0</v>
      </c>
      <c r="Z59" s="1">
        <v>58980.98</v>
      </c>
    </row>
    <row r="60" spans="1:26" x14ac:dyDescent="0.25">
      <c r="A60" t="s">
        <v>68</v>
      </c>
      <c r="B60" t="s">
        <v>69</v>
      </c>
      <c r="C60" s="1"/>
      <c r="D60" s="1"/>
      <c r="E60" s="1"/>
      <c r="F60" s="1"/>
      <c r="G60" s="2"/>
      <c r="H60" s="2">
        <f>VLOOKUP(A60,VAL!$A$3:$F$298,3,FALSE)</f>
        <v>1460000</v>
      </c>
      <c r="I60" s="2">
        <v>1460000</v>
      </c>
      <c r="J60" s="2">
        <v>762193891</v>
      </c>
      <c r="K60" s="2">
        <v>756225942</v>
      </c>
      <c r="L60" s="2">
        <v>810223991</v>
      </c>
      <c r="M60" s="2">
        <v>769419553</v>
      </c>
      <c r="N60" s="2">
        <v>797288862</v>
      </c>
      <c r="O60" s="2">
        <v>920312827</v>
      </c>
      <c r="P60" s="2">
        <v>985323768</v>
      </c>
      <c r="Q60" s="2">
        <v>1063948623</v>
      </c>
      <c r="R60" s="2">
        <v>1149871282</v>
      </c>
      <c r="S60" s="2">
        <v>1223726661</v>
      </c>
      <c r="T60" s="2">
        <v>1319171031</v>
      </c>
      <c r="U60" s="2">
        <v>0</v>
      </c>
      <c r="V60" t="str">
        <f t="shared" si="4"/>
        <v>07002</v>
      </c>
      <c r="W60" s="2">
        <v>509240.24</v>
      </c>
      <c r="X60" s="1">
        <v>0</v>
      </c>
      <c r="Y60" s="1">
        <v>0</v>
      </c>
      <c r="Z60" s="1">
        <v>0</v>
      </c>
    </row>
    <row r="61" spans="1:26" x14ac:dyDescent="0.25">
      <c r="A61" t="s">
        <v>459</v>
      </c>
      <c r="B61" t="s">
        <v>460</v>
      </c>
      <c r="C61" s="1"/>
      <c r="D61" s="1"/>
      <c r="E61" s="1"/>
      <c r="F61" s="1"/>
      <c r="G61" s="2"/>
      <c r="H61" s="2">
        <f>VLOOKUP(A61,VAL!$A$3:$F$298,3,FALSE)</f>
        <v>2000000</v>
      </c>
      <c r="I61" s="2">
        <v>2000000</v>
      </c>
      <c r="J61" s="2">
        <v>1068689825.4100001</v>
      </c>
      <c r="K61" s="2">
        <v>1162423559</v>
      </c>
      <c r="L61" s="2">
        <v>1290619498</v>
      </c>
      <c r="M61" s="2">
        <v>1468234355</v>
      </c>
      <c r="N61" s="2">
        <v>1905531904</v>
      </c>
      <c r="O61" s="2">
        <v>1946403487</v>
      </c>
      <c r="P61" s="2">
        <v>2063206097</v>
      </c>
      <c r="Q61" s="2">
        <v>2277601605</v>
      </c>
      <c r="R61" s="2">
        <v>2429410484</v>
      </c>
      <c r="S61" s="2">
        <v>2586685366</v>
      </c>
      <c r="T61" s="2">
        <v>2752071376</v>
      </c>
      <c r="U61" s="2">
        <v>530191.68999999994</v>
      </c>
      <c r="V61" t="str">
        <f t="shared" si="4"/>
        <v>32414</v>
      </c>
      <c r="W61" s="2">
        <v>1044729</v>
      </c>
      <c r="X61" s="1">
        <v>53952.34</v>
      </c>
      <c r="Y61" s="1">
        <v>7088.6100000000006</v>
      </c>
      <c r="Z61" s="1">
        <v>297155.46999999997</v>
      </c>
    </row>
    <row r="62" spans="1:26" x14ac:dyDescent="0.25">
      <c r="A62" t="s">
        <v>359</v>
      </c>
      <c r="B62" t="s">
        <v>360</v>
      </c>
      <c r="C62" s="1"/>
      <c r="D62" s="1"/>
      <c r="E62" s="1"/>
      <c r="F62" s="1"/>
      <c r="G62" s="2"/>
      <c r="H62" s="2">
        <f>VLOOKUP(A62,VAL!$A$3:$F$298,3,FALSE)</f>
        <v>6650000</v>
      </c>
      <c r="I62" s="2">
        <v>6650000</v>
      </c>
      <c r="J62" s="2">
        <v>2152221441</v>
      </c>
      <c r="K62" s="2">
        <v>2311300760</v>
      </c>
      <c r="L62" s="2">
        <v>2510588894</v>
      </c>
      <c r="M62" s="2">
        <v>2970803528</v>
      </c>
      <c r="N62" s="2">
        <v>3709098551</v>
      </c>
      <c r="O62" s="2">
        <v>3584822896</v>
      </c>
      <c r="P62" s="2">
        <v>3804059562</v>
      </c>
      <c r="Q62" s="2">
        <v>4045887857</v>
      </c>
      <c r="R62" s="2">
        <v>4260609357</v>
      </c>
      <c r="S62" s="2">
        <v>4463588627</v>
      </c>
      <c r="T62" s="2">
        <v>4650382894</v>
      </c>
      <c r="U62" s="2">
        <v>0</v>
      </c>
      <c r="V62" t="str">
        <f t="shared" si="4"/>
        <v>27343</v>
      </c>
      <c r="W62" s="2">
        <v>2593586.89</v>
      </c>
      <c r="X62" s="1">
        <v>0</v>
      </c>
      <c r="Y62" s="1">
        <v>0</v>
      </c>
      <c r="Z62" s="1">
        <v>0</v>
      </c>
    </row>
    <row r="63" spans="1:26" x14ac:dyDescent="0.25">
      <c r="A63" t="s">
        <v>505</v>
      </c>
      <c r="B63" t="s">
        <v>506</v>
      </c>
      <c r="C63" s="1"/>
      <c r="D63" s="1"/>
      <c r="E63" s="1"/>
      <c r="F63" s="1"/>
      <c r="G63" s="2"/>
      <c r="H63" s="2">
        <f>VLOOKUP(A63,VAL!$A$3:$F$298,3,FALSE)</f>
        <v>230730</v>
      </c>
      <c r="I63" s="2">
        <v>230730</v>
      </c>
      <c r="J63" s="2">
        <v>99447974</v>
      </c>
      <c r="K63" s="2">
        <v>98645811</v>
      </c>
      <c r="L63" s="2">
        <v>99352309</v>
      </c>
      <c r="M63" s="2">
        <v>103334958</v>
      </c>
      <c r="N63" s="2">
        <v>111567557</v>
      </c>
      <c r="O63" s="2">
        <v>112250947</v>
      </c>
      <c r="P63" s="2">
        <v>116550203</v>
      </c>
      <c r="Q63" s="2">
        <v>124601317</v>
      </c>
      <c r="R63" s="2">
        <v>128540311</v>
      </c>
      <c r="S63" s="2">
        <v>130040806</v>
      </c>
      <c r="T63" s="2">
        <v>132181078</v>
      </c>
      <c r="U63" s="2">
        <v>0</v>
      </c>
      <c r="V63" t="str">
        <f t="shared" si="4"/>
        <v>36101</v>
      </c>
      <c r="W63" s="2">
        <v>63519.17</v>
      </c>
      <c r="X63" s="1">
        <v>0</v>
      </c>
      <c r="Y63" s="1">
        <v>0</v>
      </c>
      <c r="Z63" s="1">
        <v>0</v>
      </c>
    </row>
    <row r="64" spans="1:26" x14ac:dyDescent="0.25">
      <c r="A64" t="s">
        <v>453</v>
      </c>
      <c r="B64" t="s">
        <v>454</v>
      </c>
      <c r="C64" s="1"/>
      <c r="D64" s="1"/>
      <c r="E64" s="1"/>
      <c r="F64" s="1"/>
      <c r="G64" s="2"/>
      <c r="H64" s="2">
        <f>VLOOKUP(A64,VAL!$A$3:$F$298,3,FALSE)</f>
        <v>13000000</v>
      </c>
      <c r="I64" s="2">
        <v>5300000</v>
      </c>
      <c r="J64" s="2">
        <v>3348576806</v>
      </c>
      <c r="K64" s="2">
        <v>3635266665</v>
      </c>
      <c r="L64" s="2">
        <v>4116290634</v>
      </c>
      <c r="M64" s="2">
        <v>4725921056</v>
      </c>
      <c r="N64" s="2">
        <v>5936854733</v>
      </c>
      <c r="O64" s="2">
        <v>6502017803</v>
      </c>
      <c r="P64" s="2">
        <v>6834556518</v>
      </c>
      <c r="Q64" s="2">
        <v>7291071209</v>
      </c>
      <c r="R64" s="2">
        <v>7799454547</v>
      </c>
      <c r="S64" s="2">
        <v>8292778001</v>
      </c>
      <c r="T64" s="2">
        <v>8587555882</v>
      </c>
      <c r="U64" s="2">
        <v>0</v>
      </c>
      <c r="V64" t="str">
        <f t="shared" si="4"/>
        <v>32361</v>
      </c>
      <c r="W64" s="2">
        <v>5133154.58</v>
      </c>
      <c r="X64" s="1">
        <v>0</v>
      </c>
      <c r="Y64" s="1">
        <v>0</v>
      </c>
      <c r="Z64" s="1">
        <v>0</v>
      </c>
    </row>
    <row r="65" spans="1:26" x14ac:dyDescent="0.25">
      <c r="A65" t="s">
        <v>565</v>
      </c>
      <c r="B65" t="s">
        <v>566</v>
      </c>
      <c r="C65" s="1"/>
      <c r="D65" s="1"/>
      <c r="E65" s="1"/>
      <c r="F65" s="1"/>
      <c r="G65" s="2"/>
      <c r="H65" s="2">
        <f>VLOOKUP(A65,VAL!$A$3:$F$298,3,FALSE)</f>
        <v>3462000</v>
      </c>
      <c r="I65" s="2">
        <v>2636505</v>
      </c>
      <c r="J65" s="2">
        <v>1685886499</v>
      </c>
      <c r="K65" s="2">
        <v>1840586220</v>
      </c>
      <c r="L65" s="2">
        <v>1957273146</v>
      </c>
      <c r="M65" s="2">
        <v>2246021875</v>
      </c>
      <c r="N65" s="2">
        <v>2510709201</v>
      </c>
      <c r="O65" s="2">
        <v>2800853663</v>
      </c>
      <c r="P65" s="2">
        <v>3031997768</v>
      </c>
      <c r="Q65" s="2">
        <v>3321856806</v>
      </c>
      <c r="R65" s="2">
        <v>3668245062</v>
      </c>
      <c r="S65" s="2">
        <v>4067048781</v>
      </c>
      <c r="T65" s="2">
        <v>4583700524</v>
      </c>
      <c r="U65" s="2">
        <v>540494.04</v>
      </c>
      <c r="V65" t="str">
        <f t="shared" si="4"/>
        <v>39090</v>
      </c>
      <c r="W65" s="2">
        <v>1968805.78</v>
      </c>
      <c r="X65" s="1">
        <v>0</v>
      </c>
      <c r="Y65" s="1">
        <v>0</v>
      </c>
      <c r="Z65" s="1">
        <v>73457.149999999994</v>
      </c>
    </row>
    <row r="66" spans="1:26" x14ac:dyDescent="0.25">
      <c r="A66" t="s">
        <v>90</v>
      </c>
      <c r="B66" t="s">
        <v>91</v>
      </c>
      <c r="C66" s="1"/>
      <c r="D66" s="1"/>
      <c r="E66" s="1"/>
      <c r="F66" s="1"/>
      <c r="G66" s="2"/>
      <c r="H66" s="2">
        <f>VLOOKUP(A66,VAL!$A$3:$F$298,3,FALSE)</f>
        <v>9919034</v>
      </c>
      <c r="I66" s="2">
        <v>9919034</v>
      </c>
      <c r="J66" s="2">
        <v>4522061616</v>
      </c>
      <c r="K66" s="2">
        <v>4861221222</v>
      </c>
      <c r="L66" s="2">
        <v>5034780462</v>
      </c>
      <c r="M66" s="2">
        <v>5693007880</v>
      </c>
      <c r="N66" s="2">
        <v>6620208281</v>
      </c>
      <c r="O66" s="2">
        <v>7063209518</v>
      </c>
      <c r="P66" s="2">
        <v>7728349110</v>
      </c>
      <c r="Q66" s="2">
        <v>8756414370</v>
      </c>
      <c r="R66" s="2">
        <v>9491088067</v>
      </c>
      <c r="S66" s="2">
        <v>10667895004</v>
      </c>
      <c r="T66" s="2">
        <v>11670823146</v>
      </c>
      <c r="U66" s="2">
        <v>382248.09</v>
      </c>
      <c r="V66" t="str">
        <f t="shared" si="4"/>
        <v>09206</v>
      </c>
      <c r="W66" s="2">
        <v>5235016.2</v>
      </c>
      <c r="X66" s="1">
        <v>454903.96</v>
      </c>
      <c r="Y66" s="1">
        <v>59768.219999999972</v>
      </c>
      <c r="Z66" s="1">
        <v>300391.2</v>
      </c>
    </row>
    <row r="67" spans="1:26" x14ac:dyDescent="0.25">
      <c r="A67" t="s">
        <v>227</v>
      </c>
      <c r="B67" t="s">
        <v>228</v>
      </c>
      <c r="C67" s="1"/>
      <c r="D67" s="1"/>
      <c r="E67" s="1"/>
      <c r="F67" s="1"/>
      <c r="G67" s="2"/>
      <c r="H67" s="2">
        <f>VLOOKUP(A67,VAL!$A$3:$F$298,3,FALSE)</f>
        <v>495000</v>
      </c>
      <c r="I67" s="2">
        <v>269850</v>
      </c>
      <c r="J67" s="2">
        <v>583393285</v>
      </c>
      <c r="K67" s="2">
        <v>658522589</v>
      </c>
      <c r="L67" s="2">
        <v>730085107</v>
      </c>
      <c r="M67" s="2">
        <v>803132216</v>
      </c>
      <c r="N67" s="2">
        <v>1090745799</v>
      </c>
      <c r="O67" s="2">
        <v>1032879095</v>
      </c>
      <c r="P67" s="2">
        <v>1185822754</v>
      </c>
      <c r="Q67" s="2">
        <v>1311271514</v>
      </c>
      <c r="R67" s="2">
        <v>1552005663</v>
      </c>
      <c r="S67" s="2">
        <v>1760765741</v>
      </c>
      <c r="T67" s="2">
        <v>1989331995</v>
      </c>
      <c r="U67" s="2">
        <v>0</v>
      </c>
      <c r="V67" t="str">
        <f t="shared" si="4"/>
        <v>19028</v>
      </c>
      <c r="W67" s="2">
        <v>118287.01</v>
      </c>
      <c r="X67" s="1">
        <v>0</v>
      </c>
      <c r="Y67" s="1">
        <v>0</v>
      </c>
      <c r="Z67" s="1">
        <v>0</v>
      </c>
    </row>
    <row r="68" spans="1:26" x14ac:dyDescent="0.25">
      <c r="A68" t="s">
        <v>371</v>
      </c>
      <c r="B68" t="s">
        <v>372</v>
      </c>
      <c r="C68" s="1"/>
      <c r="D68" s="1"/>
      <c r="E68" s="1"/>
      <c r="F68" s="1"/>
      <c r="G68" s="2"/>
      <c r="H68" s="2">
        <f>VLOOKUP(A68,VAL!$A$3:$F$298,3,FALSE)</f>
        <v>3695438</v>
      </c>
      <c r="I68" s="2">
        <v>3695438</v>
      </c>
      <c r="J68" s="2">
        <v>1660188264</v>
      </c>
      <c r="K68" s="2">
        <v>1763841711.77</v>
      </c>
      <c r="L68" s="2">
        <v>1973790576</v>
      </c>
      <c r="M68" s="2">
        <v>2317081086</v>
      </c>
      <c r="N68" s="2">
        <v>2921793440</v>
      </c>
      <c r="O68" s="2">
        <v>2871882805</v>
      </c>
      <c r="P68" s="2">
        <v>3022693630</v>
      </c>
      <c r="Q68" s="2">
        <v>3169225899</v>
      </c>
      <c r="R68" s="2">
        <v>3374203225</v>
      </c>
      <c r="S68" s="2">
        <v>3626417550</v>
      </c>
      <c r="T68" s="2">
        <v>3817028308</v>
      </c>
      <c r="U68" s="2">
        <v>0</v>
      </c>
      <c r="V68" t="str">
        <f t="shared" ref="V68:V131" si="5">A68</f>
        <v>27404</v>
      </c>
      <c r="W68" s="2">
        <v>2488345.96</v>
      </c>
      <c r="X68" s="1">
        <v>0</v>
      </c>
      <c r="Y68" s="1">
        <v>0</v>
      </c>
      <c r="Z68" s="1">
        <v>2845.77</v>
      </c>
    </row>
    <row r="69" spans="1:26" x14ac:dyDescent="0.25">
      <c r="A69" t="s">
        <v>413</v>
      </c>
      <c r="B69" t="s">
        <v>414</v>
      </c>
      <c r="C69" s="1"/>
      <c r="D69" s="1"/>
      <c r="E69" s="1"/>
      <c r="F69" s="1"/>
      <c r="G69" s="2"/>
      <c r="H69" s="2">
        <f>VLOOKUP(A69,VAL!$A$3:$F$298,3,FALSE)</f>
        <v>49000000</v>
      </c>
      <c r="I69" s="2">
        <v>49000000</v>
      </c>
      <c r="J69" s="2">
        <v>32006141575</v>
      </c>
      <c r="K69" s="2">
        <v>34842909268</v>
      </c>
      <c r="L69" s="2">
        <v>36803392447</v>
      </c>
      <c r="M69" s="2">
        <v>39964464657</v>
      </c>
      <c r="N69" s="2">
        <v>50901713110</v>
      </c>
      <c r="O69" s="2">
        <v>53370594366</v>
      </c>
      <c r="P69" s="2">
        <v>56686515453</v>
      </c>
      <c r="Q69" s="2">
        <v>58916833201</v>
      </c>
      <c r="R69" s="2">
        <v>61398417027</v>
      </c>
      <c r="S69" s="2">
        <v>64360377957</v>
      </c>
      <c r="T69" s="2">
        <v>68267856905</v>
      </c>
      <c r="U69" s="2">
        <v>0</v>
      </c>
      <c r="V69" t="str">
        <f t="shared" si="5"/>
        <v>31015</v>
      </c>
      <c r="W69" s="2">
        <v>27039280.829999998</v>
      </c>
      <c r="X69" s="1">
        <v>0</v>
      </c>
      <c r="Y69" s="1">
        <v>0</v>
      </c>
      <c r="Z69" s="1">
        <v>0</v>
      </c>
    </row>
    <row r="70" spans="1:26" x14ac:dyDescent="0.25">
      <c r="A70" t="s">
        <v>231</v>
      </c>
      <c r="B70" t="s">
        <v>232</v>
      </c>
      <c r="C70" s="1"/>
      <c r="D70" s="1"/>
      <c r="E70" s="1"/>
      <c r="F70" s="1"/>
      <c r="G70" s="2"/>
      <c r="H70" s="2">
        <f>VLOOKUP(A70,VAL!$A$3:$F$298,3,FALSE)</f>
        <v>4512578</v>
      </c>
      <c r="I70" s="2">
        <v>4512578</v>
      </c>
      <c r="J70" s="2">
        <v>2710065332.8000002</v>
      </c>
      <c r="K70" s="2">
        <v>3150645820.8000002</v>
      </c>
      <c r="L70" s="2">
        <v>3376018732</v>
      </c>
      <c r="M70" s="2">
        <v>3701959097</v>
      </c>
      <c r="N70" s="2">
        <v>4388640562</v>
      </c>
      <c r="O70" s="2">
        <v>4732068323</v>
      </c>
      <c r="P70" s="2">
        <v>5219256809</v>
      </c>
      <c r="Q70" s="2">
        <v>5771054953</v>
      </c>
      <c r="R70" s="2">
        <v>6666284256</v>
      </c>
      <c r="S70" s="2">
        <v>7447257461</v>
      </c>
      <c r="T70" s="2">
        <v>8215200148</v>
      </c>
      <c r="U70" s="2">
        <v>0</v>
      </c>
      <c r="V70" t="str">
        <f t="shared" si="5"/>
        <v>19401</v>
      </c>
      <c r="W70" s="2">
        <v>2302455.7400000002</v>
      </c>
      <c r="X70" s="1">
        <v>0</v>
      </c>
      <c r="Y70" s="1">
        <v>0</v>
      </c>
      <c r="Z70" s="1">
        <v>0</v>
      </c>
    </row>
    <row r="71" spans="1:26" x14ac:dyDescent="0.25">
      <c r="A71" t="s">
        <v>146</v>
      </c>
      <c r="B71" t="s">
        <v>147</v>
      </c>
      <c r="C71" s="1"/>
      <c r="D71" s="1"/>
      <c r="E71" s="1"/>
      <c r="F71" s="1"/>
      <c r="G71" s="2"/>
      <c r="H71" s="2">
        <f>VLOOKUP(A71,VAL!$A$3:$F$298,3,FALSE)</f>
        <v>2514435</v>
      </c>
      <c r="I71" s="2">
        <v>2514435</v>
      </c>
      <c r="J71" s="2">
        <v>883846079</v>
      </c>
      <c r="K71" s="2">
        <v>1012344651</v>
      </c>
      <c r="L71" s="2">
        <v>1046118671</v>
      </c>
      <c r="M71" s="2">
        <v>1210146247</v>
      </c>
      <c r="N71" s="2">
        <v>1468242192</v>
      </c>
      <c r="O71" s="2">
        <v>1497268500</v>
      </c>
      <c r="P71" s="2">
        <v>1660471960</v>
      </c>
      <c r="Q71" s="2">
        <v>1803140236</v>
      </c>
      <c r="R71" s="2">
        <v>1967267990</v>
      </c>
      <c r="S71" s="2">
        <v>2199710720</v>
      </c>
      <c r="T71" s="2">
        <v>2387782894</v>
      </c>
      <c r="U71" s="2">
        <v>150853.99</v>
      </c>
      <c r="V71" t="str">
        <f t="shared" si="5"/>
        <v>14068</v>
      </c>
      <c r="W71" s="2">
        <v>1315149.8799999999</v>
      </c>
      <c r="X71" s="1">
        <v>0</v>
      </c>
      <c r="Y71" s="1">
        <v>0</v>
      </c>
      <c r="Z71" s="1">
        <v>193462.04</v>
      </c>
    </row>
    <row r="72" spans="1:26" x14ac:dyDescent="0.25">
      <c r="A72" t="s">
        <v>551</v>
      </c>
      <c r="B72" t="s">
        <v>552</v>
      </c>
      <c r="C72" s="1"/>
      <c r="D72" s="1"/>
      <c r="E72" s="1"/>
      <c r="F72" s="1"/>
      <c r="G72" s="2"/>
      <c r="H72" s="2">
        <f>VLOOKUP(A72,VAL!$A$3:$F$298,3,FALSE)</f>
        <v>370000</v>
      </c>
      <c r="I72" s="2">
        <v>370000</v>
      </c>
      <c r="J72" s="2">
        <v>118587191</v>
      </c>
      <c r="K72" s="2">
        <v>130866073</v>
      </c>
      <c r="L72" s="2">
        <v>136365041</v>
      </c>
      <c r="M72" s="2">
        <v>140361770</v>
      </c>
      <c r="N72" s="2">
        <v>145633123</v>
      </c>
      <c r="O72" s="2">
        <v>149344736</v>
      </c>
      <c r="P72" s="2">
        <v>159615479</v>
      </c>
      <c r="Q72" s="2">
        <v>160378911</v>
      </c>
      <c r="R72" s="2">
        <v>165577541</v>
      </c>
      <c r="S72" s="2">
        <v>178865528</v>
      </c>
      <c r="T72" s="2">
        <v>186330062</v>
      </c>
      <c r="U72" s="2">
        <v>0</v>
      </c>
      <c r="V72" t="str">
        <f t="shared" si="5"/>
        <v>38308</v>
      </c>
      <c r="W72" s="2">
        <v>104236</v>
      </c>
      <c r="X72" s="1">
        <v>0</v>
      </c>
      <c r="Y72" s="1">
        <v>0</v>
      </c>
      <c r="Z72" s="1">
        <v>0</v>
      </c>
    </row>
    <row r="73" spans="1:26" x14ac:dyDescent="0.25">
      <c r="A73" t="s">
        <v>30</v>
      </c>
      <c r="B73" t="s">
        <v>31</v>
      </c>
      <c r="C73" s="1"/>
      <c r="D73" s="1"/>
      <c r="E73" s="1"/>
      <c r="F73" s="1"/>
      <c r="G73" s="2"/>
      <c r="H73" s="2">
        <f>VLOOKUP(A73,VAL!$A$3:$F$298,3,FALSE)</f>
        <v>650000</v>
      </c>
      <c r="I73" s="2">
        <v>650000</v>
      </c>
      <c r="J73" s="2">
        <v>308664895</v>
      </c>
      <c r="K73" s="2">
        <v>336243911</v>
      </c>
      <c r="L73" s="2">
        <v>368806547</v>
      </c>
      <c r="M73" s="2">
        <v>405111484</v>
      </c>
      <c r="N73" s="2">
        <v>503407762</v>
      </c>
      <c r="O73" s="2">
        <v>500689926</v>
      </c>
      <c r="P73" s="2">
        <v>566838774</v>
      </c>
      <c r="Q73" s="2">
        <v>647071832</v>
      </c>
      <c r="R73" s="2">
        <v>729046001</v>
      </c>
      <c r="S73" s="2">
        <v>812703082</v>
      </c>
      <c r="T73" s="2">
        <v>903040398</v>
      </c>
      <c r="U73" s="2">
        <v>0</v>
      </c>
      <c r="V73" t="str">
        <f t="shared" si="5"/>
        <v>04127</v>
      </c>
      <c r="W73" s="2">
        <v>236900</v>
      </c>
      <c r="X73" s="1">
        <v>0</v>
      </c>
      <c r="Y73" s="1">
        <v>0</v>
      </c>
      <c r="Z73" s="1">
        <v>0</v>
      </c>
    </row>
    <row r="74" spans="1:26" x14ac:dyDescent="0.25">
      <c r="A74" t="s">
        <v>182</v>
      </c>
      <c r="B74" t="s">
        <v>183</v>
      </c>
      <c r="C74" s="1"/>
      <c r="D74" s="1"/>
      <c r="E74" s="1"/>
      <c r="F74" s="1"/>
      <c r="G74" s="2"/>
      <c r="H74" s="2">
        <f>VLOOKUP(A74,VAL!$A$3:$F$298,3,FALSE)</f>
        <v>6320160</v>
      </c>
      <c r="I74" s="2">
        <v>6320160</v>
      </c>
      <c r="J74" s="2">
        <v>4229018295</v>
      </c>
      <c r="K74" s="2">
        <v>4521849874</v>
      </c>
      <c r="L74" s="2">
        <v>4813649645</v>
      </c>
      <c r="M74" s="2">
        <v>5854585199</v>
      </c>
      <c r="N74" s="2">
        <v>7437921278</v>
      </c>
      <c r="O74" s="2">
        <v>8195506291</v>
      </c>
      <c r="P74" s="2">
        <v>9047425689</v>
      </c>
      <c r="Q74" s="2">
        <v>9620941322</v>
      </c>
      <c r="R74" s="2">
        <v>10191458734</v>
      </c>
      <c r="S74" s="2">
        <v>11169137843</v>
      </c>
      <c r="T74" s="2">
        <v>12384790251</v>
      </c>
      <c r="U74" s="2">
        <v>0</v>
      </c>
      <c r="V74" t="str">
        <f t="shared" si="5"/>
        <v>17216</v>
      </c>
      <c r="W74" s="2">
        <v>4554247.57</v>
      </c>
      <c r="X74" s="1">
        <v>0</v>
      </c>
      <c r="Y74" s="1">
        <v>0</v>
      </c>
      <c r="Z74" s="1">
        <v>0</v>
      </c>
    </row>
    <row r="75" spans="1:26" x14ac:dyDescent="0.25">
      <c r="A75" t="s">
        <v>130</v>
      </c>
      <c r="B75" t="s">
        <v>131</v>
      </c>
      <c r="C75" s="1"/>
      <c r="D75" s="1"/>
      <c r="E75" s="1"/>
      <c r="F75" s="1"/>
      <c r="G75" s="2"/>
      <c r="H75" s="2">
        <f>VLOOKUP(A75,VAL!$A$3:$F$298,3,FALSE)</f>
        <v>4006060</v>
      </c>
      <c r="I75" s="2">
        <v>4006060</v>
      </c>
      <c r="J75" s="2">
        <v>919520093</v>
      </c>
      <c r="K75" s="2">
        <v>944715521</v>
      </c>
      <c r="L75" s="2">
        <v>996730435</v>
      </c>
      <c r="M75" s="2">
        <v>1106364875</v>
      </c>
      <c r="N75" s="2">
        <v>1234595907</v>
      </c>
      <c r="O75" s="2">
        <v>1322573447</v>
      </c>
      <c r="P75" s="2">
        <v>1412004666</v>
      </c>
      <c r="Q75" s="2">
        <v>1600406472</v>
      </c>
      <c r="R75" s="2">
        <v>1739421909</v>
      </c>
      <c r="S75" s="2">
        <v>1933888898</v>
      </c>
      <c r="T75" s="2">
        <v>2070790945</v>
      </c>
      <c r="U75" s="2">
        <v>744223.69</v>
      </c>
      <c r="V75" t="str">
        <f t="shared" si="5"/>
        <v>13165</v>
      </c>
      <c r="W75" s="2">
        <v>892116.77</v>
      </c>
      <c r="X75" s="1">
        <v>66728.59</v>
      </c>
      <c r="Y75" s="1">
        <v>8767.2300000000105</v>
      </c>
      <c r="Z75" s="1">
        <v>48970.84</v>
      </c>
    </row>
    <row r="76" spans="1:26" x14ac:dyDescent="0.25">
      <c r="A76" t="s">
        <v>259</v>
      </c>
      <c r="B76" t="s">
        <v>260</v>
      </c>
      <c r="C76" s="1"/>
      <c r="D76" s="1"/>
      <c r="E76" s="1"/>
      <c r="F76" s="1"/>
      <c r="G76" s="2"/>
      <c r="H76" s="2">
        <f>VLOOKUP(A76,VAL!$A$3:$F$298,3,FALSE)</f>
        <v>190000</v>
      </c>
      <c r="I76" s="2">
        <v>190000</v>
      </c>
      <c r="J76" s="2">
        <v>161992396</v>
      </c>
      <c r="K76" s="2">
        <v>178164104.83000001</v>
      </c>
      <c r="L76" s="2">
        <v>182393235</v>
      </c>
      <c r="M76" s="2">
        <v>203129536</v>
      </c>
      <c r="N76" s="2">
        <v>237133682</v>
      </c>
      <c r="O76" s="2">
        <v>241978228</v>
      </c>
      <c r="P76" s="2">
        <v>261291219</v>
      </c>
      <c r="Q76" s="2">
        <v>284679805</v>
      </c>
      <c r="R76" s="2">
        <v>304794610</v>
      </c>
      <c r="S76" s="2">
        <v>336764008</v>
      </c>
      <c r="T76" s="2">
        <v>369255771</v>
      </c>
      <c r="U76" s="2">
        <v>0</v>
      </c>
      <c r="V76" t="str">
        <f t="shared" si="5"/>
        <v>21036</v>
      </c>
      <c r="W76" s="2">
        <v>90450.32</v>
      </c>
      <c r="X76" s="1">
        <v>0</v>
      </c>
      <c r="Y76" s="1">
        <v>0</v>
      </c>
      <c r="Z76" s="1">
        <v>0</v>
      </c>
    </row>
    <row r="77" spans="1:26" x14ac:dyDescent="0.25">
      <c r="A77" t="s">
        <v>407</v>
      </c>
      <c r="B77" t="s">
        <v>408</v>
      </c>
      <c r="C77" s="1"/>
      <c r="D77" s="1"/>
      <c r="E77" s="1"/>
      <c r="F77" s="1"/>
      <c r="G77" s="2"/>
      <c r="H77" s="2">
        <f>VLOOKUP(A77,VAL!$A$3:$F$298,3,FALSE)</f>
        <v>44220000</v>
      </c>
      <c r="I77" s="2">
        <v>34500000</v>
      </c>
      <c r="J77" s="2">
        <v>21843987570</v>
      </c>
      <c r="K77" s="2">
        <v>23717351274</v>
      </c>
      <c r="L77" s="2">
        <v>25009139029</v>
      </c>
      <c r="M77" s="2">
        <v>27539366092</v>
      </c>
      <c r="N77" s="2">
        <v>35879418810</v>
      </c>
      <c r="O77" s="2">
        <v>38269186706</v>
      </c>
      <c r="P77" s="2">
        <v>41214456377</v>
      </c>
      <c r="Q77" s="2">
        <v>44027490306</v>
      </c>
      <c r="R77" s="2">
        <v>46619030721</v>
      </c>
      <c r="S77" s="2">
        <v>48160014610</v>
      </c>
      <c r="T77" s="2">
        <v>50122966825</v>
      </c>
      <c r="U77" s="2">
        <v>0</v>
      </c>
      <c r="V77" t="str">
        <f t="shared" si="5"/>
        <v>31002</v>
      </c>
      <c r="W77" s="2">
        <v>25229850</v>
      </c>
      <c r="X77" s="1">
        <v>0</v>
      </c>
      <c r="Y77" s="1">
        <v>0</v>
      </c>
      <c r="Z77" s="1">
        <v>0</v>
      </c>
    </row>
    <row r="78" spans="1:26" x14ac:dyDescent="0.25">
      <c r="A78" t="s">
        <v>60</v>
      </c>
      <c r="B78" t="s">
        <v>61</v>
      </c>
      <c r="C78" s="1"/>
      <c r="D78" s="1"/>
      <c r="E78" s="1"/>
      <c r="F78" s="1"/>
      <c r="G78" s="2"/>
      <c r="H78" s="2">
        <f>VLOOKUP(A78,VAL!$A$3:$F$298,3,FALSE)</f>
        <v>54097000</v>
      </c>
      <c r="I78" s="2">
        <v>28500000</v>
      </c>
      <c r="J78" s="2">
        <v>18119240260</v>
      </c>
      <c r="K78" s="2">
        <v>19439182220</v>
      </c>
      <c r="L78" s="2">
        <v>20527079747</v>
      </c>
      <c r="M78" s="2">
        <v>22759844084</v>
      </c>
      <c r="N78" s="2">
        <v>26750375450</v>
      </c>
      <c r="O78" s="2">
        <v>28688932707</v>
      </c>
      <c r="P78" s="2">
        <v>30391049325</v>
      </c>
      <c r="Q78" s="2">
        <v>31440352321</v>
      </c>
      <c r="R78" s="2">
        <v>32944501807</v>
      </c>
      <c r="S78" s="2">
        <v>34962615187</v>
      </c>
      <c r="T78" s="2">
        <v>36787593424</v>
      </c>
      <c r="U78" s="2">
        <v>1676768.09</v>
      </c>
      <c r="V78" t="str">
        <f t="shared" si="5"/>
        <v>06114</v>
      </c>
      <c r="W78" s="2">
        <v>18312370</v>
      </c>
      <c r="X78" s="1">
        <v>3474152.5</v>
      </c>
      <c r="Y78" s="1">
        <v>456456.58999999985</v>
      </c>
      <c r="Z78" s="1">
        <v>1189315.5900000001</v>
      </c>
    </row>
    <row r="79" spans="1:26" x14ac:dyDescent="0.25">
      <c r="A79" t="s">
        <v>477</v>
      </c>
      <c r="B79" t="s">
        <v>478</v>
      </c>
      <c r="C79" s="1"/>
      <c r="D79" s="1"/>
      <c r="E79" s="1"/>
      <c r="F79" s="1"/>
      <c r="G79" s="2"/>
      <c r="H79" s="2">
        <f>VLOOKUP(A79,VAL!$A$3:$F$298,3,FALSE)</f>
        <v>30000</v>
      </c>
      <c r="I79" s="2">
        <v>30000</v>
      </c>
      <c r="J79" s="2">
        <v>54164965.619999997</v>
      </c>
      <c r="K79" s="2">
        <v>61643624</v>
      </c>
      <c r="L79" s="2">
        <v>62293327</v>
      </c>
      <c r="M79" s="2">
        <v>64721772</v>
      </c>
      <c r="N79" s="2">
        <v>67754976</v>
      </c>
      <c r="O79" s="2">
        <v>73060928</v>
      </c>
      <c r="P79" s="2">
        <v>77377864</v>
      </c>
      <c r="Q79" s="2">
        <v>82404073</v>
      </c>
      <c r="R79" s="2">
        <v>85051645</v>
      </c>
      <c r="S79" s="2">
        <v>88783184</v>
      </c>
      <c r="T79" s="2">
        <v>91160716</v>
      </c>
      <c r="U79" s="2">
        <v>0</v>
      </c>
      <c r="V79" t="str">
        <f t="shared" si="5"/>
        <v>33205</v>
      </c>
      <c r="W79" s="2">
        <v>14214</v>
      </c>
      <c r="X79" s="1">
        <v>0</v>
      </c>
      <c r="Y79" s="1">
        <v>0</v>
      </c>
      <c r="Z79" s="1">
        <v>0</v>
      </c>
    </row>
    <row r="80" spans="1:26" x14ac:dyDescent="0.25">
      <c r="A80" t="s">
        <v>180</v>
      </c>
      <c r="B80" t="s">
        <v>181</v>
      </c>
      <c r="C80" s="1"/>
      <c r="D80" s="1"/>
      <c r="E80" s="1"/>
      <c r="F80" s="1"/>
      <c r="G80" s="2"/>
      <c r="H80" s="2">
        <f>VLOOKUP(A80,VAL!$A$3:$F$298,3,FALSE)</f>
        <v>33000000</v>
      </c>
      <c r="I80" s="2">
        <v>33000000</v>
      </c>
      <c r="J80" s="2">
        <v>16429576294</v>
      </c>
      <c r="K80" s="2">
        <v>17431395626</v>
      </c>
      <c r="L80" s="2">
        <v>18348545217</v>
      </c>
      <c r="M80" s="2">
        <v>20866206834</v>
      </c>
      <c r="N80" s="2">
        <v>25404771161</v>
      </c>
      <c r="O80" s="2">
        <v>27724512325</v>
      </c>
      <c r="P80" s="2">
        <v>29307076901</v>
      </c>
      <c r="Q80" s="2">
        <v>31296198022</v>
      </c>
      <c r="R80" s="2">
        <v>32514777555</v>
      </c>
      <c r="S80" s="2">
        <v>34557686687</v>
      </c>
      <c r="T80" s="2">
        <v>37586182316</v>
      </c>
      <c r="U80" s="2">
        <v>1138399.3799999999</v>
      </c>
      <c r="V80" t="str">
        <f t="shared" si="5"/>
        <v>17210</v>
      </c>
      <c r="W80" s="2">
        <v>15398500</v>
      </c>
      <c r="X80" s="1">
        <v>2237728.39</v>
      </c>
      <c r="Y80" s="1">
        <v>294007.19999999972</v>
      </c>
      <c r="Z80" s="1">
        <v>2223043.96</v>
      </c>
    </row>
    <row r="81" spans="1:26" x14ac:dyDescent="0.25">
      <c r="A81" t="s">
        <v>521</v>
      </c>
      <c r="B81" t="s">
        <v>522</v>
      </c>
      <c r="C81" s="1"/>
      <c r="D81" s="1"/>
      <c r="E81" s="1"/>
      <c r="F81" s="1"/>
      <c r="G81" s="2"/>
      <c r="H81" s="2">
        <f>VLOOKUP(A81,VAL!$A$3:$F$298,3,FALSE)</f>
        <v>15060000</v>
      </c>
      <c r="I81" s="2">
        <v>15060000</v>
      </c>
      <c r="J81" s="2">
        <v>4784705100</v>
      </c>
      <c r="K81" s="2">
        <v>5252610369</v>
      </c>
      <c r="L81" s="2">
        <v>5736870960</v>
      </c>
      <c r="M81" s="2">
        <v>6518187979</v>
      </c>
      <c r="N81" s="2">
        <v>7857958204</v>
      </c>
      <c r="O81" s="2">
        <v>8253676360</v>
      </c>
      <c r="P81" s="2">
        <v>9474449629</v>
      </c>
      <c r="Q81" s="2">
        <v>10717143379</v>
      </c>
      <c r="R81" s="2">
        <v>12202295893</v>
      </c>
      <c r="S81" s="2">
        <v>13434482022</v>
      </c>
      <c r="T81" s="2">
        <v>14727900248</v>
      </c>
      <c r="U81" s="2">
        <v>0</v>
      </c>
      <c r="V81" t="str">
        <f t="shared" si="5"/>
        <v>37502</v>
      </c>
      <c r="W81" s="2">
        <v>4083054.89</v>
      </c>
      <c r="X81" s="1">
        <v>0</v>
      </c>
      <c r="Y81" s="1">
        <v>0</v>
      </c>
      <c r="Z81" s="1">
        <v>0</v>
      </c>
    </row>
    <row r="82" spans="1:26" x14ac:dyDescent="0.25">
      <c r="A82" t="s">
        <v>375</v>
      </c>
      <c r="B82" t="s">
        <v>376</v>
      </c>
      <c r="C82" s="1"/>
      <c r="D82" s="1"/>
      <c r="E82" s="1"/>
      <c r="F82" s="1"/>
      <c r="G82" s="2"/>
      <c r="H82" s="2">
        <f>VLOOKUP(A82,VAL!$A$3:$F$298,3,FALSE)</f>
        <v>9600000</v>
      </c>
      <c r="I82" s="2">
        <v>9600000</v>
      </c>
      <c r="J82" s="2">
        <v>3924007961</v>
      </c>
      <c r="K82" s="2">
        <v>4534629306</v>
      </c>
      <c r="L82" s="2">
        <v>4812788675</v>
      </c>
      <c r="M82" s="2">
        <v>5402395700</v>
      </c>
      <c r="N82" s="2">
        <v>6371068850</v>
      </c>
      <c r="O82" s="2">
        <v>6662654565</v>
      </c>
      <c r="P82" s="2">
        <v>7058130862</v>
      </c>
      <c r="Q82" s="2">
        <v>7495717296</v>
      </c>
      <c r="R82" s="2">
        <v>7761598994</v>
      </c>
      <c r="S82" s="2">
        <v>8089065524</v>
      </c>
      <c r="T82" s="2">
        <v>8445352426</v>
      </c>
      <c r="U82" s="2">
        <v>0</v>
      </c>
      <c r="V82" t="str">
        <f t="shared" si="5"/>
        <v>27417</v>
      </c>
      <c r="W82" s="2">
        <v>4690620</v>
      </c>
      <c r="X82" s="1">
        <v>0</v>
      </c>
      <c r="Y82" s="1">
        <v>0</v>
      </c>
      <c r="Z82" s="1">
        <v>0</v>
      </c>
    </row>
    <row r="83" spans="1:26" x14ac:dyDescent="0.25">
      <c r="A83" t="s">
        <v>20</v>
      </c>
      <c r="B83" t="s">
        <v>21</v>
      </c>
      <c r="C83" s="1"/>
      <c r="D83" s="1"/>
      <c r="E83" s="1"/>
      <c r="F83" s="1"/>
      <c r="G83" s="2"/>
      <c r="H83" s="2">
        <f>VLOOKUP(A83,VAL!$A$3:$F$298,3,FALSE)</f>
        <v>1000000</v>
      </c>
      <c r="I83" s="2">
        <v>1000000</v>
      </c>
      <c r="J83" s="2">
        <v>526363002</v>
      </c>
      <c r="K83" s="2">
        <v>574141145</v>
      </c>
      <c r="L83" s="2">
        <v>589877305</v>
      </c>
      <c r="M83" s="2">
        <v>624461673</v>
      </c>
      <c r="N83" s="2">
        <v>731885012</v>
      </c>
      <c r="O83" s="2">
        <v>740294433</v>
      </c>
      <c r="P83" s="2">
        <v>798344949</v>
      </c>
      <c r="Q83" s="2">
        <v>838028505</v>
      </c>
      <c r="R83" s="2">
        <v>866722458</v>
      </c>
      <c r="S83" s="2">
        <v>906724843</v>
      </c>
      <c r="T83" s="2">
        <v>981780665</v>
      </c>
      <c r="U83" s="2">
        <v>149203.70000000001</v>
      </c>
      <c r="V83" t="str">
        <f t="shared" si="5"/>
        <v>03053</v>
      </c>
      <c r="W83" s="2">
        <v>557709.51</v>
      </c>
      <c r="X83" s="1">
        <v>0</v>
      </c>
      <c r="Y83" s="1">
        <v>0</v>
      </c>
      <c r="Z83" s="1">
        <v>638530.66</v>
      </c>
    </row>
    <row r="84" spans="1:26" x14ac:dyDescent="0.25">
      <c r="A84" t="s">
        <v>367</v>
      </c>
      <c r="B84" t="s">
        <v>368</v>
      </c>
      <c r="C84" s="1"/>
      <c r="D84" s="1"/>
      <c r="E84" s="1"/>
      <c r="F84" s="1"/>
      <c r="G84" s="2"/>
      <c r="H84" s="2">
        <f>VLOOKUP(A84,VAL!$A$3:$F$298,3,FALSE)</f>
        <v>19000000</v>
      </c>
      <c r="I84" s="2">
        <v>19000000</v>
      </c>
      <c r="J84" s="2">
        <v>4651414006</v>
      </c>
      <c r="K84" s="2">
        <v>5153858941</v>
      </c>
      <c r="L84" s="2">
        <v>5695037901</v>
      </c>
      <c r="M84" s="2">
        <v>6690518093</v>
      </c>
      <c r="N84" s="2">
        <v>7947298841</v>
      </c>
      <c r="O84" s="2">
        <v>8459217783</v>
      </c>
      <c r="P84" s="2">
        <v>8995835140</v>
      </c>
      <c r="Q84" s="2">
        <v>9735137961</v>
      </c>
      <c r="R84" s="2">
        <v>10449061537</v>
      </c>
      <c r="S84" s="2">
        <v>11145954929</v>
      </c>
      <c r="T84" s="2">
        <v>11539068392</v>
      </c>
      <c r="U84" s="2">
        <v>700750.5</v>
      </c>
      <c r="V84" t="str">
        <f t="shared" si="5"/>
        <v>27402</v>
      </c>
      <c r="W84" s="2">
        <v>7924918.6799999997</v>
      </c>
      <c r="X84" s="1">
        <v>783205.98</v>
      </c>
      <c r="Y84" s="1">
        <v>102902.66000000003</v>
      </c>
      <c r="Z84" s="1">
        <v>94064.18</v>
      </c>
    </row>
    <row r="85" spans="1:26" x14ac:dyDescent="0.25">
      <c r="A85" t="s">
        <v>449</v>
      </c>
      <c r="B85" t="s">
        <v>450</v>
      </c>
      <c r="C85" s="1"/>
      <c r="D85" s="1"/>
      <c r="E85" s="1"/>
      <c r="F85" s="1"/>
      <c r="G85" s="2"/>
      <c r="H85" s="2">
        <f>VLOOKUP(A85,VAL!$A$3:$F$298,3,FALSE)</f>
        <v>997304</v>
      </c>
      <c r="I85" s="2">
        <v>997304</v>
      </c>
      <c r="J85" s="2">
        <v>665560714</v>
      </c>
      <c r="K85" s="2">
        <v>721722793</v>
      </c>
      <c r="L85" s="2">
        <v>802778991</v>
      </c>
      <c r="M85" s="2">
        <v>905099058</v>
      </c>
      <c r="N85" s="2">
        <v>1168566076</v>
      </c>
      <c r="O85" s="2">
        <v>1250619081</v>
      </c>
      <c r="P85" s="2">
        <v>1298780156</v>
      </c>
      <c r="Q85" s="2">
        <v>1386699103</v>
      </c>
      <c r="R85" s="2">
        <v>1440739361</v>
      </c>
      <c r="S85" s="2">
        <v>1491359267</v>
      </c>
      <c r="T85" s="2">
        <v>1549571145</v>
      </c>
      <c r="U85" s="2">
        <v>21436.23</v>
      </c>
      <c r="V85" t="str">
        <f t="shared" si="5"/>
        <v>32358</v>
      </c>
      <c r="W85" s="2">
        <v>624479.30000000005</v>
      </c>
      <c r="X85" s="1">
        <v>0</v>
      </c>
      <c r="Y85" s="1">
        <v>0</v>
      </c>
      <c r="Z85" s="1">
        <v>78641.52</v>
      </c>
    </row>
    <row r="86" spans="1:26" x14ac:dyDescent="0.25">
      <c r="A86" t="s">
        <v>545</v>
      </c>
      <c r="B86" t="s">
        <v>546</v>
      </c>
      <c r="C86" s="1"/>
      <c r="D86" s="1"/>
      <c r="E86" s="1"/>
      <c r="F86" s="1"/>
      <c r="G86" s="2"/>
      <c r="H86" s="2">
        <f>VLOOKUP(A86,VAL!$A$3:$F$298,3,FALSE)</f>
        <v>165000</v>
      </c>
      <c r="I86" s="2">
        <v>165000</v>
      </c>
      <c r="J86" s="2">
        <v>87617824</v>
      </c>
      <c r="K86" s="2">
        <v>87661475</v>
      </c>
      <c r="L86" s="2">
        <v>88684653</v>
      </c>
      <c r="M86" s="2">
        <v>91295468</v>
      </c>
      <c r="N86" s="2">
        <v>94902831</v>
      </c>
      <c r="O86" s="2">
        <v>94939274</v>
      </c>
      <c r="P86" s="2">
        <v>98603246</v>
      </c>
      <c r="Q86" s="2">
        <v>99236862</v>
      </c>
      <c r="R86" s="2">
        <v>102342270</v>
      </c>
      <c r="S86" s="2">
        <v>106981636</v>
      </c>
      <c r="T86" s="2">
        <v>114332357</v>
      </c>
      <c r="U86" s="2">
        <v>10018.219999999999</v>
      </c>
      <c r="V86" t="str">
        <f t="shared" si="5"/>
        <v>38302</v>
      </c>
      <c r="W86" s="2">
        <v>83407.75</v>
      </c>
      <c r="X86" s="1">
        <v>27518.63</v>
      </c>
      <c r="Y86" s="1">
        <v>3615.5699999999997</v>
      </c>
      <c r="Z86" s="1">
        <v>2719.67</v>
      </c>
    </row>
    <row r="87" spans="1:26" x14ac:dyDescent="0.25">
      <c r="A87" t="s">
        <v>245</v>
      </c>
      <c r="B87" t="s">
        <v>246</v>
      </c>
      <c r="C87" s="1"/>
      <c r="D87" s="1"/>
      <c r="E87" s="1"/>
      <c r="F87" s="1"/>
      <c r="G87" s="2"/>
      <c r="H87" s="2">
        <f>VLOOKUP(A87,VAL!$A$3:$F$298,3,FALSE)</f>
        <v>110000</v>
      </c>
      <c r="I87" s="2">
        <v>110000</v>
      </c>
      <c r="J87" s="2">
        <v>54363054.269999996</v>
      </c>
      <c r="K87" s="2">
        <v>51626698</v>
      </c>
      <c r="L87" s="2">
        <v>58099181</v>
      </c>
      <c r="M87" s="2">
        <v>68184091</v>
      </c>
      <c r="N87" s="2">
        <v>70296922</v>
      </c>
      <c r="O87" s="2">
        <v>74772671</v>
      </c>
      <c r="P87" s="2">
        <v>77698458</v>
      </c>
      <c r="Q87" s="2">
        <v>83886278</v>
      </c>
      <c r="R87" s="2">
        <v>87241601</v>
      </c>
      <c r="S87" s="2">
        <v>91900027</v>
      </c>
      <c r="T87" s="2">
        <v>96818241</v>
      </c>
      <c r="U87" s="2">
        <v>351.65</v>
      </c>
      <c r="V87" t="str">
        <f t="shared" si="5"/>
        <v>20401</v>
      </c>
      <c r="W87" s="2">
        <v>52118</v>
      </c>
      <c r="X87" s="1">
        <v>13340.88</v>
      </c>
      <c r="Y87" s="1">
        <v>1752.8100000000013</v>
      </c>
      <c r="Z87" s="1">
        <v>3839.11</v>
      </c>
    </row>
    <row r="88" spans="1:26" x14ac:dyDescent="0.25">
      <c r="A88" t="s">
        <v>251</v>
      </c>
      <c r="B88" t="s">
        <v>252</v>
      </c>
      <c r="C88" s="1"/>
      <c r="D88" s="1"/>
      <c r="E88" s="1"/>
      <c r="F88" s="1"/>
      <c r="G88" s="2"/>
      <c r="H88" s="2">
        <f>VLOOKUP(A88,VAL!$A$3:$F$298,3,FALSE)</f>
        <v>1943620</v>
      </c>
      <c r="I88" s="2">
        <v>1943620</v>
      </c>
      <c r="J88" s="2">
        <v>1119740084.5599999</v>
      </c>
      <c r="K88" s="2">
        <v>1097522911</v>
      </c>
      <c r="L88" s="2">
        <v>1131786742</v>
      </c>
      <c r="M88" s="2">
        <v>1187624559</v>
      </c>
      <c r="N88" s="2">
        <v>1337281814</v>
      </c>
      <c r="O88" s="2">
        <v>1269088229</v>
      </c>
      <c r="P88" s="2">
        <v>1302556995</v>
      </c>
      <c r="Q88" s="2">
        <v>1350118872</v>
      </c>
      <c r="R88" s="2">
        <v>1373614241</v>
      </c>
      <c r="S88" s="2">
        <v>1359882577</v>
      </c>
      <c r="T88" s="2">
        <v>1398893066</v>
      </c>
      <c r="U88" s="2">
        <v>522438.40000000002</v>
      </c>
      <c r="V88" t="str">
        <f t="shared" si="5"/>
        <v>20404</v>
      </c>
      <c r="W88" s="2">
        <v>1195029.73</v>
      </c>
      <c r="X88" s="1">
        <v>0</v>
      </c>
      <c r="Y88" s="1">
        <v>0</v>
      </c>
      <c r="Z88" s="1">
        <v>90604.2</v>
      </c>
    </row>
    <row r="89" spans="1:26" x14ac:dyDescent="0.25">
      <c r="A89" t="s">
        <v>134</v>
      </c>
      <c r="B89" t="s">
        <v>135</v>
      </c>
      <c r="C89" s="1"/>
      <c r="D89" s="1"/>
      <c r="E89" s="1"/>
      <c r="F89" s="1"/>
      <c r="G89" s="2"/>
      <c r="H89" s="2">
        <f>VLOOKUP(A89,VAL!$A$3:$F$298,3,FALSE)</f>
        <v>1130000</v>
      </c>
      <c r="I89" s="2">
        <v>1130000</v>
      </c>
      <c r="J89" s="2">
        <v>287501410</v>
      </c>
      <c r="K89" s="2">
        <v>293710516</v>
      </c>
      <c r="L89" s="2">
        <v>307781323</v>
      </c>
      <c r="M89" s="2">
        <v>335543725</v>
      </c>
      <c r="N89" s="2">
        <v>364523646</v>
      </c>
      <c r="O89" s="2">
        <v>379388687</v>
      </c>
      <c r="P89" s="2">
        <v>408718691</v>
      </c>
      <c r="Q89" s="2">
        <v>434675308</v>
      </c>
      <c r="R89" s="2">
        <v>461516261</v>
      </c>
      <c r="S89" s="2">
        <v>494411838</v>
      </c>
      <c r="T89" s="2">
        <v>523391404</v>
      </c>
      <c r="U89" s="2">
        <v>174293.54</v>
      </c>
      <c r="V89" t="str">
        <f t="shared" si="5"/>
        <v>13301</v>
      </c>
      <c r="W89" s="2">
        <v>397451.54</v>
      </c>
      <c r="X89" s="1">
        <v>0</v>
      </c>
      <c r="Y89" s="1">
        <v>0</v>
      </c>
      <c r="Z89" s="1">
        <v>41511.760000000002</v>
      </c>
    </row>
    <row r="90" spans="1:26" x14ac:dyDescent="0.25">
      <c r="A90" t="s">
        <v>571</v>
      </c>
      <c r="B90" t="s">
        <v>572</v>
      </c>
      <c r="C90" s="1"/>
      <c r="D90" s="1"/>
      <c r="E90" s="1"/>
      <c r="F90" s="1"/>
      <c r="G90" s="2"/>
      <c r="H90" s="2">
        <f>VLOOKUP(A90,VAL!$A$3:$F$298,3,FALSE)</f>
        <v>1660000</v>
      </c>
      <c r="I90" s="2">
        <v>1500000</v>
      </c>
      <c r="J90" s="2">
        <v>903199848</v>
      </c>
      <c r="K90" s="2">
        <v>970856846</v>
      </c>
      <c r="L90" s="2">
        <v>1009533808</v>
      </c>
      <c r="M90" s="2">
        <v>1118946521</v>
      </c>
      <c r="N90" s="2">
        <v>1305088527</v>
      </c>
      <c r="O90" s="2">
        <v>1337081426</v>
      </c>
      <c r="P90" s="2">
        <v>1441248812</v>
      </c>
      <c r="Q90" s="2">
        <v>1566285722</v>
      </c>
      <c r="R90" s="2">
        <v>1702597119</v>
      </c>
      <c r="S90" s="2">
        <v>1838151121</v>
      </c>
      <c r="T90" s="2">
        <v>2060917509</v>
      </c>
      <c r="U90" s="2">
        <v>1199063.53</v>
      </c>
      <c r="V90" t="str">
        <f t="shared" si="5"/>
        <v>39200</v>
      </c>
      <c r="W90" s="2">
        <v>876530</v>
      </c>
      <c r="X90" s="1">
        <v>136257.87</v>
      </c>
      <c r="Y90" s="1">
        <v>17902.440000000002</v>
      </c>
      <c r="Z90" s="1">
        <v>68259.14</v>
      </c>
    </row>
    <row r="91" spans="1:26" x14ac:dyDescent="0.25">
      <c r="A91" t="s">
        <v>579</v>
      </c>
      <c r="B91" t="s">
        <v>580</v>
      </c>
      <c r="C91" s="1"/>
      <c r="D91" s="1"/>
      <c r="E91" s="1"/>
      <c r="F91" s="1"/>
      <c r="G91" s="2"/>
      <c r="H91" s="2">
        <f>VLOOKUP(A91,VAL!$A$3:$F$298,3,FALSE)</f>
        <v>626000</v>
      </c>
      <c r="I91" s="2">
        <v>626000</v>
      </c>
      <c r="J91" s="2">
        <v>353044154</v>
      </c>
      <c r="K91" s="2">
        <v>382508348</v>
      </c>
      <c r="L91" s="2">
        <v>407852202</v>
      </c>
      <c r="M91" s="2">
        <v>443898719</v>
      </c>
      <c r="N91" s="2">
        <v>502914468</v>
      </c>
      <c r="O91" s="2">
        <v>531540606</v>
      </c>
      <c r="P91" s="2">
        <v>567174088</v>
      </c>
      <c r="Q91" s="2">
        <v>615052690</v>
      </c>
      <c r="R91" s="2">
        <v>656933096</v>
      </c>
      <c r="S91" s="2">
        <v>689414037</v>
      </c>
      <c r="T91" s="2">
        <v>760865582</v>
      </c>
      <c r="U91" s="2">
        <v>491525.52</v>
      </c>
      <c r="V91" t="str">
        <f t="shared" si="5"/>
        <v>39204</v>
      </c>
      <c r="W91" s="2">
        <v>338767</v>
      </c>
      <c r="X91" s="1">
        <v>0</v>
      </c>
      <c r="Y91" s="1">
        <v>0</v>
      </c>
      <c r="Z91" s="1">
        <v>0</v>
      </c>
    </row>
    <row r="92" spans="1:26" x14ac:dyDescent="0.25">
      <c r="A92" t="s">
        <v>431</v>
      </c>
      <c r="B92" t="s">
        <v>432</v>
      </c>
      <c r="C92" s="1"/>
      <c r="D92" s="1"/>
      <c r="E92" s="1"/>
      <c r="F92" s="1"/>
      <c r="G92" s="2"/>
      <c r="H92" s="2">
        <f>VLOOKUP(A92,VAL!$A$3:$F$298,3,FALSE)</f>
        <v>4449366</v>
      </c>
      <c r="I92" s="2">
        <v>4449366</v>
      </c>
      <c r="J92" s="2">
        <v>1919742014</v>
      </c>
      <c r="K92" s="2">
        <v>2126200941</v>
      </c>
      <c r="L92" s="2">
        <v>2340957598</v>
      </c>
      <c r="M92" s="2">
        <v>2712575861</v>
      </c>
      <c r="N92" s="2">
        <v>3639829503</v>
      </c>
      <c r="O92" s="2">
        <v>4051342026</v>
      </c>
      <c r="P92" s="2">
        <v>4425735901</v>
      </c>
      <c r="Q92" s="2">
        <v>4824038393</v>
      </c>
      <c r="R92" s="2">
        <v>5330185441</v>
      </c>
      <c r="S92" s="2">
        <v>5817394307</v>
      </c>
      <c r="T92" s="2">
        <v>6457507751</v>
      </c>
      <c r="U92" s="2">
        <v>0</v>
      </c>
      <c r="V92" t="str">
        <f t="shared" si="5"/>
        <v>31332</v>
      </c>
      <c r="W92" s="2">
        <v>2108109.61</v>
      </c>
      <c r="X92" s="1">
        <v>0</v>
      </c>
      <c r="Y92" s="1">
        <v>0</v>
      </c>
      <c r="Z92" s="1">
        <v>0</v>
      </c>
    </row>
    <row r="93" spans="1:26" x14ac:dyDescent="0.25">
      <c r="A93" t="s">
        <v>301</v>
      </c>
      <c r="B93" t="s">
        <v>302</v>
      </c>
      <c r="C93" s="1"/>
      <c r="D93" s="1"/>
      <c r="E93" s="1"/>
      <c r="F93" s="1"/>
      <c r="G93" s="2"/>
      <c r="H93" s="2">
        <f>VLOOKUP(A93,VAL!$A$3:$F$298,3,FALSE)</f>
        <v>736752</v>
      </c>
      <c r="I93" s="2">
        <v>736752</v>
      </c>
      <c r="J93" s="2">
        <v>817307507.5</v>
      </c>
      <c r="K93" s="2">
        <v>845227829</v>
      </c>
      <c r="L93" s="2">
        <v>949266609</v>
      </c>
      <c r="M93" s="2">
        <v>1107864440</v>
      </c>
      <c r="N93" s="2">
        <v>1236195907</v>
      </c>
      <c r="O93" s="2">
        <v>1396220662</v>
      </c>
      <c r="P93" s="2">
        <v>1501188335</v>
      </c>
      <c r="Q93" s="2">
        <v>1668670319</v>
      </c>
      <c r="R93" s="2">
        <v>1842149808</v>
      </c>
      <c r="S93" s="2">
        <v>2031341782</v>
      </c>
      <c r="T93" s="2">
        <v>2217477581</v>
      </c>
      <c r="U93" s="2">
        <v>0</v>
      </c>
      <c r="V93" t="str">
        <f t="shared" si="5"/>
        <v>23054</v>
      </c>
      <c r="W93" s="2">
        <v>348497.9</v>
      </c>
      <c r="X93" s="1">
        <v>0</v>
      </c>
      <c r="Y93" s="1">
        <v>0</v>
      </c>
      <c r="Z93" s="1">
        <v>0</v>
      </c>
    </row>
    <row r="94" spans="1:26" x14ac:dyDescent="0.25">
      <c r="A94" t="s">
        <v>439</v>
      </c>
      <c r="B94" t="s">
        <v>440</v>
      </c>
      <c r="C94" s="1"/>
      <c r="D94" s="1"/>
      <c r="E94" s="1"/>
      <c r="F94" s="1"/>
      <c r="G94" s="2"/>
      <c r="H94" s="2">
        <f>VLOOKUP(A94,VAL!$A$3:$F$298,3,FALSE)</f>
        <v>185000</v>
      </c>
      <c r="I94" s="2">
        <v>185000</v>
      </c>
      <c r="J94" s="2">
        <v>128572769</v>
      </c>
      <c r="K94" s="2">
        <v>140493395</v>
      </c>
      <c r="L94" s="2">
        <v>153493439</v>
      </c>
      <c r="M94" s="2">
        <v>180832300</v>
      </c>
      <c r="N94" s="2">
        <v>231179899</v>
      </c>
      <c r="O94" s="2">
        <v>252364481</v>
      </c>
      <c r="P94" s="2">
        <v>276248836</v>
      </c>
      <c r="Q94" s="2">
        <v>303399257</v>
      </c>
      <c r="R94" s="2">
        <v>324630418</v>
      </c>
      <c r="S94" s="2">
        <v>338225532</v>
      </c>
      <c r="T94" s="2">
        <v>364287693</v>
      </c>
      <c r="U94" s="2">
        <v>0</v>
      </c>
      <c r="V94" t="str">
        <f t="shared" si="5"/>
        <v>32312</v>
      </c>
      <c r="W94" s="2">
        <v>100271.72</v>
      </c>
      <c r="X94" s="1">
        <v>0</v>
      </c>
      <c r="Y94" s="1">
        <v>0</v>
      </c>
      <c r="Z94" s="1">
        <v>0</v>
      </c>
    </row>
    <row r="95" spans="1:26" x14ac:dyDescent="0.25">
      <c r="A95" t="s">
        <v>56</v>
      </c>
      <c r="B95" t="s">
        <v>57</v>
      </c>
      <c r="C95" s="1"/>
      <c r="D95" s="1"/>
      <c r="E95" s="1"/>
      <c r="F95" s="1"/>
      <c r="G95" s="2"/>
      <c r="H95" s="2">
        <f>VLOOKUP(A95,VAL!$A$3:$F$298,3,FALSE)</f>
        <v>550000</v>
      </c>
      <c r="I95" s="2">
        <v>550000</v>
      </c>
      <c r="J95" s="2">
        <v>191775233</v>
      </c>
      <c r="K95" s="2">
        <v>197059300</v>
      </c>
      <c r="L95" s="2">
        <v>204800164</v>
      </c>
      <c r="M95" s="2">
        <v>204979905</v>
      </c>
      <c r="N95" s="2">
        <v>234484048</v>
      </c>
      <c r="O95" s="2">
        <v>236907379</v>
      </c>
      <c r="P95" s="2">
        <v>243079496</v>
      </c>
      <c r="Q95" s="2">
        <v>253610153</v>
      </c>
      <c r="R95" s="2">
        <v>255162772</v>
      </c>
      <c r="S95" s="2">
        <v>261608597</v>
      </c>
      <c r="T95" s="2">
        <v>268468052</v>
      </c>
      <c r="U95" s="2">
        <v>8061.02</v>
      </c>
      <c r="V95" t="str">
        <f t="shared" si="5"/>
        <v>06103</v>
      </c>
      <c r="W95" s="2">
        <v>184102.57</v>
      </c>
      <c r="X95" s="1">
        <v>19311.88</v>
      </c>
      <c r="Y95" s="1">
        <v>2537.3199999999997</v>
      </c>
      <c r="Z95" s="1">
        <v>0</v>
      </c>
    </row>
    <row r="96" spans="1:26" x14ac:dyDescent="0.25">
      <c r="A96" t="s">
        <v>497</v>
      </c>
      <c r="B96" t="s">
        <v>498</v>
      </c>
      <c r="C96" s="1"/>
      <c r="D96" s="1"/>
      <c r="E96" s="1"/>
      <c r="F96" s="1"/>
      <c r="G96" s="2"/>
      <c r="H96" s="2">
        <f>VLOOKUP(A96,VAL!$A$3:$F$298,3,FALSE)</f>
        <v>2267000</v>
      </c>
      <c r="I96" s="2">
        <v>2267000</v>
      </c>
      <c r="J96" s="2">
        <v>1150276891</v>
      </c>
      <c r="K96" s="2">
        <v>1264755558</v>
      </c>
      <c r="L96" s="2">
        <v>1355063424</v>
      </c>
      <c r="M96" s="2">
        <v>1612124648</v>
      </c>
      <c r="N96" s="2">
        <v>1917868855</v>
      </c>
      <c r="O96" s="2">
        <v>2036673546</v>
      </c>
      <c r="P96" s="2">
        <v>2269704673</v>
      </c>
      <c r="Q96" s="2">
        <v>2537871628</v>
      </c>
      <c r="R96" s="2">
        <v>2798502087</v>
      </c>
      <c r="S96" s="2">
        <v>3191233483</v>
      </c>
      <c r="T96" s="2">
        <v>3600819602</v>
      </c>
      <c r="U96" s="2">
        <v>0</v>
      </c>
      <c r="V96" t="str">
        <f t="shared" si="5"/>
        <v>34324</v>
      </c>
      <c r="W96" s="2">
        <v>1094322.1200000001</v>
      </c>
      <c r="X96" s="1">
        <v>0</v>
      </c>
      <c r="Y96" s="1">
        <v>0</v>
      </c>
      <c r="Z96" s="1">
        <v>0</v>
      </c>
    </row>
    <row r="97" spans="1:26" x14ac:dyDescent="0.25">
      <c r="A97" t="s">
        <v>295</v>
      </c>
      <c r="B97" t="s">
        <v>296</v>
      </c>
      <c r="C97" s="1"/>
      <c r="D97" s="1"/>
      <c r="E97" s="1"/>
      <c r="F97" s="1"/>
      <c r="G97" s="2"/>
      <c r="H97" s="2">
        <f>VLOOKUP(A97,VAL!$A$3:$F$298,3,FALSE)</f>
        <v>270000</v>
      </c>
      <c r="I97" s="2">
        <v>270000</v>
      </c>
      <c r="J97" s="2">
        <v>149363730</v>
      </c>
      <c r="K97" s="2">
        <v>157076074</v>
      </c>
      <c r="L97" s="2">
        <v>158157017</v>
      </c>
      <c r="M97" s="2">
        <v>166592877</v>
      </c>
      <c r="N97" s="2">
        <v>169050265</v>
      </c>
      <c r="O97" s="2">
        <v>183763133</v>
      </c>
      <c r="P97" s="2">
        <v>202291540</v>
      </c>
      <c r="Q97" s="2">
        <v>210025949</v>
      </c>
      <c r="R97" s="2">
        <v>220628219</v>
      </c>
      <c r="S97" s="2">
        <v>230768978</v>
      </c>
      <c r="T97" s="2">
        <v>245110948</v>
      </c>
      <c r="U97" s="2">
        <v>0</v>
      </c>
      <c r="V97" t="str">
        <f t="shared" si="5"/>
        <v>22204</v>
      </c>
      <c r="W97" s="2">
        <v>163785.94</v>
      </c>
      <c r="X97" s="1">
        <v>0</v>
      </c>
      <c r="Y97" s="1">
        <v>0</v>
      </c>
      <c r="Z97" s="1">
        <v>0</v>
      </c>
    </row>
    <row r="98" spans="1:26" x14ac:dyDescent="0.25">
      <c r="A98" t="s">
        <v>577</v>
      </c>
      <c r="B98" t="s">
        <v>578</v>
      </c>
      <c r="C98" s="1"/>
      <c r="D98" s="1"/>
      <c r="E98" s="1"/>
      <c r="F98" s="1"/>
      <c r="G98" s="2"/>
      <c r="H98" s="2">
        <f>VLOOKUP(A98,VAL!$A$3:$F$298,3,FALSE)</f>
        <v>1400000</v>
      </c>
      <c r="I98" s="2">
        <v>1400000</v>
      </c>
      <c r="J98" s="2">
        <v>544691156</v>
      </c>
      <c r="K98" s="2">
        <v>588609646</v>
      </c>
      <c r="L98" s="2">
        <v>654992114</v>
      </c>
      <c r="M98" s="2">
        <v>706414944</v>
      </c>
      <c r="N98" s="2">
        <v>791313533</v>
      </c>
      <c r="O98" s="2">
        <v>840671674</v>
      </c>
      <c r="P98" s="2">
        <v>908742569</v>
      </c>
      <c r="Q98" s="2">
        <v>998686700</v>
      </c>
      <c r="R98" s="2">
        <v>1091378267</v>
      </c>
      <c r="S98" s="2">
        <v>1198931994</v>
      </c>
      <c r="T98" s="2">
        <v>1365371537</v>
      </c>
      <c r="U98" s="2">
        <v>200926.05</v>
      </c>
      <c r="V98" t="str">
        <f t="shared" si="5"/>
        <v>39203</v>
      </c>
      <c r="W98" s="2">
        <v>592250</v>
      </c>
      <c r="X98" s="1">
        <v>89476.22</v>
      </c>
      <c r="Y98" s="1">
        <v>11755.959999999992</v>
      </c>
      <c r="Z98" s="1">
        <v>16360.58</v>
      </c>
    </row>
    <row r="99" spans="1:26" x14ac:dyDescent="0.25">
      <c r="A99" t="s">
        <v>186</v>
      </c>
      <c r="B99" t="s">
        <v>187</v>
      </c>
      <c r="C99" s="1"/>
      <c r="D99" s="1"/>
      <c r="E99" s="1"/>
      <c r="F99" s="1"/>
      <c r="G99" s="2"/>
      <c r="H99" s="2">
        <f>VLOOKUP(A99,VAL!$A$3:$F$298,3,FALSE)</f>
        <v>47329540</v>
      </c>
      <c r="I99" s="2">
        <v>47329540</v>
      </c>
      <c r="J99" s="2">
        <v>21291686331</v>
      </c>
      <c r="K99" s="2">
        <v>22734865136</v>
      </c>
      <c r="L99" s="2">
        <v>23597657991</v>
      </c>
      <c r="M99" s="2">
        <v>25088048600</v>
      </c>
      <c r="N99" s="2">
        <v>28712258383</v>
      </c>
      <c r="O99" s="2">
        <v>32354970059</v>
      </c>
      <c r="P99" s="2">
        <v>35245336363</v>
      </c>
      <c r="Q99" s="2">
        <v>36731773499</v>
      </c>
      <c r="R99" s="2">
        <v>38279880782</v>
      </c>
      <c r="S99" s="2">
        <v>40114407279</v>
      </c>
      <c r="T99" s="2">
        <v>41387036322</v>
      </c>
      <c r="U99" s="2">
        <v>0</v>
      </c>
      <c r="V99" t="str">
        <f t="shared" si="5"/>
        <v>17401</v>
      </c>
      <c r="W99" s="2">
        <v>24028108.300000001</v>
      </c>
      <c r="X99" s="1">
        <v>0</v>
      </c>
      <c r="Y99" s="1">
        <v>0</v>
      </c>
      <c r="Z99" s="1">
        <v>0</v>
      </c>
    </row>
    <row r="100" spans="1:26" x14ac:dyDescent="0.25">
      <c r="A100" t="s">
        <v>52</v>
      </c>
      <c r="B100" t="s">
        <v>53</v>
      </c>
      <c r="C100" s="1"/>
      <c r="D100" s="1"/>
      <c r="E100" s="1"/>
      <c r="F100" s="1"/>
      <c r="G100" s="2"/>
      <c r="H100" s="2">
        <f>VLOOKUP(A100,VAL!$A$3:$F$298,3,FALSE)</f>
        <v>4997000</v>
      </c>
      <c r="I100" s="2">
        <v>2400000</v>
      </c>
      <c r="J100" s="2">
        <v>1585031393</v>
      </c>
      <c r="K100" s="2">
        <v>1695817163</v>
      </c>
      <c r="L100" s="2">
        <v>1872039228</v>
      </c>
      <c r="M100" s="2">
        <v>2040278249</v>
      </c>
      <c r="N100" s="2">
        <v>2476864997</v>
      </c>
      <c r="O100" s="2">
        <v>2674502753</v>
      </c>
      <c r="P100" s="2">
        <v>2897260304</v>
      </c>
      <c r="Q100" s="2">
        <v>3156994971</v>
      </c>
      <c r="R100" s="2">
        <v>3356428176</v>
      </c>
      <c r="S100" s="2">
        <v>3519906109</v>
      </c>
      <c r="T100" s="2">
        <v>3725772916</v>
      </c>
      <c r="U100" s="2">
        <v>0</v>
      </c>
      <c r="V100" t="str">
        <f t="shared" si="5"/>
        <v>06098</v>
      </c>
      <c r="W100" s="2">
        <v>1452197</v>
      </c>
      <c r="X100" s="1">
        <v>0</v>
      </c>
      <c r="Y100" s="1">
        <v>0</v>
      </c>
      <c r="Z100" s="1">
        <v>95479.1</v>
      </c>
    </row>
    <row r="101" spans="1:26" x14ac:dyDescent="0.25">
      <c r="A101" t="s">
        <v>311</v>
      </c>
      <c r="B101" t="s">
        <v>312</v>
      </c>
      <c r="C101" s="1"/>
      <c r="D101" s="1"/>
      <c r="E101" s="1"/>
      <c r="F101" s="1"/>
      <c r="G101" s="2"/>
      <c r="H101" s="2">
        <f>VLOOKUP(A101,VAL!$A$3:$F$298,3,FALSE)</f>
        <v>1914895</v>
      </c>
      <c r="I101" s="2">
        <v>1914895</v>
      </c>
      <c r="J101" s="2">
        <v>1181704576.5</v>
      </c>
      <c r="K101" s="2">
        <v>1277244922</v>
      </c>
      <c r="L101" s="2">
        <v>1252174935</v>
      </c>
      <c r="M101" s="2">
        <v>1458200255</v>
      </c>
      <c r="N101" s="2">
        <v>1853007402</v>
      </c>
      <c r="O101" s="2">
        <v>1757441413</v>
      </c>
      <c r="P101" s="2">
        <v>1836362277</v>
      </c>
      <c r="Q101" s="2">
        <v>1998148203</v>
      </c>
      <c r="R101" s="2">
        <v>2143918631</v>
      </c>
      <c r="S101" s="2">
        <v>2287428816</v>
      </c>
      <c r="T101" s="2">
        <v>2492494017</v>
      </c>
      <c r="U101" s="2">
        <v>0</v>
      </c>
      <c r="V101" t="str">
        <f t="shared" si="5"/>
        <v>23404</v>
      </c>
      <c r="W101" s="2">
        <v>580985.88</v>
      </c>
      <c r="X101" s="1">
        <v>0</v>
      </c>
      <c r="Y101" s="1">
        <v>0</v>
      </c>
      <c r="Z101" s="1">
        <v>0</v>
      </c>
    </row>
    <row r="102" spans="1:26" x14ac:dyDescent="0.25">
      <c r="A102" t="s">
        <v>138</v>
      </c>
      <c r="B102" t="s">
        <v>139</v>
      </c>
      <c r="C102" s="1"/>
      <c r="D102" s="1"/>
      <c r="E102" s="1"/>
      <c r="F102" s="1"/>
      <c r="G102" s="2"/>
      <c r="H102" s="2">
        <f>VLOOKUP(A102,VAL!$A$3:$F$298,3,FALSE)</f>
        <v>2975750</v>
      </c>
      <c r="I102" s="2">
        <v>2975750</v>
      </c>
      <c r="J102" s="2">
        <v>640200967</v>
      </c>
      <c r="K102" s="2">
        <v>698569633</v>
      </c>
      <c r="L102" s="2">
        <v>756133696</v>
      </c>
      <c r="M102" s="2">
        <v>844362668</v>
      </c>
      <c r="N102" s="2">
        <v>1029274727</v>
      </c>
      <c r="O102" s="2">
        <v>1015067111</v>
      </c>
      <c r="P102" s="2">
        <v>1114425863</v>
      </c>
      <c r="Q102" s="2">
        <v>1237548124</v>
      </c>
      <c r="R102" s="2">
        <v>1350629014</v>
      </c>
      <c r="S102" s="2">
        <v>1479502962</v>
      </c>
      <c r="T102" s="2">
        <v>1589561483</v>
      </c>
      <c r="U102" s="2">
        <v>397712.01</v>
      </c>
      <c r="V102" t="str">
        <f t="shared" si="5"/>
        <v>14028</v>
      </c>
      <c r="W102" s="2">
        <v>1000147.58</v>
      </c>
      <c r="X102" s="1">
        <v>53604.32</v>
      </c>
      <c r="Y102" s="1">
        <v>7042.8799999999974</v>
      </c>
      <c r="Z102" s="1">
        <v>0</v>
      </c>
    </row>
    <row r="103" spans="1:26" x14ac:dyDescent="0.25">
      <c r="A103" t="s">
        <v>102</v>
      </c>
      <c r="B103" t="s">
        <v>103</v>
      </c>
      <c r="C103" s="1"/>
      <c r="D103" s="1"/>
      <c r="E103" s="1"/>
      <c r="F103" s="1"/>
      <c r="G103" s="2"/>
      <c r="H103" s="2">
        <f>VLOOKUP(A103,VAL!$A$3:$F$298,3,FALSE)</f>
        <v>100000</v>
      </c>
      <c r="I103" s="2">
        <v>99448</v>
      </c>
      <c r="J103" s="2">
        <v>67566606.528967902</v>
      </c>
      <c r="K103" s="2">
        <v>72447197</v>
      </c>
      <c r="L103" s="2">
        <v>71066935</v>
      </c>
      <c r="M103" s="2">
        <v>78558804</v>
      </c>
      <c r="N103" s="2">
        <v>90298267</v>
      </c>
      <c r="O103" s="2">
        <v>85546524</v>
      </c>
      <c r="P103" s="2">
        <v>92358440</v>
      </c>
      <c r="Q103" s="2">
        <v>97954936</v>
      </c>
      <c r="R103" s="2">
        <v>103901640</v>
      </c>
      <c r="S103" s="2">
        <v>108892100</v>
      </c>
      <c r="T103" s="2">
        <v>112292098</v>
      </c>
      <c r="U103" s="2">
        <v>64202.33</v>
      </c>
      <c r="V103" t="str">
        <f t="shared" si="5"/>
        <v>10070</v>
      </c>
      <c r="W103" s="2">
        <v>50767.199999999997</v>
      </c>
      <c r="X103" s="1">
        <v>0</v>
      </c>
      <c r="Y103" s="1">
        <v>0</v>
      </c>
      <c r="Z103" s="1">
        <v>11576.78</v>
      </c>
    </row>
    <row r="104" spans="1:26" x14ac:dyDescent="0.25">
      <c r="A104" t="s">
        <v>419</v>
      </c>
      <c r="B104" t="s">
        <v>420</v>
      </c>
      <c r="C104" s="1"/>
      <c r="D104" s="1"/>
      <c r="E104" s="1"/>
      <c r="F104" s="1"/>
      <c r="G104" s="2"/>
      <c r="H104" s="2">
        <f>VLOOKUP(A104,VAL!$A$3:$F$298,3,FALSE)</f>
        <v>196000</v>
      </c>
      <c r="I104" s="2">
        <v>102350</v>
      </c>
      <c r="J104" s="2">
        <v>112315630</v>
      </c>
      <c r="K104" s="2">
        <v>133748755</v>
      </c>
      <c r="L104" s="2">
        <v>141796183</v>
      </c>
      <c r="M104" s="2">
        <v>157916105</v>
      </c>
      <c r="N104" s="2">
        <v>216132685</v>
      </c>
      <c r="O104" s="2">
        <v>232088431</v>
      </c>
      <c r="P104" s="2">
        <v>246683244</v>
      </c>
      <c r="Q104" s="2">
        <v>269034169</v>
      </c>
      <c r="R104" s="2">
        <v>292873938</v>
      </c>
      <c r="S104" s="2">
        <v>321975864</v>
      </c>
      <c r="T104" s="2">
        <v>355879297</v>
      </c>
      <c r="U104" s="2">
        <v>0</v>
      </c>
      <c r="V104" t="str">
        <f t="shared" si="5"/>
        <v>31063</v>
      </c>
      <c r="W104" s="2">
        <v>48243.26</v>
      </c>
      <c r="X104" s="1">
        <v>0</v>
      </c>
      <c r="Y104" s="1">
        <v>0</v>
      </c>
      <c r="Z104" s="1">
        <v>0</v>
      </c>
    </row>
    <row r="105" spans="1:26" x14ac:dyDescent="0.25">
      <c r="A105" t="s">
        <v>205</v>
      </c>
      <c r="B105" t="s">
        <v>206</v>
      </c>
      <c r="C105" s="1"/>
      <c r="D105" s="1"/>
      <c r="E105" s="1"/>
      <c r="F105" s="1"/>
      <c r="G105" s="2"/>
      <c r="H105" s="2">
        <f>VLOOKUP(A105,VAL!$A$3:$F$298,3,FALSE)</f>
        <v>36300000</v>
      </c>
      <c r="I105" s="2">
        <v>36300000</v>
      </c>
      <c r="J105" s="2">
        <v>33606039983</v>
      </c>
      <c r="K105" s="2">
        <v>35029695387</v>
      </c>
      <c r="L105" s="2">
        <v>35141688419</v>
      </c>
      <c r="M105" s="2">
        <v>40843742218</v>
      </c>
      <c r="N105" s="2">
        <v>56108578737</v>
      </c>
      <c r="O105" s="2">
        <v>53323848021</v>
      </c>
      <c r="P105" s="2">
        <v>55425379077</v>
      </c>
      <c r="Q105" s="2">
        <v>57882679376</v>
      </c>
      <c r="R105" s="2">
        <v>61271263677</v>
      </c>
      <c r="S105" s="2">
        <v>65527749644</v>
      </c>
      <c r="T105" s="2">
        <v>69623188973</v>
      </c>
      <c r="U105" s="2">
        <v>0</v>
      </c>
      <c r="V105" t="str">
        <f t="shared" si="5"/>
        <v>17411</v>
      </c>
      <c r="W105" s="2">
        <v>25585200</v>
      </c>
      <c r="X105" s="1">
        <v>0</v>
      </c>
      <c r="Y105" s="1">
        <v>0</v>
      </c>
      <c r="Z105" s="1">
        <v>0</v>
      </c>
    </row>
    <row r="106" spans="1:26" x14ac:dyDescent="0.25">
      <c r="A106" t="s">
        <v>112</v>
      </c>
      <c r="B106" t="s">
        <v>113</v>
      </c>
      <c r="C106" s="1"/>
      <c r="D106" s="1"/>
      <c r="E106" s="1"/>
      <c r="F106" s="1"/>
      <c r="G106" s="2"/>
      <c r="H106" s="2">
        <f>VLOOKUP(A106,VAL!$A$3:$F$298,3,FALSE)</f>
        <v>75000</v>
      </c>
      <c r="I106" s="2">
        <v>75000</v>
      </c>
      <c r="J106" s="2">
        <v>72564410</v>
      </c>
      <c r="K106" s="2">
        <v>70688704</v>
      </c>
      <c r="L106" s="2">
        <v>73195145</v>
      </c>
      <c r="M106" s="2">
        <v>73207183</v>
      </c>
      <c r="N106" s="2">
        <v>77844587</v>
      </c>
      <c r="O106" s="2">
        <v>78932220</v>
      </c>
      <c r="P106" s="2">
        <v>80588653</v>
      </c>
      <c r="Q106" s="2">
        <v>83579507</v>
      </c>
      <c r="R106" s="2">
        <v>88867023</v>
      </c>
      <c r="S106" s="2">
        <v>90344321</v>
      </c>
      <c r="T106" s="2">
        <v>93917411</v>
      </c>
      <c r="U106" s="2">
        <v>0</v>
      </c>
      <c r="V106" t="str">
        <f t="shared" si="5"/>
        <v>11056</v>
      </c>
      <c r="W106" s="2">
        <v>35535</v>
      </c>
      <c r="X106" s="1">
        <v>0</v>
      </c>
      <c r="Y106" s="1">
        <v>0</v>
      </c>
      <c r="Z106" s="1">
        <v>0</v>
      </c>
    </row>
    <row r="107" spans="1:26" x14ac:dyDescent="0.25">
      <c r="A107" t="s">
        <v>78</v>
      </c>
      <c r="B107" t="s">
        <v>79</v>
      </c>
      <c r="C107" s="1"/>
      <c r="D107" s="1"/>
      <c r="E107" s="1"/>
      <c r="F107" s="1"/>
      <c r="G107" s="2"/>
      <c r="H107" s="2">
        <f>VLOOKUP(A107,VAL!$A$3:$F$298,3,FALSE)</f>
        <v>2592947</v>
      </c>
      <c r="I107" s="2">
        <v>2592947</v>
      </c>
      <c r="J107" s="2">
        <v>1365725944</v>
      </c>
      <c r="K107" s="2">
        <v>1514024701</v>
      </c>
      <c r="L107" s="2">
        <v>1627286199</v>
      </c>
      <c r="M107" s="2">
        <v>1750215880</v>
      </c>
      <c r="N107" s="2">
        <v>2101446665</v>
      </c>
      <c r="O107" s="2">
        <v>2126493970</v>
      </c>
      <c r="P107" s="2">
        <v>2291456041</v>
      </c>
      <c r="Q107" s="2">
        <v>2575805002</v>
      </c>
      <c r="R107" s="2">
        <v>2815036005</v>
      </c>
      <c r="S107" s="2">
        <v>3076064860</v>
      </c>
      <c r="T107" s="2">
        <v>3342491136</v>
      </c>
      <c r="U107" s="2">
        <v>0</v>
      </c>
      <c r="V107" t="str">
        <f t="shared" si="5"/>
        <v>08402</v>
      </c>
      <c r="W107" s="2">
        <v>1180964.98</v>
      </c>
      <c r="X107" s="1">
        <v>0</v>
      </c>
      <c r="Y107" s="1">
        <v>0</v>
      </c>
      <c r="Z107" s="1">
        <v>0</v>
      </c>
    </row>
    <row r="108" spans="1:26" x14ac:dyDescent="0.25">
      <c r="A108" t="s">
        <v>96</v>
      </c>
      <c r="B108" t="s">
        <v>97</v>
      </c>
      <c r="C108" s="1"/>
      <c r="D108" s="1"/>
      <c r="E108" s="1"/>
      <c r="F108" s="1"/>
      <c r="G108" s="2"/>
      <c r="H108" s="2">
        <f>VLOOKUP(A108,VAL!$A$3:$F$298,3,FALSE)</f>
        <v>18325</v>
      </c>
      <c r="I108" s="2">
        <v>18325</v>
      </c>
      <c r="J108" s="2">
        <v>16879170</v>
      </c>
      <c r="K108" s="2">
        <v>18243080</v>
      </c>
      <c r="L108" s="2">
        <v>18679346</v>
      </c>
      <c r="M108" s="2">
        <v>21252737</v>
      </c>
      <c r="N108" s="2">
        <v>23922001</v>
      </c>
      <c r="O108" s="2">
        <v>23800929</v>
      </c>
      <c r="P108" s="2">
        <v>25606220</v>
      </c>
      <c r="Q108" s="2">
        <v>27189815</v>
      </c>
      <c r="R108" s="2">
        <v>29643738</v>
      </c>
      <c r="S108" s="2">
        <v>32069811</v>
      </c>
      <c r="T108" s="2">
        <v>34352183</v>
      </c>
      <c r="U108" s="2">
        <v>13050.66</v>
      </c>
      <c r="V108" t="str">
        <f t="shared" si="5"/>
        <v>10003</v>
      </c>
      <c r="W108" s="2">
        <v>8682.39</v>
      </c>
      <c r="X108" s="1">
        <v>0</v>
      </c>
      <c r="Y108" s="1">
        <v>0</v>
      </c>
      <c r="Z108" s="1">
        <v>4893.17</v>
      </c>
    </row>
    <row r="109" spans="1:26" x14ac:dyDescent="0.25">
      <c r="A109" t="s">
        <v>82</v>
      </c>
      <c r="B109" t="s">
        <v>83</v>
      </c>
      <c r="C109" s="1"/>
      <c r="D109" s="1"/>
      <c r="E109" s="1"/>
      <c r="F109" s="1"/>
      <c r="G109" s="2"/>
      <c r="H109" s="2">
        <f>VLOOKUP(A109,VAL!$A$3:$F$298,3,FALSE)</f>
        <v>3500000</v>
      </c>
      <c r="I109" s="2">
        <v>3500000</v>
      </c>
      <c r="J109" s="2">
        <v>2356625234</v>
      </c>
      <c r="K109" s="2">
        <v>2656299217</v>
      </c>
      <c r="L109" s="2">
        <v>2913636619</v>
      </c>
      <c r="M109" s="2">
        <v>3331686327</v>
      </c>
      <c r="N109" s="2">
        <v>3861783334</v>
      </c>
      <c r="O109" s="2">
        <v>4182218483</v>
      </c>
      <c r="P109" s="2">
        <v>4570478806</v>
      </c>
      <c r="Q109" s="2">
        <v>5265322119</v>
      </c>
      <c r="R109" s="2">
        <v>5883050297</v>
      </c>
      <c r="S109" s="2">
        <v>6660906632</v>
      </c>
      <c r="T109" s="2">
        <v>7541685808</v>
      </c>
      <c r="U109" s="2">
        <v>849302.76</v>
      </c>
      <c r="V109" t="str">
        <f t="shared" si="5"/>
        <v>08458</v>
      </c>
      <c r="W109" s="2">
        <v>3079700</v>
      </c>
      <c r="X109" s="1">
        <v>234771.27</v>
      </c>
      <c r="Y109" s="1">
        <v>30845.76999999999</v>
      </c>
      <c r="Z109" s="1">
        <v>192246.27</v>
      </c>
    </row>
    <row r="110" spans="1:26" x14ac:dyDescent="0.25">
      <c r="A110" t="s">
        <v>14</v>
      </c>
      <c r="B110" t="s">
        <v>15</v>
      </c>
      <c r="C110" s="1"/>
      <c r="D110" s="1"/>
      <c r="E110" s="1"/>
      <c r="F110" s="1"/>
      <c r="G110" s="2"/>
      <c r="H110" s="2">
        <f>VLOOKUP(A110,VAL!$A$3:$F$298,3,FALSE)</f>
        <v>13200000</v>
      </c>
      <c r="I110" s="2">
        <v>13200000</v>
      </c>
      <c r="J110" s="2">
        <v>8473733838</v>
      </c>
      <c r="K110" s="2">
        <v>9385430286</v>
      </c>
      <c r="L110" s="2">
        <v>9948260395</v>
      </c>
      <c r="M110" s="2">
        <v>10906102574</v>
      </c>
      <c r="N110" s="2">
        <v>12435486722</v>
      </c>
      <c r="O110" s="2">
        <v>13860371220</v>
      </c>
      <c r="P110" s="2">
        <v>15455656646</v>
      </c>
      <c r="Q110" s="2">
        <v>17262800127</v>
      </c>
      <c r="R110" s="2">
        <v>18640629084</v>
      </c>
      <c r="S110" s="2">
        <v>20452758521</v>
      </c>
      <c r="T110" s="2">
        <v>22144093001</v>
      </c>
      <c r="U110" s="2">
        <v>4045811.08</v>
      </c>
      <c r="V110" t="str">
        <f t="shared" si="5"/>
        <v>03017</v>
      </c>
      <c r="W110" s="2">
        <v>8599470</v>
      </c>
      <c r="X110" s="1">
        <v>0</v>
      </c>
      <c r="Y110" s="1">
        <v>0</v>
      </c>
      <c r="Z110" s="1">
        <v>0</v>
      </c>
    </row>
    <row r="111" spans="1:26" x14ac:dyDescent="0.25">
      <c r="A111" t="s">
        <v>211</v>
      </c>
      <c r="B111" t="s">
        <v>212</v>
      </c>
      <c r="C111" s="1"/>
      <c r="D111" s="1"/>
      <c r="E111" s="1"/>
      <c r="F111" s="1"/>
      <c r="G111" s="2"/>
      <c r="H111" s="2">
        <f>VLOOKUP(A111,VAL!$A$3:$F$298,3,FALSE)</f>
        <v>44000000</v>
      </c>
      <c r="I111" s="2">
        <v>44000000</v>
      </c>
      <c r="J111" s="2">
        <v>27119392759</v>
      </c>
      <c r="K111" s="2">
        <v>29510545300</v>
      </c>
      <c r="L111" s="2">
        <v>31302753981</v>
      </c>
      <c r="M111" s="2">
        <v>35223559630</v>
      </c>
      <c r="N111" s="2">
        <v>42595170357</v>
      </c>
      <c r="O111" s="2">
        <v>47248080555</v>
      </c>
      <c r="P111" s="2">
        <v>50609184153</v>
      </c>
      <c r="Q111" s="2">
        <v>55052892314</v>
      </c>
      <c r="R111" s="2">
        <v>59362043082</v>
      </c>
      <c r="S111" s="2">
        <v>63657974016</v>
      </c>
      <c r="T111" s="2">
        <v>68227098124</v>
      </c>
      <c r="U111" s="2">
        <v>0</v>
      </c>
      <c r="V111" t="str">
        <f t="shared" si="5"/>
        <v>17415</v>
      </c>
      <c r="W111" s="2">
        <v>34713618.030000001</v>
      </c>
      <c r="X111" s="1">
        <v>0</v>
      </c>
      <c r="Y111" s="1">
        <v>0</v>
      </c>
      <c r="Z111" s="1">
        <v>0</v>
      </c>
    </row>
    <row r="112" spans="1:26" x14ac:dyDescent="0.25">
      <c r="A112" t="s">
        <v>485</v>
      </c>
      <c r="B112" t="s">
        <v>486</v>
      </c>
      <c r="C112" s="1"/>
      <c r="D112" s="1"/>
      <c r="E112" s="1"/>
      <c r="F112" s="1"/>
      <c r="G112" s="2"/>
      <c r="H112" s="2">
        <f>VLOOKUP(A112,VAL!$A$3:$F$298,3,FALSE)</f>
        <v>1459925</v>
      </c>
      <c r="I112" s="2">
        <v>1459925</v>
      </c>
      <c r="J112" s="2">
        <v>541857419.15845013</v>
      </c>
      <c r="K112" s="2">
        <v>614595086</v>
      </c>
      <c r="L112" s="2">
        <v>636136739</v>
      </c>
      <c r="M112" s="2">
        <v>686945600</v>
      </c>
      <c r="N112" s="2">
        <v>759121730</v>
      </c>
      <c r="O112" s="2">
        <v>779093188</v>
      </c>
      <c r="P112" s="2">
        <v>847143337</v>
      </c>
      <c r="Q112" s="2">
        <v>902376746</v>
      </c>
      <c r="R112" s="2">
        <v>986960280</v>
      </c>
      <c r="S112" s="2">
        <v>1069812410</v>
      </c>
      <c r="T112" s="2">
        <v>1106104104</v>
      </c>
      <c r="U112" s="2">
        <v>189717.86</v>
      </c>
      <c r="V112" t="str">
        <f t="shared" si="5"/>
        <v>33212</v>
      </c>
      <c r="W112" s="2">
        <v>457331.66</v>
      </c>
      <c r="X112" s="1">
        <v>2667.19</v>
      </c>
      <c r="Y112" s="1">
        <v>350.42999999999984</v>
      </c>
      <c r="Z112" s="1">
        <v>48128.95</v>
      </c>
    </row>
    <row r="113" spans="1:26" x14ac:dyDescent="0.25">
      <c r="A113" t="s">
        <v>18</v>
      </c>
      <c r="B113" t="s">
        <v>19</v>
      </c>
      <c r="C113" s="1"/>
      <c r="D113" s="1"/>
      <c r="E113" s="1"/>
      <c r="F113" s="1"/>
      <c r="G113" s="2"/>
      <c r="H113" s="2">
        <f>VLOOKUP(A113,VAL!$A$3:$F$298,3,FALSE)</f>
        <v>1400000</v>
      </c>
      <c r="I113" s="2">
        <v>1400000</v>
      </c>
      <c r="J113" s="2">
        <v>758579083</v>
      </c>
      <c r="K113" s="2">
        <v>872236807</v>
      </c>
      <c r="L113" s="2">
        <v>908861448</v>
      </c>
      <c r="M113" s="2">
        <v>969639198</v>
      </c>
      <c r="N113" s="2">
        <v>1083659898</v>
      </c>
      <c r="O113" s="2">
        <v>1217291662</v>
      </c>
      <c r="P113" s="2">
        <v>1321274528</v>
      </c>
      <c r="Q113" s="2">
        <v>1428094215</v>
      </c>
      <c r="R113" s="2">
        <v>1510912535</v>
      </c>
      <c r="S113" s="2">
        <v>1659983864</v>
      </c>
      <c r="T113" s="2">
        <v>1831174664</v>
      </c>
      <c r="U113" s="2">
        <v>231188.32</v>
      </c>
      <c r="V113" t="str">
        <f t="shared" si="5"/>
        <v>03052</v>
      </c>
      <c r="W113" s="2">
        <v>686098.41</v>
      </c>
      <c r="X113" s="1">
        <v>0</v>
      </c>
      <c r="Y113" s="1">
        <v>0</v>
      </c>
      <c r="Z113" s="1">
        <v>0</v>
      </c>
    </row>
    <row r="114" spans="1:26" x14ac:dyDescent="0.25">
      <c r="A114" t="s">
        <v>233</v>
      </c>
      <c r="B114" t="s">
        <v>234</v>
      </c>
      <c r="C114" s="1"/>
      <c r="D114" s="1"/>
      <c r="E114" s="1"/>
      <c r="F114" s="1"/>
      <c r="G114" s="2"/>
      <c r="H114" s="2">
        <f>VLOOKUP(A114,VAL!$A$3:$F$298,3,FALSE)</f>
        <v>1650108</v>
      </c>
      <c r="I114" s="2">
        <v>1650108</v>
      </c>
      <c r="J114" s="2">
        <v>716591248</v>
      </c>
      <c r="K114" s="2">
        <v>773555069</v>
      </c>
      <c r="L114" s="2">
        <v>797537763</v>
      </c>
      <c r="M114" s="2">
        <v>888282623</v>
      </c>
      <c r="N114" s="2">
        <v>974107671</v>
      </c>
      <c r="O114" s="2">
        <v>1059333121</v>
      </c>
      <c r="P114" s="2">
        <v>1132911007</v>
      </c>
      <c r="Q114" s="2">
        <v>1211944704</v>
      </c>
      <c r="R114" s="2">
        <v>1380500593</v>
      </c>
      <c r="S114" s="2">
        <v>1487736872</v>
      </c>
      <c r="T114" s="2">
        <v>1591010687</v>
      </c>
      <c r="U114" s="2">
        <v>0</v>
      </c>
      <c r="V114" t="str">
        <f t="shared" si="5"/>
        <v>19403</v>
      </c>
      <c r="W114" s="2">
        <v>805505.96</v>
      </c>
      <c r="X114" s="1">
        <v>0</v>
      </c>
      <c r="Y114" s="1">
        <v>0</v>
      </c>
      <c r="Z114" s="1">
        <v>0</v>
      </c>
    </row>
    <row r="115" spans="1:26" x14ac:dyDescent="0.25">
      <c r="A115" t="s">
        <v>247</v>
      </c>
      <c r="B115" t="s">
        <v>248</v>
      </c>
      <c r="C115" s="1"/>
      <c r="D115" s="1"/>
      <c r="E115" s="1"/>
      <c r="F115" s="1"/>
      <c r="G115" s="2"/>
      <c r="H115" s="2">
        <f>VLOOKUP(A115,VAL!$A$3:$F$298,3,FALSE)</f>
        <v>90000</v>
      </c>
      <c r="I115" s="2">
        <v>90000</v>
      </c>
      <c r="J115" s="2">
        <v>42285209.759999998</v>
      </c>
      <c r="K115" s="2">
        <v>46215374</v>
      </c>
      <c r="L115" s="2">
        <v>49009455</v>
      </c>
      <c r="M115" s="2">
        <v>53278642</v>
      </c>
      <c r="N115" s="2">
        <v>64585298</v>
      </c>
      <c r="O115" s="2">
        <v>62824865</v>
      </c>
      <c r="P115" s="2">
        <v>68064056</v>
      </c>
      <c r="Q115" s="2">
        <v>75264165</v>
      </c>
      <c r="R115" s="2">
        <v>79443058</v>
      </c>
      <c r="S115" s="2">
        <v>85753692</v>
      </c>
      <c r="T115" s="2">
        <v>94493820</v>
      </c>
      <c r="U115" s="2">
        <v>12698.68</v>
      </c>
      <c r="V115" t="str">
        <f t="shared" si="5"/>
        <v>20402</v>
      </c>
      <c r="W115" s="2">
        <v>42642</v>
      </c>
      <c r="X115" s="1">
        <v>0</v>
      </c>
      <c r="Y115" s="1">
        <v>0</v>
      </c>
      <c r="Z115" s="1">
        <v>4514.62</v>
      </c>
    </row>
    <row r="116" spans="1:26" x14ac:dyDescent="0.25">
      <c r="A116" t="s">
        <v>393</v>
      </c>
      <c r="B116" t="s">
        <v>394</v>
      </c>
      <c r="C116" s="1"/>
      <c r="D116" s="1"/>
      <c r="E116" s="1"/>
      <c r="F116" s="1"/>
      <c r="G116" s="2"/>
      <c r="H116" s="2">
        <f>VLOOKUP(A116,VAL!$A$3:$F$298,3,FALSE)</f>
        <v>1250000</v>
      </c>
      <c r="I116" s="2">
        <v>1250000</v>
      </c>
      <c r="J116" s="2">
        <v>587696875</v>
      </c>
      <c r="K116" s="2">
        <v>619821107</v>
      </c>
      <c r="L116" s="2">
        <v>652685714</v>
      </c>
      <c r="M116" s="2">
        <v>730185984</v>
      </c>
      <c r="N116" s="2">
        <v>889821568</v>
      </c>
      <c r="O116" s="2">
        <v>868357748</v>
      </c>
      <c r="P116" s="2">
        <v>937225041</v>
      </c>
      <c r="Q116" s="2">
        <v>1030545807</v>
      </c>
      <c r="R116" s="2">
        <v>1107802843</v>
      </c>
      <c r="S116" s="2">
        <v>1181935333</v>
      </c>
      <c r="T116" s="2">
        <v>1285199043</v>
      </c>
      <c r="U116" s="2">
        <v>0</v>
      </c>
      <c r="V116" t="str">
        <f t="shared" si="5"/>
        <v>29311</v>
      </c>
      <c r="W116" s="2">
        <v>457114.19</v>
      </c>
      <c r="X116" s="1">
        <v>0</v>
      </c>
      <c r="Y116" s="1">
        <v>0</v>
      </c>
      <c r="Z116" s="1">
        <v>0</v>
      </c>
    </row>
    <row r="117" spans="1:26" x14ac:dyDescent="0.25">
      <c r="A117" t="s">
        <v>54</v>
      </c>
      <c r="B117" t="s">
        <v>55</v>
      </c>
      <c r="C117" s="1"/>
      <c r="D117" s="1"/>
      <c r="E117" s="1"/>
      <c r="F117" s="1"/>
      <c r="G117" s="2"/>
      <c r="H117" s="2">
        <f>VLOOKUP(A117,VAL!$A$3:$F$298,3,FALSE)</f>
        <v>2954259</v>
      </c>
      <c r="I117" s="2">
        <v>2954259</v>
      </c>
      <c r="J117" s="2">
        <v>1279578804</v>
      </c>
      <c r="K117" s="2">
        <v>1333657237</v>
      </c>
      <c r="L117" s="2">
        <v>1468683201</v>
      </c>
      <c r="M117" s="2">
        <v>1642686840</v>
      </c>
      <c r="N117" s="2">
        <v>2004287733</v>
      </c>
      <c r="O117" s="2">
        <v>2133143966</v>
      </c>
      <c r="P117" s="2">
        <v>2279919811</v>
      </c>
      <c r="Q117" s="2">
        <v>2424300195</v>
      </c>
      <c r="R117" s="2">
        <v>2597217237</v>
      </c>
      <c r="S117" s="2">
        <v>2763097603</v>
      </c>
      <c r="T117" s="2">
        <v>2964690765</v>
      </c>
      <c r="U117" s="2">
        <v>37472.080000000002</v>
      </c>
      <c r="V117" t="str">
        <f t="shared" si="5"/>
        <v>06101</v>
      </c>
      <c r="W117" s="2">
        <v>1167457.4099999999</v>
      </c>
      <c r="X117" s="1">
        <v>20278.669999999998</v>
      </c>
      <c r="Y117" s="1">
        <v>2664.34</v>
      </c>
      <c r="Z117" s="1">
        <v>135848.53</v>
      </c>
    </row>
    <row r="118" spans="1:26" x14ac:dyDescent="0.25">
      <c r="A118" t="s">
        <v>533</v>
      </c>
      <c r="B118" t="s">
        <v>534</v>
      </c>
      <c r="C118" s="1"/>
      <c r="D118" s="1"/>
      <c r="E118" s="1"/>
      <c r="F118" s="1"/>
      <c r="G118" s="2"/>
      <c r="H118" s="2">
        <f>VLOOKUP(A118,VAL!$A$3:$F$298,3,FALSE)</f>
        <v>614000</v>
      </c>
      <c r="I118" s="2">
        <v>614000</v>
      </c>
      <c r="J118" s="2">
        <v>202660568</v>
      </c>
      <c r="K118" s="2">
        <v>224860872</v>
      </c>
      <c r="L118" s="2">
        <v>236516250</v>
      </c>
      <c r="M118" s="2">
        <v>243056904</v>
      </c>
      <c r="N118" s="2">
        <v>252042377</v>
      </c>
      <c r="O118" s="2">
        <v>267365404</v>
      </c>
      <c r="P118" s="2">
        <v>287178677</v>
      </c>
      <c r="Q118" s="2">
        <v>300541542</v>
      </c>
      <c r="R118" s="2">
        <v>313551682</v>
      </c>
      <c r="S118" s="2">
        <v>339166231</v>
      </c>
      <c r="T118" s="2">
        <v>366751888</v>
      </c>
      <c r="U118" s="2">
        <v>0</v>
      </c>
      <c r="V118" t="str">
        <f t="shared" si="5"/>
        <v>38126</v>
      </c>
      <c r="W118" s="2">
        <v>105054.25</v>
      </c>
      <c r="X118" s="1">
        <v>0</v>
      </c>
      <c r="Y118" s="1">
        <v>0</v>
      </c>
      <c r="Z118" s="1">
        <v>0</v>
      </c>
    </row>
    <row r="119" spans="1:26" x14ac:dyDescent="0.25">
      <c r="A119" t="s">
        <v>32</v>
      </c>
      <c r="B119" t="s">
        <v>33</v>
      </c>
      <c r="C119" s="1"/>
      <c r="D119" s="1"/>
      <c r="E119" s="1"/>
      <c r="F119" s="1"/>
      <c r="G119" s="2"/>
      <c r="H119" s="2">
        <f>VLOOKUP(A119,VAL!$A$3:$F$298,3,FALSE)</f>
        <v>3354086</v>
      </c>
      <c r="I119" s="2">
        <v>3354086</v>
      </c>
      <c r="J119" s="2">
        <v>2531099195</v>
      </c>
      <c r="K119" s="2">
        <v>2714207412</v>
      </c>
      <c r="L119" s="2">
        <v>2963803606</v>
      </c>
      <c r="M119" s="2">
        <v>3373238162</v>
      </c>
      <c r="N119" s="2">
        <v>4435291536</v>
      </c>
      <c r="O119" s="2">
        <v>4114779352</v>
      </c>
      <c r="P119" s="2">
        <v>4473391355</v>
      </c>
      <c r="Q119" s="2">
        <v>4970019631</v>
      </c>
      <c r="R119" s="2">
        <v>5524178721</v>
      </c>
      <c r="S119" s="2">
        <v>6170862203</v>
      </c>
      <c r="T119" s="2">
        <v>6785460050</v>
      </c>
      <c r="U119" s="2">
        <v>0</v>
      </c>
      <c r="V119" t="str">
        <f t="shared" si="5"/>
        <v>04129</v>
      </c>
      <c r="W119" s="2">
        <v>1717638.32</v>
      </c>
      <c r="X119" s="1">
        <v>0</v>
      </c>
      <c r="Y119" s="1">
        <v>0</v>
      </c>
      <c r="Z119" s="1">
        <v>0</v>
      </c>
    </row>
    <row r="120" spans="1:26" x14ac:dyDescent="0.25">
      <c r="A120" t="s">
        <v>409</v>
      </c>
      <c r="B120" t="s">
        <v>410</v>
      </c>
      <c r="C120" s="1"/>
      <c r="D120" s="1"/>
      <c r="E120" s="1"/>
      <c r="F120" s="1"/>
      <c r="G120" s="2"/>
      <c r="H120" s="2">
        <f>VLOOKUP(A120,VAL!$A$3:$F$298,3,FALSE)</f>
        <v>9548300</v>
      </c>
      <c r="I120" s="2">
        <v>9548300</v>
      </c>
      <c r="J120" s="2">
        <v>6275737667</v>
      </c>
      <c r="K120" s="2">
        <v>7051648665</v>
      </c>
      <c r="L120" s="2">
        <v>7631060709</v>
      </c>
      <c r="M120" s="2">
        <v>8738606213</v>
      </c>
      <c r="N120" s="2">
        <v>11388600677</v>
      </c>
      <c r="O120" s="2">
        <v>12658043693</v>
      </c>
      <c r="P120" s="2">
        <v>13540235538</v>
      </c>
      <c r="Q120" s="2">
        <v>14711087031</v>
      </c>
      <c r="R120" s="2">
        <v>15953767494</v>
      </c>
      <c r="S120" s="2">
        <v>16864740574</v>
      </c>
      <c r="T120" s="2">
        <v>18291187656</v>
      </c>
      <c r="U120" s="2">
        <v>498901.54</v>
      </c>
      <c r="V120" t="str">
        <f t="shared" si="5"/>
        <v>31004</v>
      </c>
      <c r="W120" s="2">
        <v>6880428.8399999999</v>
      </c>
      <c r="X120" s="1">
        <v>0</v>
      </c>
      <c r="Y120" s="1">
        <v>0</v>
      </c>
      <c r="Z120" s="1">
        <v>1106806.73</v>
      </c>
    </row>
    <row r="121" spans="1:26" x14ac:dyDescent="0.25">
      <c r="A121" t="s">
        <v>209</v>
      </c>
      <c r="B121" t="s">
        <v>210</v>
      </c>
      <c r="C121" s="1"/>
      <c r="D121" s="1"/>
      <c r="E121" s="1"/>
      <c r="F121" s="1"/>
      <c r="G121" s="2"/>
      <c r="H121" s="2">
        <f>VLOOKUP(A121,VAL!$A$3:$F$298,3,FALSE)</f>
        <v>59200000</v>
      </c>
      <c r="I121" s="2">
        <v>59200000</v>
      </c>
      <c r="J121" s="2">
        <v>66041085316</v>
      </c>
      <c r="K121" s="2">
        <v>70697455367</v>
      </c>
      <c r="L121" s="2">
        <v>72103566840</v>
      </c>
      <c r="M121" s="2">
        <v>82423033193</v>
      </c>
      <c r="N121" s="2">
        <v>110130524588</v>
      </c>
      <c r="O121" s="2">
        <v>109410012416</v>
      </c>
      <c r="P121" s="2">
        <v>114573101861</v>
      </c>
      <c r="Q121" s="2">
        <v>123211930118</v>
      </c>
      <c r="R121" s="2">
        <v>130131142771</v>
      </c>
      <c r="S121" s="2">
        <v>141616786564</v>
      </c>
      <c r="T121" s="2">
        <v>152000534908</v>
      </c>
      <c r="U121" s="2">
        <v>0</v>
      </c>
      <c r="V121" t="str">
        <f t="shared" si="5"/>
        <v>17414</v>
      </c>
      <c r="W121" s="2">
        <v>32076260</v>
      </c>
      <c r="X121" s="1">
        <v>0</v>
      </c>
      <c r="Y121" s="1">
        <v>0</v>
      </c>
      <c r="Z121" s="1">
        <v>0</v>
      </c>
    </row>
    <row r="122" spans="1:26" x14ac:dyDescent="0.25">
      <c r="A122" t="s">
        <v>425</v>
      </c>
      <c r="B122" t="s">
        <v>426</v>
      </c>
      <c r="C122" s="1"/>
      <c r="D122" s="1"/>
      <c r="E122" s="1"/>
      <c r="F122" s="1"/>
      <c r="G122" s="2"/>
      <c r="H122" s="2">
        <f>VLOOKUP(A122,VAL!$A$3:$F$298,3,FALSE)</f>
        <v>6725902</v>
      </c>
      <c r="I122" s="2">
        <v>6725902</v>
      </c>
      <c r="J122" s="2">
        <v>2586790483</v>
      </c>
      <c r="K122" s="2">
        <v>2844444173</v>
      </c>
      <c r="L122" s="2">
        <v>3184224261</v>
      </c>
      <c r="M122" s="2">
        <v>3475158584</v>
      </c>
      <c r="N122" s="2">
        <v>4242205967</v>
      </c>
      <c r="O122" s="2">
        <v>4932295255</v>
      </c>
      <c r="P122" s="2">
        <v>5159506689</v>
      </c>
      <c r="Q122" s="2">
        <v>5451399063</v>
      </c>
      <c r="R122" s="2">
        <v>5854748778</v>
      </c>
      <c r="S122" s="2">
        <v>6210672703</v>
      </c>
      <c r="T122" s="2">
        <v>6541017783</v>
      </c>
      <c r="U122" s="2">
        <v>0</v>
      </c>
      <c r="V122" t="str">
        <f t="shared" si="5"/>
        <v>31306</v>
      </c>
      <c r="W122" s="2">
        <v>2881590.48</v>
      </c>
      <c r="X122" s="1">
        <v>0</v>
      </c>
      <c r="Y122" s="1">
        <v>0</v>
      </c>
      <c r="Z122" s="1">
        <v>0</v>
      </c>
    </row>
    <row r="123" spans="1:26" x14ac:dyDescent="0.25">
      <c r="A123" t="s">
        <v>535</v>
      </c>
      <c r="B123" t="s">
        <v>536</v>
      </c>
      <c r="C123" s="1"/>
      <c r="D123" s="1"/>
      <c r="E123" s="1"/>
      <c r="F123" s="1"/>
      <c r="G123" s="2"/>
      <c r="H123" s="2">
        <f>VLOOKUP(A123,VAL!$A$3:$F$298,3,FALSE)</f>
        <v>170000</v>
      </c>
      <c r="I123" s="2">
        <v>170000</v>
      </c>
      <c r="J123" s="2">
        <v>47466788</v>
      </c>
      <c r="K123" s="2">
        <v>48860415</v>
      </c>
      <c r="L123" s="2">
        <v>48846777</v>
      </c>
      <c r="M123" s="2">
        <v>50598221</v>
      </c>
      <c r="N123" s="2">
        <v>51374392</v>
      </c>
      <c r="O123" s="2">
        <v>54400985</v>
      </c>
      <c r="P123" s="2">
        <v>55724990</v>
      </c>
      <c r="Q123" s="2">
        <v>57031126</v>
      </c>
      <c r="R123" s="2">
        <v>57591194</v>
      </c>
      <c r="S123" s="2">
        <v>59971208</v>
      </c>
      <c r="T123" s="2">
        <v>62523101</v>
      </c>
      <c r="U123" s="2">
        <v>0</v>
      </c>
      <c r="V123" t="str">
        <f t="shared" si="5"/>
        <v>38264</v>
      </c>
      <c r="W123" s="2">
        <v>59933.59</v>
      </c>
      <c r="X123" s="1">
        <v>16592.72</v>
      </c>
      <c r="Y123" s="1">
        <v>2180.0599999999977</v>
      </c>
      <c r="Z123" s="1">
        <v>0</v>
      </c>
    </row>
    <row r="124" spans="1:26" x14ac:dyDescent="0.25">
      <c r="A124" t="s">
        <v>455</v>
      </c>
      <c r="B124" t="s">
        <v>456</v>
      </c>
      <c r="C124" s="1"/>
      <c r="D124" s="1"/>
      <c r="E124" s="1"/>
      <c r="F124" s="1"/>
      <c r="G124" s="2"/>
      <c r="H124" s="2">
        <f>VLOOKUP(A124,VAL!$A$3:$F$298,3,FALSE)</f>
        <v>1068175</v>
      </c>
      <c r="I124" s="2">
        <v>1068175</v>
      </c>
      <c r="J124" s="2">
        <v>642154492</v>
      </c>
      <c r="K124" s="2">
        <v>691657240</v>
      </c>
      <c r="L124" s="2">
        <v>766014691</v>
      </c>
      <c r="M124" s="2">
        <v>828555938</v>
      </c>
      <c r="N124" s="2">
        <v>1053356799</v>
      </c>
      <c r="O124" s="2">
        <v>1106633554</v>
      </c>
      <c r="P124" s="2">
        <v>1139640716</v>
      </c>
      <c r="Q124" s="2">
        <v>1197170399</v>
      </c>
      <c r="R124" s="2">
        <v>1276827942</v>
      </c>
      <c r="S124" s="2">
        <v>1337395472</v>
      </c>
      <c r="T124" s="2">
        <v>1346904625</v>
      </c>
      <c r="U124" s="2">
        <v>0</v>
      </c>
      <c r="V124" t="str">
        <f t="shared" si="5"/>
        <v>32362</v>
      </c>
      <c r="W124" s="2">
        <v>703214.91</v>
      </c>
      <c r="X124" s="1">
        <v>0</v>
      </c>
      <c r="Y124" s="1">
        <v>0</v>
      </c>
      <c r="Z124" s="1">
        <v>0</v>
      </c>
    </row>
    <row r="125" spans="1:26" x14ac:dyDescent="0.25">
      <c r="A125" t="s">
        <v>6</v>
      </c>
      <c r="B125" t="s">
        <v>7</v>
      </c>
      <c r="C125" s="1"/>
      <c r="D125" s="1"/>
      <c r="E125" s="1"/>
      <c r="F125" s="1"/>
      <c r="G125" s="2"/>
      <c r="H125" s="2">
        <f>VLOOKUP(A125,VAL!$A$3:$F$298,3,FALSE)</f>
        <v>465000</v>
      </c>
      <c r="I125" s="2">
        <v>465000</v>
      </c>
      <c r="J125" s="2">
        <v>297570560</v>
      </c>
      <c r="K125" s="2">
        <v>349494988</v>
      </c>
      <c r="L125" s="2">
        <v>359600012</v>
      </c>
      <c r="M125" s="2">
        <v>419565768</v>
      </c>
      <c r="N125" s="2">
        <v>444084759</v>
      </c>
      <c r="O125" s="2">
        <v>539913583</v>
      </c>
      <c r="P125" s="2">
        <v>590206638</v>
      </c>
      <c r="Q125" s="2">
        <v>670612059</v>
      </c>
      <c r="R125" s="2">
        <v>747598381</v>
      </c>
      <c r="S125" s="2">
        <v>839656432</v>
      </c>
      <c r="T125" s="2">
        <v>932011521</v>
      </c>
      <c r="U125" s="2">
        <v>0</v>
      </c>
      <c r="V125" t="str">
        <f t="shared" si="5"/>
        <v>01158</v>
      </c>
      <c r="W125" s="2">
        <v>248745</v>
      </c>
      <c r="X125" s="1">
        <v>0</v>
      </c>
      <c r="Y125" s="1">
        <v>0</v>
      </c>
      <c r="Z125" s="1">
        <v>0</v>
      </c>
    </row>
    <row r="126" spans="1:26" x14ac:dyDescent="0.25">
      <c r="A126" t="s">
        <v>72</v>
      </c>
      <c r="B126" t="s">
        <v>73</v>
      </c>
      <c r="C126" s="1"/>
      <c r="D126" s="1"/>
      <c r="E126" s="1"/>
      <c r="F126" s="1"/>
      <c r="G126" s="2"/>
      <c r="H126" s="2">
        <f>VLOOKUP(A126,VAL!$A$3:$F$298,3,FALSE)</f>
        <v>8102901</v>
      </c>
      <c r="I126" s="2">
        <v>8102901</v>
      </c>
      <c r="J126" s="2">
        <v>5291996955</v>
      </c>
      <c r="K126" s="2">
        <v>5926777390</v>
      </c>
      <c r="L126" s="2">
        <v>6156781914</v>
      </c>
      <c r="M126" s="2">
        <v>6781482031</v>
      </c>
      <c r="N126" s="2">
        <v>7696893093</v>
      </c>
      <c r="O126" s="2">
        <v>8225005910</v>
      </c>
      <c r="P126" s="2">
        <v>8932222046</v>
      </c>
      <c r="Q126" s="2">
        <v>10061989717</v>
      </c>
      <c r="R126" s="2">
        <v>11201416568</v>
      </c>
      <c r="S126" s="2">
        <v>12192512874</v>
      </c>
      <c r="T126" s="2">
        <v>13357857040</v>
      </c>
      <c r="U126" s="2">
        <v>67333.850000000006</v>
      </c>
      <c r="V126" t="str">
        <f t="shared" si="5"/>
        <v>08122</v>
      </c>
      <c r="W126" s="2">
        <v>6868469.6500000004</v>
      </c>
      <c r="X126" s="1">
        <v>360715.92</v>
      </c>
      <c r="Y126" s="1">
        <v>47393.179999999993</v>
      </c>
      <c r="Z126" s="1">
        <v>224787.54</v>
      </c>
    </row>
    <row r="127" spans="1:26" x14ac:dyDescent="0.25">
      <c r="A127" t="s">
        <v>473</v>
      </c>
      <c r="B127" t="s">
        <v>474</v>
      </c>
      <c r="C127" s="1"/>
      <c r="D127" s="1"/>
      <c r="E127" s="1"/>
      <c r="F127" s="1"/>
      <c r="G127" s="2"/>
      <c r="H127" s="2">
        <f>VLOOKUP(A127,VAL!$A$3:$F$298,3,FALSE)</f>
        <v>250000</v>
      </c>
      <c r="I127" s="2">
        <v>250000</v>
      </c>
      <c r="J127" s="2">
        <v>389962692.61000001</v>
      </c>
      <c r="K127" s="2">
        <v>429366490</v>
      </c>
      <c r="L127" s="2">
        <v>440618308</v>
      </c>
      <c r="M127" s="2">
        <v>465916473</v>
      </c>
      <c r="N127" s="2">
        <v>514778950</v>
      </c>
      <c r="O127" s="2">
        <v>527902777</v>
      </c>
      <c r="P127" s="2">
        <v>560522071</v>
      </c>
      <c r="Q127" s="2">
        <v>593774294</v>
      </c>
      <c r="R127" s="2">
        <v>624323753</v>
      </c>
      <c r="S127" s="2">
        <v>646886081</v>
      </c>
      <c r="T127" s="2">
        <v>652470880</v>
      </c>
      <c r="U127" s="2">
        <v>0</v>
      </c>
      <c r="V127" t="str">
        <f t="shared" si="5"/>
        <v>33183</v>
      </c>
      <c r="W127" s="2">
        <v>118450</v>
      </c>
      <c r="X127" s="1">
        <v>0</v>
      </c>
      <c r="Y127" s="1">
        <v>0</v>
      </c>
      <c r="Z127" s="1">
        <v>0</v>
      </c>
    </row>
    <row r="128" spans="1:26" x14ac:dyDescent="0.25">
      <c r="A128" t="s">
        <v>381</v>
      </c>
      <c r="B128" t="s">
        <v>382</v>
      </c>
      <c r="C128" s="1"/>
      <c r="D128" s="1"/>
      <c r="E128" s="1"/>
      <c r="F128" s="1"/>
      <c r="G128" s="2"/>
      <c r="H128" s="2">
        <f>VLOOKUP(A128,VAL!$A$3:$F$298,3,FALSE)</f>
        <v>953708</v>
      </c>
      <c r="I128" s="2">
        <v>607500</v>
      </c>
      <c r="J128" s="2">
        <v>1284956696</v>
      </c>
      <c r="K128" s="2">
        <v>1446834405</v>
      </c>
      <c r="L128" s="2">
        <v>1481793847</v>
      </c>
      <c r="M128" s="2">
        <v>1658471565</v>
      </c>
      <c r="N128" s="2">
        <v>2183997868</v>
      </c>
      <c r="O128" s="2">
        <v>1878739717</v>
      </c>
      <c r="P128" s="2">
        <v>2003415628</v>
      </c>
      <c r="Q128" s="2">
        <v>2101422353</v>
      </c>
      <c r="R128" s="2">
        <v>2292329372</v>
      </c>
      <c r="S128" s="2">
        <v>2503817350</v>
      </c>
      <c r="T128" s="2">
        <v>2738261739</v>
      </c>
      <c r="U128" s="2">
        <v>0</v>
      </c>
      <c r="V128" t="str">
        <f t="shared" si="5"/>
        <v>28144</v>
      </c>
      <c r="W128" s="2">
        <v>311360.86</v>
      </c>
      <c r="X128" s="1">
        <v>0</v>
      </c>
      <c r="Y128" s="1">
        <v>0</v>
      </c>
      <c r="Z128" s="1">
        <v>0</v>
      </c>
    </row>
    <row r="129" spans="1:26" x14ac:dyDescent="0.25">
      <c r="A129" t="s">
        <v>255</v>
      </c>
      <c r="B129" t="s">
        <v>256</v>
      </c>
      <c r="C129" s="1"/>
      <c r="D129" s="1"/>
      <c r="E129" s="1"/>
      <c r="F129" s="1"/>
      <c r="G129" s="2"/>
      <c r="H129" s="2">
        <f>VLOOKUP(A129,VAL!$A$3:$F$298,3,FALSE)</f>
        <v>1026823</v>
      </c>
      <c r="I129" s="2">
        <v>1026823</v>
      </c>
      <c r="J129" s="2">
        <v>359930703.23000002</v>
      </c>
      <c r="K129" s="2">
        <v>402059368</v>
      </c>
      <c r="L129" s="2">
        <v>415949396</v>
      </c>
      <c r="M129" s="2">
        <v>442294422</v>
      </c>
      <c r="N129" s="2">
        <v>537401045</v>
      </c>
      <c r="O129" s="2">
        <v>512642790</v>
      </c>
      <c r="P129" s="2">
        <v>546239444</v>
      </c>
      <c r="Q129" s="2">
        <v>615393899</v>
      </c>
      <c r="R129" s="2">
        <v>651775463</v>
      </c>
      <c r="S129" s="2">
        <v>696396434</v>
      </c>
      <c r="T129" s="2">
        <v>745261415</v>
      </c>
      <c r="U129" s="2">
        <v>0</v>
      </c>
      <c r="V129" t="str">
        <f t="shared" si="5"/>
        <v>20406</v>
      </c>
      <c r="W129" s="2">
        <v>306996.34000000003</v>
      </c>
      <c r="X129" s="1">
        <v>0</v>
      </c>
      <c r="Y129" s="1">
        <v>0</v>
      </c>
      <c r="Z129" s="1">
        <v>0</v>
      </c>
    </row>
    <row r="130" spans="1:26" x14ac:dyDescent="0.25">
      <c r="A130" t="s">
        <v>525</v>
      </c>
      <c r="B130" t="s">
        <v>526</v>
      </c>
      <c r="C130" s="1"/>
      <c r="D130" s="1"/>
      <c r="E130" s="1"/>
      <c r="F130" s="1"/>
      <c r="G130" s="2"/>
      <c r="H130" s="2">
        <f>VLOOKUP(A130,VAL!$A$3:$F$298,3,FALSE)</f>
        <v>6250000</v>
      </c>
      <c r="I130" s="2">
        <v>6250000</v>
      </c>
      <c r="J130" s="2">
        <v>2614571084</v>
      </c>
      <c r="K130" s="2">
        <v>2859395391</v>
      </c>
      <c r="L130" s="2">
        <v>3162538980</v>
      </c>
      <c r="M130" s="2">
        <v>3647255984</v>
      </c>
      <c r="N130" s="2">
        <v>4468599398</v>
      </c>
      <c r="O130" s="2">
        <v>4456415454</v>
      </c>
      <c r="P130" s="2">
        <v>5098562657</v>
      </c>
      <c r="Q130" s="2">
        <v>5678634207</v>
      </c>
      <c r="R130" s="2">
        <v>6306135887</v>
      </c>
      <c r="S130" s="2">
        <v>7121752565</v>
      </c>
      <c r="T130" s="2">
        <v>8023959480</v>
      </c>
      <c r="U130" s="2">
        <v>30122.78</v>
      </c>
      <c r="V130" t="str">
        <f t="shared" si="5"/>
        <v>37504</v>
      </c>
      <c r="W130" s="2">
        <v>3411360</v>
      </c>
      <c r="X130" s="1">
        <v>0</v>
      </c>
      <c r="Y130" s="1">
        <v>0</v>
      </c>
      <c r="Z130" s="1">
        <v>232418.41</v>
      </c>
    </row>
    <row r="131" spans="1:26" x14ac:dyDescent="0.25">
      <c r="A131" t="s">
        <v>569</v>
      </c>
      <c r="B131" t="s">
        <v>570</v>
      </c>
      <c r="C131" s="1"/>
      <c r="D131" s="1"/>
      <c r="E131" s="1"/>
      <c r="F131" s="1"/>
      <c r="G131" s="2"/>
      <c r="H131" s="2">
        <f>VLOOKUP(A131,VAL!$A$3:$F$298,3,FALSE)</f>
        <v>320000</v>
      </c>
      <c r="I131" s="2">
        <v>320000</v>
      </c>
      <c r="J131" s="2">
        <v>212095834</v>
      </c>
      <c r="K131" s="2">
        <v>222828572</v>
      </c>
      <c r="L131" s="2">
        <v>234182993</v>
      </c>
      <c r="M131" s="2">
        <v>248258178</v>
      </c>
      <c r="N131" s="2">
        <v>286483176</v>
      </c>
      <c r="O131" s="2">
        <v>285133101</v>
      </c>
      <c r="P131" s="2">
        <v>303945581</v>
      </c>
      <c r="Q131" s="2">
        <v>326159198</v>
      </c>
      <c r="R131" s="2">
        <v>349358134</v>
      </c>
      <c r="S131" s="2">
        <v>372227044</v>
      </c>
      <c r="T131" s="2">
        <v>411420033</v>
      </c>
      <c r="U131" s="2">
        <v>294472.02</v>
      </c>
      <c r="V131" t="str">
        <f t="shared" si="5"/>
        <v>39120</v>
      </c>
      <c r="W131" s="2">
        <v>189520</v>
      </c>
      <c r="X131" s="1">
        <v>80055.850000000006</v>
      </c>
      <c r="Y131" s="1">
        <v>10518.25</v>
      </c>
      <c r="Z131" s="1">
        <v>0</v>
      </c>
    </row>
    <row r="132" spans="1:26" x14ac:dyDescent="0.25">
      <c r="A132" t="s">
        <v>92</v>
      </c>
      <c r="B132" t="s">
        <v>93</v>
      </c>
      <c r="C132" s="1"/>
      <c r="D132" s="1"/>
      <c r="E132" s="1"/>
      <c r="F132" s="1"/>
      <c r="G132" s="2"/>
      <c r="H132" s="2">
        <f>VLOOKUP(A132,VAL!$A$3:$F$298,3,FALSE)</f>
        <v>150000</v>
      </c>
      <c r="I132" s="2">
        <v>150000</v>
      </c>
      <c r="J132" s="2">
        <v>77948972</v>
      </c>
      <c r="K132" s="2">
        <v>76403176</v>
      </c>
      <c r="L132" s="2">
        <v>77772496</v>
      </c>
      <c r="M132" s="2">
        <v>76742563</v>
      </c>
      <c r="N132" s="2">
        <v>87012267</v>
      </c>
      <c r="O132" s="2">
        <v>82282451</v>
      </c>
      <c r="P132" s="2">
        <v>83823178</v>
      </c>
      <c r="Q132" s="2">
        <v>85125078</v>
      </c>
      <c r="R132" s="2">
        <v>89189518</v>
      </c>
      <c r="S132" s="2">
        <v>96889769</v>
      </c>
      <c r="T132" s="2">
        <v>101215970</v>
      </c>
      <c r="U132" s="2">
        <v>9120.0400000000009</v>
      </c>
      <c r="V132" t="str">
        <f t="shared" ref="V132:V195" si="6">A132</f>
        <v>09207</v>
      </c>
      <c r="W132" s="2">
        <v>83081.03</v>
      </c>
      <c r="X132" s="1">
        <v>6008.5</v>
      </c>
      <c r="Y132" s="1">
        <v>789.4399999999996</v>
      </c>
      <c r="Z132" s="1">
        <v>0</v>
      </c>
    </row>
    <row r="133" spans="1:26" x14ac:dyDescent="0.25">
      <c r="A133" t="s">
        <v>26</v>
      </c>
      <c r="B133" t="s">
        <v>27</v>
      </c>
      <c r="C133" s="1"/>
      <c r="D133" s="1"/>
      <c r="E133" s="1"/>
      <c r="F133" s="1"/>
      <c r="G133" s="2"/>
      <c r="H133" s="2">
        <f>VLOOKUP(A133,VAL!$A$3:$F$298,3,FALSE)</f>
        <v>1426962</v>
      </c>
      <c r="I133" s="2">
        <v>1426962</v>
      </c>
      <c r="J133" s="2">
        <v>912086797</v>
      </c>
      <c r="K133" s="2">
        <v>1021457775</v>
      </c>
      <c r="L133" s="2">
        <v>1108333482</v>
      </c>
      <c r="M133" s="2">
        <v>1310096836</v>
      </c>
      <c r="N133" s="2">
        <v>1582785305</v>
      </c>
      <c r="O133" s="2">
        <v>1622753773</v>
      </c>
      <c r="P133" s="2">
        <v>1792839964</v>
      </c>
      <c r="Q133" s="2">
        <v>2005701723</v>
      </c>
      <c r="R133" s="2">
        <v>2238969923</v>
      </c>
      <c r="S133" s="2">
        <v>2483107000</v>
      </c>
      <c r="T133" s="2">
        <v>2772831842</v>
      </c>
      <c r="U133" s="2">
        <v>0</v>
      </c>
      <c r="V133" t="str">
        <f t="shared" si="6"/>
        <v>04019</v>
      </c>
      <c r="W133" s="2">
        <v>796544.08</v>
      </c>
      <c r="X133" s="1">
        <v>0</v>
      </c>
      <c r="Y133" s="1">
        <v>0</v>
      </c>
      <c r="Z133" s="1">
        <v>0</v>
      </c>
    </row>
    <row r="134" spans="1:26" x14ac:dyDescent="0.25">
      <c r="A134" t="s">
        <v>305</v>
      </c>
      <c r="B134" t="s">
        <v>306</v>
      </c>
      <c r="C134" s="1"/>
      <c r="D134" s="1"/>
      <c r="E134" s="1"/>
      <c r="F134" s="1"/>
      <c r="G134" s="2"/>
      <c r="H134" s="2">
        <f>VLOOKUP(A134,VAL!$A$3:$F$298,3,FALSE)</f>
        <v>505862</v>
      </c>
      <c r="I134" s="2">
        <v>505862</v>
      </c>
      <c r="J134" s="2">
        <v>191588756.06624219</v>
      </c>
      <c r="K134" s="2">
        <v>211979458</v>
      </c>
      <c r="L134" s="2">
        <v>205038025</v>
      </c>
      <c r="M134" s="2">
        <v>250571466</v>
      </c>
      <c r="N134" s="2">
        <v>292668114</v>
      </c>
      <c r="O134" s="2">
        <v>310590960</v>
      </c>
      <c r="P134" s="2">
        <v>334213552</v>
      </c>
      <c r="Q134" s="2">
        <v>365344675</v>
      </c>
      <c r="R134" s="2">
        <v>405336377</v>
      </c>
      <c r="S134" s="2">
        <v>435227218</v>
      </c>
      <c r="T134" s="2">
        <v>492667050</v>
      </c>
      <c r="U134" s="2">
        <v>874222.48</v>
      </c>
      <c r="V134" t="str">
        <f t="shared" si="6"/>
        <v>23311</v>
      </c>
      <c r="W134" s="2">
        <v>288979.62</v>
      </c>
      <c r="X134" s="1">
        <v>535522.12</v>
      </c>
      <c r="Y134" s="1">
        <v>70360.349999999977</v>
      </c>
      <c r="Z134" s="1">
        <v>25491.200000000001</v>
      </c>
    </row>
    <row r="135" spans="1:26" x14ac:dyDescent="0.25">
      <c r="A135" t="s">
        <v>481</v>
      </c>
      <c r="B135" t="s">
        <v>482</v>
      </c>
      <c r="C135" s="1"/>
      <c r="D135" s="1"/>
      <c r="E135" s="1"/>
      <c r="F135" s="1"/>
      <c r="G135" s="2"/>
      <c r="H135" s="2">
        <f>VLOOKUP(A135,VAL!$A$3:$F$298,3,FALSE)</f>
        <v>287000</v>
      </c>
      <c r="I135" s="2">
        <v>287000</v>
      </c>
      <c r="J135" s="2">
        <v>198025371.40000001</v>
      </c>
      <c r="K135" s="2">
        <v>217186978</v>
      </c>
      <c r="L135" s="2">
        <v>224999678</v>
      </c>
      <c r="M135" s="2">
        <v>241364690</v>
      </c>
      <c r="N135" s="2">
        <v>293330546</v>
      </c>
      <c r="O135" s="2">
        <v>277055565</v>
      </c>
      <c r="P135" s="2">
        <v>299076273</v>
      </c>
      <c r="Q135" s="2">
        <v>315869095</v>
      </c>
      <c r="R135" s="2">
        <v>340566147</v>
      </c>
      <c r="S135" s="2">
        <v>364564401</v>
      </c>
      <c r="T135" s="2">
        <v>385586179</v>
      </c>
      <c r="U135" s="2">
        <v>89066.66</v>
      </c>
      <c r="V135" t="str">
        <f t="shared" si="6"/>
        <v>33207</v>
      </c>
      <c r="W135" s="2">
        <v>162168.95000000001</v>
      </c>
      <c r="X135" s="1">
        <v>0</v>
      </c>
      <c r="Y135" s="1">
        <v>0</v>
      </c>
      <c r="Z135" s="1">
        <v>38640.269999999997</v>
      </c>
    </row>
    <row r="136" spans="1:26" x14ac:dyDescent="0.25">
      <c r="A136" t="s">
        <v>417</v>
      </c>
      <c r="B136" t="s">
        <v>418</v>
      </c>
      <c r="C136" s="1"/>
      <c r="D136" s="1"/>
      <c r="E136" s="1"/>
      <c r="F136" s="1"/>
      <c r="G136" s="2"/>
      <c r="H136" s="2">
        <f>VLOOKUP(A136,VAL!$A$3:$F$298,3,FALSE)</f>
        <v>26500000</v>
      </c>
      <c r="I136" s="2">
        <v>26500000</v>
      </c>
      <c r="J136" s="2">
        <v>8650512793</v>
      </c>
      <c r="K136" s="2">
        <v>9463850820</v>
      </c>
      <c r="L136" s="2">
        <v>10114025906</v>
      </c>
      <c r="M136" s="2">
        <v>11288766658</v>
      </c>
      <c r="N136" s="2">
        <v>14372336124</v>
      </c>
      <c r="O136" s="2">
        <v>15549524998</v>
      </c>
      <c r="P136" s="2">
        <v>15990771034</v>
      </c>
      <c r="Q136" s="2">
        <v>16939540312</v>
      </c>
      <c r="R136" s="2">
        <v>18033216600</v>
      </c>
      <c r="S136" s="2">
        <v>18793482341</v>
      </c>
      <c r="T136" s="2">
        <v>19556952476</v>
      </c>
      <c r="U136" s="2">
        <v>0</v>
      </c>
      <c r="V136" t="str">
        <f t="shared" si="6"/>
        <v>31025</v>
      </c>
      <c r="W136" s="2">
        <v>12555700</v>
      </c>
      <c r="X136" s="1">
        <v>0</v>
      </c>
      <c r="Y136" s="1">
        <v>0</v>
      </c>
      <c r="Z136" s="1">
        <v>0</v>
      </c>
    </row>
    <row r="137" spans="1:26" x14ac:dyDescent="0.25">
      <c r="A137" t="s">
        <v>142</v>
      </c>
      <c r="B137" t="s">
        <v>143</v>
      </c>
      <c r="C137" s="1"/>
      <c r="D137" s="1"/>
      <c r="E137" s="1"/>
      <c r="F137" s="1"/>
      <c r="G137" s="2"/>
      <c r="H137" s="2">
        <f>VLOOKUP(A137,VAL!$A$3:$F$298,3,FALSE)</f>
        <v>800000</v>
      </c>
      <c r="I137" s="2">
        <v>800000</v>
      </c>
      <c r="J137" s="2">
        <v>238510823</v>
      </c>
      <c r="K137" s="2">
        <v>282559479</v>
      </c>
      <c r="L137" s="2">
        <v>316935953</v>
      </c>
      <c r="M137" s="2">
        <v>380315481</v>
      </c>
      <c r="N137" s="2">
        <v>488271929</v>
      </c>
      <c r="O137" s="2">
        <v>464331723</v>
      </c>
      <c r="P137" s="2">
        <v>501853471</v>
      </c>
      <c r="Q137" s="2">
        <v>560615257</v>
      </c>
      <c r="R137" s="2">
        <v>618892543</v>
      </c>
      <c r="S137" s="2">
        <v>680943041</v>
      </c>
      <c r="T137" s="2">
        <v>743046074</v>
      </c>
      <c r="U137" s="2">
        <v>33536.78</v>
      </c>
      <c r="V137" t="str">
        <f t="shared" si="6"/>
        <v>14065</v>
      </c>
      <c r="W137" s="2">
        <v>444391.23</v>
      </c>
      <c r="X137" s="1">
        <v>43949.25</v>
      </c>
      <c r="Y137" s="1">
        <v>5774.3399999999965</v>
      </c>
      <c r="Z137" s="1">
        <v>29421.24</v>
      </c>
    </row>
    <row r="138" spans="1:26" x14ac:dyDescent="0.25">
      <c r="A138" t="s">
        <v>445</v>
      </c>
      <c r="B138" t="s">
        <v>446</v>
      </c>
      <c r="C138" s="1"/>
      <c r="D138" s="1"/>
      <c r="E138" s="1"/>
      <c r="F138" s="1"/>
      <c r="G138" s="2"/>
      <c r="H138" s="2">
        <f>VLOOKUP(A138,VAL!$A$3:$F$298,3,FALSE)</f>
        <v>9500000</v>
      </c>
      <c r="I138" s="2">
        <v>9500000</v>
      </c>
      <c r="J138" s="2">
        <v>6217933047</v>
      </c>
      <c r="K138" s="2">
        <v>6791227892</v>
      </c>
      <c r="L138" s="2">
        <v>7514174753</v>
      </c>
      <c r="M138" s="2">
        <v>8427273637</v>
      </c>
      <c r="N138" s="2">
        <v>10897389169</v>
      </c>
      <c r="O138" s="2">
        <v>11094335109</v>
      </c>
      <c r="P138" s="2">
        <v>11634763741</v>
      </c>
      <c r="Q138" s="2">
        <v>12049358249</v>
      </c>
      <c r="R138" s="2">
        <v>12643795010</v>
      </c>
      <c r="S138" s="2">
        <v>13118000846</v>
      </c>
      <c r="T138" s="2">
        <v>13694156689</v>
      </c>
      <c r="U138" s="2">
        <v>1243839</v>
      </c>
      <c r="V138" t="str">
        <f t="shared" si="6"/>
        <v>32354</v>
      </c>
      <c r="W138" s="2">
        <v>7794010</v>
      </c>
      <c r="X138" s="1">
        <v>532004.94999999995</v>
      </c>
      <c r="Y138" s="1">
        <v>69898.239999999991</v>
      </c>
      <c r="Z138" s="1">
        <v>983995.64</v>
      </c>
    </row>
    <row r="139" spans="1:26" x14ac:dyDescent="0.25">
      <c r="A139" t="s">
        <v>443</v>
      </c>
      <c r="B139" t="s">
        <v>444</v>
      </c>
      <c r="C139" s="1"/>
      <c r="D139" s="1"/>
      <c r="E139" s="1"/>
      <c r="F139" s="1"/>
      <c r="G139" s="2"/>
      <c r="H139" s="2">
        <f>VLOOKUP(A139,VAL!$A$3:$F$298,3,FALSE)</f>
        <v>976836</v>
      </c>
      <c r="I139" s="2">
        <v>976836</v>
      </c>
      <c r="J139" s="2">
        <v>686847124</v>
      </c>
      <c r="K139" s="2">
        <v>756120807</v>
      </c>
      <c r="L139" s="2">
        <v>839213229</v>
      </c>
      <c r="M139" s="2">
        <v>923916106</v>
      </c>
      <c r="N139" s="2">
        <v>1232769799</v>
      </c>
      <c r="O139" s="2">
        <v>1277460782</v>
      </c>
      <c r="P139" s="2">
        <v>1337324510</v>
      </c>
      <c r="Q139" s="2">
        <v>1435072878</v>
      </c>
      <c r="R139" s="2">
        <v>1481177713</v>
      </c>
      <c r="S139" s="2">
        <v>1563468786</v>
      </c>
      <c r="T139" s="2">
        <v>1660929332</v>
      </c>
      <c r="U139" s="2">
        <v>426194.81</v>
      </c>
      <c r="V139" t="str">
        <f t="shared" si="6"/>
        <v>32326</v>
      </c>
      <c r="W139" s="2">
        <v>656268.43000000005</v>
      </c>
      <c r="X139" s="1">
        <v>96002.32</v>
      </c>
      <c r="Y139" s="1">
        <v>12613.399999999994</v>
      </c>
      <c r="Z139" s="1">
        <v>223451.3</v>
      </c>
    </row>
    <row r="140" spans="1:26" x14ac:dyDescent="0.25">
      <c r="A140" t="s">
        <v>184</v>
      </c>
      <c r="B140" t="s">
        <v>185</v>
      </c>
      <c r="C140" s="1"/>
      <c r="D140" s="1"/>
      <c r="E140" s="1"/>
      <c r="F140" s="1"/>
      <c r="G140" s="2"/>
      <c r="H140" s="2">
        <f>VLOOKUP(A140,VAL!$A$3:$F$298,3,FALSE)</f>
        <v>11750000</v>
      </c>
      <c r="I140" s="2">
        <v>11750000</v>
      </c>
      <c r="J140" s="2">
        <v>14624681531</v>
      </c>
      <c r="K140" s="2">
        <v>15134685370</v>
      </c>
      <c r="L140" s="2">
        <v>15259035035</v>
      </c>
      <c r="M140" s="2">
        <v>16983739605</v>
      </c>
      <c r="N140" s="2">
        <v>22408435338</v>
      </c>
      <c r="O140" s="2">
        <v>21312713536</v>
      </c>
      <c r="P140" s="2">
        <v>22348505508</v>
      </c>
      <c r="Q140" s="2">
        <v>23470313701</v>
      </c>
      <c r="R140" s="2">
        <v>24579739423</v>
      </c>
      <c r="S140" s="2">
        <v>25834091632</v>
      </c>
      <c r="T140" s="2">
        <v>26963125584</v>
      </c>
      <c r="U140" s="2">
        <v>0</v>
      </c>
      <c r="V140" t="str">
        <f t="shared" si="6"/>
        <v>17400</v>
      </c>
      <c r="W140" s="2">
        <v>5445601.3499999996</v>
      </c>
      <c r="X140" s="1">
        <v>0</v>
      </c>
      <c r="Y140" s="1">
        <v>0</v>
      </c>
      <c r="Z140" s="1">
        <v>0</v>
      </c>
    </row>
    <row r="141" spans="1:26" x14ac:dyDescent="0.25">
      <c r="A141" t="s">
        <v>527</v>
      </c>
      <c r="B141" t="s">
        <v>528</v>
      </c>
      <c r="C141" s="1"/>
      <c r="D141" s="1"/>
      <c r="E141" s="1"/>
      <c r="F141" s="1"/>
      <c r="G141" s="2"/>
      <c r="H141" s="2">
        <f>VLOOKUP(A141,VAL!$A$3:$F$298,3,FALSE)</f>
        <v>4225000</v>
      </c>
      <c r="I141" s="2">
        <v>4225000</v>
      </c>
      <c r="J141" s="2">
        <v>1329964223</v>
      </c>
      <c r="K141" s="2">
        <v>1453109979</v>
      </c>
      <c r="L141" s="2">
        <v>1596076762</v>
      </c>
      <c r="M141" s="2">
        <v>1839493982</v>
      </c>
      <c r="N141" s="2">
        <v>2281093536</v>
      </c>
      <c r="O141" s="2">
        <v>2236668003</v>
      </c>
      <c r="P141" s="2">
        <v>2502515323</v>
      </c>
      <c r="Q141" s="2">
        <v>2771940926</v>
      </c>
      <c r="R141" s="2">
        <v>3123549327</v>
      </c>
      <c r="S141" s="2">
        <v>3427566186</v>
      </c>
      <c r="T141" s="2">
        <v>3812285733</v>
      </c>
      <c r="U141" s="2">
        <v>77822</v>
      </c>
      <c r="V141" t="str">
        <f t="shared" si="6"/>
        <v>37505</v>
      </c>
      <c r="W141" s="2">
        <v>2022731.32</v>
      </c>
      <c r="X141" s="1">
        <v>0</v>
      </c>
      <c r="Y141" s="1">
        <v>0</v>
      </c>
      <c r="Z141" s="1">
        <v>178170.48</v>
      </c>
    </row>
    <row r="142" spans="1:26" x14ac:dyDescent="0.25">
      <c r="A142" t="s">
        <v>323</v>
      </c>
      <c r="B142" t="s">
        <v>324</v>
      </c>
      <c r="C142" s="1"/>
      <c r="D142" s="1"/>
      <c r="E142" s="1"/>
      <c r="F142" s="1"/>
      <c r="G142" s="2"/>
      <c r="H142" s="2">
        <f>VLOOKUP(A142,VAL!$A$3:$F$298,3,FALSE)</f>
        <v>1900000</v>
      </c>
      <c r="I142" s="2">
        <v>1900000</v>
      </c>
      <c r="J142" s="2">
        <v>1345097716</v>
      </c>
      <c r="K142" s="2">
        <v>1369861972</v>
      </c>
      <c r="L142" s="2">
        <v>1590058955</v>
      </c>
      <c r="M142" s="2">
        <v>1624322858</v>
      </c>
      <c r="N142" s="2">
        <v>2319414551</v>
      </c>
      <c r="O142" s="2">
        <v>1820978668</v>
      </c>
      <c r="P142" s="2">
        <v>1952994170</v>
      </c>
      <c r="Q142" s="2">
        <v>2079295350</v>
      </c>
      <c r="R142" s="2">
        <v>2167952312</v>
      </c>
      <c r="S142" s="2">
        <v>2314209379</v>
      </c>
      <c r="T142" s="2">
        <v>2422763504</v>
      </c>
      <c r="U142" s="2">
        <v>0</v>
      </c>
      <c r="V142" t="str">
        <f t="shared" si="6"/>
        <v>24350</v>
      </c>
      <c r="W142" s="2">
        <v>903505.04</v>
      </c>
      <c r="X142" s="1">
        <v>0</v>
      </c>
      <c r="Y142" s="1">
        <v>0</v>
      </c>
      <c r="Z142" s="1">
        <v>0</v>
      </c>
    </row>
    <row r="143" spans="1:26" x14ac:dyDescent="0.25">
      <c r="A143" t="s">
        <v>403</v>
      </c>
      <c r="B143" t="s">
        <v>404</v>
      </c>
      <c r="C143" s="1"/>
      <c r="D143" s="1"/>
      <c r="E143" s="1"/>
      <c r="F143" s="1"/>
      <c r="G143" s="2"/>
      <c r="H143" s="2">
        <f>VLOOKUP(A143,VAL!$A$3:$F$298,3,FALSE)</f>
        <v>0</v>
      </c>
      <c r="I143" s="2">
        <v>0</v>
      </c>
      <c r="J143" s="2">
        <v>63017048</v>
      </c>
      <c r="K143" s="2">
        <v>66882216</v>
      </c>
      <c r="L143" s="2">
        <v>71464279</v>
      </c>
      <c r="M143" s="2">
        <v>75203358</v>
      </c>
      <c r="N143" s="2">
        <v>88092113</v>
      </c>
      <c r="O143" s="2">
        <v>81937543</v>
      </c>
      <c r="P143" s="2">
        <v>85280735</v>
      </c>
      <c r="Q143" s="2">
        <v>90817110</v>
      </c>
      <c r="R143" s="2">
        <v>97314689</v>
      </c>
      <c r="S143" s="2">
        <v>104308354</v>
      </c>
      <c r="T143" s="2">
        <v>109747428</v>
      </c>
      <c r="U143" s="2">
        <v>0</v>
      </c>
      <c r="V143" t="str">
        <f t="shared" si="6"/>
        <v>30031</v>
      </c>
      <c r="W143" s="2">
        <v>0</v>
      </c>
      <c r="X143" s="1">
        <v>0</v>
      </c>
      <c r="Y143" s="1">
        <v>0</v>
      </c>
      <c r="Z143" s="1">
        <v>0</v>
      </c>
    </row>
    <row r="144" spans="1:26" x14ac:dyDescent="0.25">
      <c r="A144" t="s">
        <v>421</v>
      </c>
      <c r="B144" t="s">
        <v>422</v>
      </c>
      <c r="C144" s="1"/>
      <c r="D144" s="1"/>
      <c r="E144" s="1"/>
      <c r="F144" s="1"/>
      <c r="G144" s="2"/>
      <c r="H144" s="2">
        <f>VLOOKUP(A144,VAL!$A$3:$F$298,3,FALSE)</f>
        <v>10350062</v>
      </c>
      <c r="I144" s="2">
        <v>10350062</v>
      </c>
      <c r="J144" s="2">
        <v>6763399011</v>
      </c>
      <c r="K144" s="2">
        <v>7462092100</v>
      </c>
      <c r="L144" s="2">
        <v>7964124862</v>
      </c>
      <c r="M144" s="2">
        <v>8831271338</v>
      </c>
      <c r="N144" s="2">
        <v>11639961882</v>
      </c>
      <c r="O144" s="2">
        <v>12305481241</v>
      </c>
      <c r="P144" s="2">
        <v>12891249602</v>
      </c>
      <c r="Q144" s="2">
        <v>13614044689</v>
      </c>
      <c r="R144" s="2">
        <v>14633995383</v>
      </c>
      <c r="S144" s="2">
        <v>15969683152</v>
      </c>
      <c r="T144" s="2">
        <v>17080815893</v>
      </c>
      <c r="U144" s="2">
        <v>0</v>
      </c>
      <c r="V144" t="str">
        <f t="shared" si="6"/>
        <v>31103</v>
      </c>
      <c r="W144" s="2">
        <v>7458156.8700000001</v>
      </c>
      <c r="X144" s="1">
        <v>0</v>
      </c>
      <c r="Y144" s="1">
        <v>0</v>
      </c>
      <c r="Z144" s="1">
        <v>0</v>
      </c>
    </row>
    <row r="145" spans="1:26" x14ac:dyDescent="0.25">
      <c r="A145" t="s">
        <v>144</v>
      </c>
      <c r="B145" t="s">
        <v>145</v>
      </c>
      <c r="C145" s="1"/>
      <c r="D145" s="1"/>
      <c r="E145" s="1"/>
      <c r="F145" s="1"/>
      <c r="G145" s="2"/>
      <c r="H145" s="2">
        <f>VLOOKUP(A145,VAL!$A$3:$F$298,3,FALSE)</f>
        <v>2317041</v>
      </c>
      <c r="I145" s="2">
        <v>2317041</v>
      </c>
      <c r="J145" s="2">
        <v>735993855</v>
      </c>
      <c r="K145" s="2">
        <v>777850997</v>
      </c>
      <c r="L145" s="2">
        <v>874680555</v>
      </c>
      <c r="M145" s="2">
        <v>1019634088</v>
      </c>
      <c r="N145" s="2">
        <v>1258735805</v>
      </c>
      <c r="O145" s="2">
        <v>1245227144</v>
      </c>
      <c r="P145" s="2">
        <v>1345498286</v>
      </c>
      <c r="Q145" s="2">
        <v>1455874481</v>
      </c>
      <c r="R145" s="2">
        <v>1616818585</v>
      </c>
      <c r="S145" s="2">
        <v>1792770509</v>
      </c>
      <c r="T145" s="2">
        <v>1971911664</v>
      </c>
      <c r="U145" s="2">
        <v>219647.72</v>
      </c>
      <c r="V145" t="str">
        <f t="shared" si="6"/>
        <v>14066</v>
      </c>
      <c r="W145" s="2">
        <v>1107602.26</v>
      </c>
      <c r="X145" s="1">
        <v>120007.24</v>
      </c>
      <c r="Y145" s="1">
        <v>15767.319999999992</v>
      </c>
      <c r="Z145" s="1">
        <v>71243.45</v>
      </c>
    </row>
    <row r="146" spans="1:26" x14ac:dyDescent="0.25">
      <c r="A146" t="s">
        <v>263</v>
      </c>
      <c r="B146" t="s">
        <v>264</v>
      </c>
      <c r="C146" s="1"/>
      <c r="D146" s="1"/>
      <c r="E146" s="1"/>
      <c r="F146" s="1"/>
      <c r="G146" s="2"/>
      <c r="H146" s="2">
        <f>VLOOKUP(A146,VAL!$A$3:$F$298,3,FALSE)</f>
        <v>805000</v>
      </c>
      <c r="I146" s="2">
        <v>805000</v>
      </c>
      <c r="J146" s="2">
        <v>349727365</v>
      </c>
      <c r="K146" s="2">
        <v>397719468.10000002</v>
      </c>
      <c r="L146" s="2">
        <v>428874280</v>
      </c>
      <c r="M146" s="2">
        <v>555189365</v>
      </c>
      <c r="N146" s="2">
        <v>718642569</v>
      </c>
      <c r="O146" s="2">
        <v>706606122</v>
      </c>
      <c r="P146" s="2">
        <v>785050994</v>
      </c>
      <c r="Q146" s="2">
        <v>856699373</v>
      </c>
      <c r="R146" s="2">
        <v>987831346</v>
      </c>
      <c r="S146" s="2">
        <v>1114743898</v>
      </c>
      <c r="T146" s="2">
        <v>1264330323</v>
      </c>
      <c r="U146" s="2">
        <v>0</v>
      </c>
      <c r="V146" t="str">
        <f t="shared" si="6"/>
        <v>21214</v>
      </c>
      <c r="W146" s="2">
        <v>445088.67</v>
      </c>
      <c r="X146" s="1">
        <v>0</v>
      </c>
      <c r="Y146" s="1">
        <v>0</v>
      </c>
      <c r="Z146" s="1">
        <v>0</v>
      </c>
    </row>
    <row r="147" spans="1:26" x14ac:dyDescent="0.25">
      <c r="A147" t="s">
        <v>128</v>
      </c>
      <c r="B147" t="s">
        <v>129</v>
      </c>
      <c r="C147" s="1"/>
      <c r="D147" s="1"/>
      <c r="E147" s="1"/>
      <c r="F147" s="1"/>
      <c r="G147" s="2"/>
      <c r="H147" s="2">
        <f>VLOOKUP(A147,VAL!$A$3:$F$298,3,FALSE)</f>
        <v>6718758</v>
      </c>
      <c r="I147" s="2">
        <v>6718758</v>
      </c>
      <c r="J147" s="2">
        <v>4102886003</v>
      </c>
      <c r="K147" s="2">
        <v>4317371819</v>
      </c>
      <c r="L147" s="2">
        <v>4504072377</v>
      </c>
      <c r="M147" s="2">
        <v>5025638112</v>
      </c>
      <c r="N147" s="2">
        <v>5536697863</v>
      </c>
      <c r="O147" s="2">
        <v>5876123946</v>
      </c>
      <c r="P147" s="2">
        <v>6290737395</v>
      </c>
      <c r="Q147" s="2">
        <v>6821031157</v>
      </c>
      <c r="R147" s="2">
        <v>7249196261</v>
      </c>
      <c r="S147" s="2">
        <v>7802835923</v>
      </c>
      <c r="T147" s="2">
        <v>8179329652</v>
      </c>
      <c r="U147" s="2">
        <v>1614873.34</v>
      </c>
      <c r="V147" t="str">
        <f t="shared" si="6"/>
        <v>13161</v>
      </c>
      <c r="W147" s="2">
        <v>3361096.45</v>
      </c>
      <c r="X147" s="1">
        <v>645527.02</v>
      </c>
      <c r="Y147" s="1">
        <v>84813.5</v>
      </c>
      <c r="Z147" s="1">
        <v>523108.73</v>
      </c>
    </row>
    <row r="148" spans="1:26" x14ac:dyDescent="0.25">
      <c r="A148" t="s">
        <v>261</v>
      </c>
      <c r="B148" t="s">
        <v>262</v>
      </c>
      <c r="C148" s="1"/>
      <c r="D148" s="1"/>
      <c r="E148" s="1"/>
      <c r="F148" s="1"/>
      <c r="G148" s="2"/>
      <c r="H148" s="2">
        <f>VLOOKUP(A148,VAL!$A$3:$F$298,3,FALSE)</f>
        <v>946000</v>
      </c>
      <c r="I148" s="2">
        <v>946000</v>
      </c>
      <c r="J148" s="2">
        <v>526176001</v>
      </c>
      <c r="K148" s="2">
        <v>577977804</v>
      </c>
      <c r="L148" s="2">
        <v>637703262</v>
      </c>
      <c r="M148" s="2">
        <v>742346959</v>
      </c>
      <c r="N148" s="2">
        <v>944002479</v>
      </c>
      <c r="O148" s="2">
        <v>925737670</v>
      </c>
      <c r="P148" s="2">
        <v>1045250147</v>
      </c>
      <c r="Q148" s="2">
        <v>1138007724</v>
      </c>
      <c r="R148" s="2">
        <v>1278462990</v>
      </c>
      <c r="S148" s="2">
        <v>1436413125</v>
      </c>
      <c r="T148" s="2">
        <v>1679919173</v>
      </c>
      <c r="U148" s="2">
        <v>0</v>
      </c>
      <c r="V148" t="str">
        <f t="shared" si="6"/>
        <v>21206</v>
      </c>
      <c r="W148" s="2">
        <v>359020.53</v>
      </c>
      <c r="X148" s="1">
        <v>0</v>
      </c>
      <c r="Y148" s="1">
        <v>0</v>
      </c>
      <c r="Z148" s="1">
        <v>0</v>
      </c>
    </row>
    <row r="149" spans="1:26" x14ac:dyDescent="0.25">
      <c r="A149" t="s">
        <v>587</v>
      </c>
      <c r="B149" t="s">
        <v>588</v>
      </c>
      <c r="C149" s="1"/>
      <c r="D149" s="1"/>
      <c r="E149" s="1"/>
      <c r="F149" s="1"/>
      <c r="G149" s="2"/>
      <c r="H149" s="2">
        <f>VLOOKUP(A149,VAL!$A$3:$F$298,3,FALSE)</f>
        <v>247000</v>
      </c>
      <c r="I149" s="2">
        <v>247000</v>
      </c>
      <c r="J149" s="2">
        <v>185772926</v>
      </c>
      <c r="K149" s="2">
        <v>192282638</v>
      </c>
      <c r="L149" s="2">
        <v>198185382</v>
      </c>
      <c r="M149" s="2">
        <v>211717859</v>
      </c>
      <c r="N149" s="2">
        <v>216014594</v>
      </c>
      <c r="O149" s="2">
        <v>242589820</v>
      </c>
      <c r="P149" s="2">
        <v>254126290</v>
      </c>
      <c r="Q149" s="2">
        <v>265296747</v>
      </c>
      <c r="R149" s="2">
        <v>280908538</v>
      </c>
      <c r="S149" s="2">
        <v>289743140</v>
      </c>
      <c r="T149" s="2">
        <v>316861968</v>
      </c>
      <c r="U149" s="2">
        <v>261661.67</v>
      </c>
      <c r="V149" t="str">
        <f t="shared" si="6"/>
        <v>39209</v>
      </c>
      <c r="W149" s="2">
        <v>124135.6</v>
      </c>
      <c r="X149" s="1">
        <v>35399.69</v>
      </c>
      <c r="Y149" s="1">
        <v>4651.0400000000009</v>
      </c>
      <c r="Z149" s="1">
        <v>0</v>
      </c>
    </row>
    <row r="150" spans="1:26" x14ac:dyDescent="0.25">
      <c r="A150" t="s">
        <v>531</v>
      </c>
      <c r="B150" t="s">
        <v>532</v>
      </c>
      <c r="C150" s="1"/>
      <c r="D150" s="1"/>
      <c r="E150" s="1"/>
      <c r="F150" s="1"/>
      <c r="G150" s="2"/>
      <c r="H150" s="2">
        <f>VLOOKUP(A150,VAL!$A$3:$F$298,3,FALSE)</f>
        <v>5970000</v>
      </c>
      <c r="I150" s="2">
        <v>5970000</v>
      </c>
      <c r="J150" s="2">
        <v>1854936974</v>
      </c>
      <c r="K150" s="2">
        <v>2013587928</v>
      </c>
      <c r="L150" s="2">
        <v>2149215951</v>
      </c>
      <c r="M150" s="2">
        <v>2551358515</v>
      </c>
      <c r="N150" s="2">
        <v>3218555486</v>
      </c>
      <c r="O150" s="2">
        <v>3097261373</v>
      </c>
      <c r="P150" s="2">
        <v>3492356320</v>
      </c>
      <c r="Q150" s="2">
        <v>3820412090</v>
      </c>
      <c r="R150" s="2">
        <v>4426099293</v>
      </c>
      <c r="S150" s="2">
        <v>4924125656</v>
      </c>
      <c r="T150" s="2">
        <v>5445854307</v>
      </c>
      <c r="U150" s="2">
        <v>0</v>
      </c>
      <c r="V150" t="str">
        <f t="shared" si="6"/>
        <v>37507</v>
      </c>
      <c r="W150" s="2">
        <v>2321320.54</v>
      </c>
      <c r="X150" s="1">
        <v>0</v>
      </c>
      <c r="Y150" s="1">
        <v>0</v>
      </c>
      <c r="Z150" s="1">
        <v>0</v>
      </c>
    </row>
    <row r="151" spans="1:26" x14ac:dyDescent="0.25">
      <c r="A151" t="s">
        <v>401</v>
      </c>
      <c r="B151" t="s">
        <v>402</v>
      </c>
      <c r="C151" s="1"/>
      <c r="D151" s="1"/>
      <c r="E151" s="1"/>
      <c r="F151" s="1"/>
      <c r="G151" s="2"/>
      <c r="H151" s="2">
        <f>VLOOKUP(A151,VAL!$A$3:$F$298,3,FALSE)</f>
        <v>155000</v>
      </c>
      <c r="I151" s="2">
        <v>155000</v>
      </c>
      <c r="J151" s="2">
        <v>55019080</v>
      </c>
      <c r="K151" s="2">
        <v>58433092</v>
      </c>
      <c r="L151" s="2">
        <v>60727491</v>
      </c>
      <c r="M151" s="2">
        <v>66129071</v>
      </c>
      <c r="N151" s="2">
        <v>74574006</v>
      </c>
      <c r="O151" s="2">
        <v>77190719</v>
      </c>
      <c r="P151" s="2">
        <v>83476121</v>
      </c>
      <c r="Q151" s="2">
        <v>91412235</v>
      </c>
      <c r="R151" s="2">
        <v>100392123</v>
      </c>
      <c r="S151" s="2">
        <v>111901111</v>
      </c>
      <c r="T151" s="2">
        <v>116886428</v>
      </c>
      <c r="U151" s="2">
        <v>7040.98</v>
      </c>
      <c r="V151" t="str">
        <f t="shared" si="6"/>
        <v>30029</v>
      </c>
      <c r="W151" s="2">
        <v>73439</v>
      </c>
      <c r="X151" s="1">
        <v>30075.08</v>
      </c>
      <c r="Y151" s="1">
        <v>3951.4599999999991</v>
      </c>
      <c r="Z151" s="1">
        <v>0</v>
      </c>
    </row>
    <row r="152" spans="1:26" x14ac:dyDescent="0.25">
      <c r="A152" t="s">
        <v>397</v>
      </c>
      <c r="B152" t="s">
        <v>398</v>
      </c>
      <c r="C152" s="1"/>
      <c r="D152" s="1"/>
      <c r="E152" s="1"/>
      <c r="F152" s="1"/>
      <c r="G152" s="2"/>
      <c r="H152" s="2">
        <f>VLOOKUP(A152,VAL!$A$3:$F$298,3,FALSE)</f>
        <v>15417716</v>
      </c>
      <c r="I152" s="2">
        <v>15417716</v>
      </c>
      <c r="J152" s="2">
        <v>4310673045</v>
      </c>
      <c r="K152" s="2">
        <v>4635298130</v>
      </c>
      <c r="L152" s="2">
        <v>4945300465</v>
      </c>
      <c r="M152" s="2">
        <v>5621344193</v>
      </c>
      <c r="N152" s="2">
        <v>6667596561</v>
      </c>
      <c r="O152" s="2">
        <v>6911085262</v>
      </c>
      <c r="P152" s="2">
        <v>7567629068</v>
      </c>
      <c r="Q152" s="2">
        <v>8209054569</v>
      </c>
      <c r="R152" s="2">
        <v>8892086740</v>
      </c>
      <c r="S152" s="2">
        <v>9862133954</v>
      </c>
      <c r="T152" s="2">
        <v>10947505439</v>
      </c>
      <c r="U152" s="2">
        <v>698035.05</v>
      </c>
      <c r="V152" t="str">
        <f t="shared" si="6"/>
        <v>29320</v>
      </c>
      <c r="W152" s="2">
        <v>6440658.0999999996</v>
      </c>
      <c r="X152" s="1">
        <v>404702.83</v>
      </c>
      <c r="Y152" s="1">
        <v>53172.469999999972</v>
      </c>
      <c r="Z152" s="1">
        <v>353613.67</v>
      </c>
    </row>
    <row r="153" spans="1:26" x14ac:dyDescent="0.25">
      <c r="A153" t="s">
        <v>411</v>
      </c>
      <c r="B153" t="s">
        <v>412</v>
      </c>
      <c r="C153" s="1"/>
      <c r="D153" s="1"/>
      <c r="E153" s="1"/>
      <c r="F153" s="1"/>
      <c r="G153" s="2"/>
      <c r="H153" s="2">
        <f>VLOOKUP(A153,VAL!$A$3:$F$298,3,FALSE)</f>
        <v>31636355</v>
      </c>
      <c r="I153" s="2">
        <v>31636355</v>
      </c>
      <c r="J153" s="2">
        <v>20096139676</v>
      </c>
      <c r="K153" s="2">
        <v>21876489770</v>
      </c>
      <c r="L153" s="2">
        <v>22932157154</v>
      </c>
      <c r="M153" s="2">
        <v>24216464913</v>
      </c>
      <c r="N153" s="2">
        <v>29604785013</v>
      </c>
      <c r="O153" s="2">
        <v>31722687010</v>
      </c>
      <c r="P153" s="2">
        <v>32885002095</v>
      </c>
      <c r="Q153" s="2">
        <v>33717711651</v>
      </c>
      <c r="R153" s="2">
        <v>34167074583</v>
      </c>
      <c r="S153" s="2">
        <v>35849769647</v>
      </c>
      <c r="T153" s="2">
        <v>36755544444</v>
      </c>
      <c r="U153" s="2">
        <v>0</v>
      </c>
      <c r="V153" t="str">
        <f t="shared" si="6"/>
        <v>31006</v>
      </c>
      <c r="W153" s="2">
        <v>20458005.989999998</v>
      </c>
      <c r="X153" s="1">
        <v>0</v>
      </c>
      <c r="Y153" s="1">
        <v>0</v>
      </c>
      <c r="Z153" s="1">
        <v>0</v>
      </c>
    </row>
    <row r="154" spans="1:26" x14ac:dyDescent="0.25">
      <c r="A154" t="s">
        <v>561</v>
      </c>
      <c r="B154" t="s">
        <v>562</v>
      </c>
      <c r="C154" s="1"/>
      <c r="D154" s="1"/>
      <c r="E154" s="1"/>
      <c r="F154" s="1"/>
      <c r="G154" s="2"/>
      <c r="H154" s="2">
        <f>VLOOKUP(A154,VAL!$A$3:$F$298,3,FALSE)</f>
        <v>3099000</v>
      </c>
      <c r="I154" s="2">
        <v>3099000</v>
      </c>
      <c r="J154" s="2">
        <v>938034623.5</v>
      </c>
      <c r="K154" s="2">
        <v>1015935865.5</v>
      </c>
      <c r="L154" s="2">
        <v>1090937386</v>
      </c>
      <c r="M154" s="2">
        <v>1203273600</v>
      </c>
      <c r="N154" s="2">
        <v>1341307023</v>
      </c>
      <c r="O154" s="2">
        <v>1462060771</v>
      </c>
      <c r="P154" s="2">
        <v>1575271752</v>
      </c>
      <c r="Q154" s="2">
        <v>1706341236</v>
      </c>
      <c r="R154" s="2">
        <v>1861186086</v>
      </c>
      <c r="S154" s="2">
        <v>2051575272</v>
      </c>
      <c r="T154" s="2">
        <v>2279731421</v>
      </c>
      <c r="U154" s="2">
        <v>68246.720000000001</v>
      </c>
      <c r="V154" t="str">
        <f t="shared" si="6"/>
        <v>39003</v>
      </c>
      <c r="W154" s="2">
        <v>1397710</v>
      </c>
      <c r="X154" s="1">
        <v>47139.89</v>
      </c>
      <c r="Y154" s="1">
        <v>6193.5400000000009</v>
      </c>
      <c r="Z154" s="1">
        <v>27842.080000000002</v>
      </c>
    </row>
    <row r="155" spans="1:26" x14ac:dyDescent="0.25">
      <c r="A155" t="s">
        <v>257</v>
      </c>
      <c r="B155" t="s">
        <v>258</v>
      </c>
      <c r="C155" s="1"/>
      <c r="D155" s="1"/>
      <c r="E155" s="1"/>
      <c r="F155" s="1"/>
      <c r="G155" s="2"/>
      <c r="H155" s="2">
        <f>VLOOKUP(A155,VAL!$A$3:$F$298,3,FALSE)</f>
        <v>925000</v>
      </c>
      <c r="I155" s="2">
        <v>925000</v>
      </c>
      <c r="J155" s="2">
        <v>460367473</v>
      </c>
      <c r="K155" s="2">
        <v>510976542.29000002</v>
      </c>
      <c r="L155" s="2">
        <v>563526136</v>
      </c>
      <c r="M155" s="2">
        <v>651632432</v>
      </c>
      <c r="N155" s="2">
        <v>802167363</v>
      </c>
      <c r="O155" s="2">
        <v>839856349</v>
      </c>
      <c r="P155" s="2">
        <v>931955365</v>
      </c>
      <c r="Q155" s="2">
        <v>1055020184</v>
      </c>
      <c r="R155" s="2">
        <v>1198023703</v>
      </c>
      <c r="S155" s="2">
        <v>1319108130</v>
      </c>
      <c r="T155" s="2">
        <v>1508141713</v>
      </c>
      <c r="U155" s="2">
        <v>66426.490000000005</v>
      </c>
      <c r="V155" t="str">
        <f t="shared" si="6"/>
        <v>21014</v>
      </c>
      <c r="W155" s="2">
        <v>394385.43</v>
      </c>
      <c r="X155" s="1">
        <v>57647.11</v>
      </c>
      <c r="Y155" s="1">
        <v>7574.0500000000029</v>
      </c>
      <c r="Z155" s="1">
        <v>93039.72</v>
      </c>
    </row>
    <row r="156" spans="1:26" x14ac:dyDescent="0.25">
      <c r="A156" t="s">
        <v>335</v>
      </c>
      <c r="B156" t="s">
        <v>336</v>
      </c>
      <c r="C156" s="1"/>
      <c r="D156" s="1"/>
      <c r="E156" s="1"/>
      <c r="F156" s="1"/>
      <c r="G156" s="2"/>
      <c r="H156" s="2">
        <f>VLOOKUP(A156,VAL!$A$3:$F$298,3,FALSE)</f>
        <v>450000</v>
      </c>
      <c r="I156" s="2">
        <v>450000</v>
      </c>
      <c r="J156" s="2">
        <v>274859777</v>
      </c>
      <c r="K156" s="2">
        <v>331616148</v>
      </c>
      <c r="L156" s="2">
        <v>331694600</v>
      </c>
      <c r="M156" s="2">
        <v>351979504</v>
      </c>
      <c r="N156" s="2">
        <v>441599494</v>
      </c>
      <c r="O156" s="2">
        <v>423341353</v>
      </c>
      <c r="P156" s="2">
        <v>464024252</v>
      </c>
      <c r="Q156" s="2">
        <v>505474969</v>
      </c>
      <c r="R156" s="2">
        <v>553892790</v>
      </c>
      <c r="S156" s="2">
        <v>613138366</v>
      </c>
      <c r="T156" s="2">
        <v>661637682</v>
      </c>
      <c r="U156" s="2">
        <v>0</v>
      </c>
      <c r="V156" t="str">
        <f t="shared" si="6"/>
        <v>25155</v>
      </c>
      <c r="W156" s="2">
        <v>274330.2</v>
      </c>
      <c r="X156" s="1">
        <v>0</v>
      </c>
      <c r="Y156" s="1">
        <v>0</v>
      </c>
      <c r="Z156" s="1">
        <v>11250.65</v>
      </c>
    </row>
    <row r="157" spans="1:26" x14ac:dyDescent="0.25">
      <c r="A157" t="s">
        <v>313</v>
      </c>
      <c r="B157" t="s">
        <v>314</v>
      </c>
      <c r="C157" s="1"/>
      <c r="D157" s="1"/>
      <c r="E157" s="1"/>
      <c r="F157" s="1"/>
      <c r="G157" s="2"/>
      <c r="H157" s="2">
        <f>VLOOKUP(A157,VAL!$A$3:$F$298,3,FALSE)</f>
        <v>36000</v>
      </c>
      <c r="I157" s="2">
        <v>36000</v>
      </c>
      <c r="J157" s="2">
        <v>15067676</v>
      </c>
      <c r="K157" s="2">
        <v>15336803</v>
      </c>
      <c r="L157" s="2">
        <v>15567689</v>
      </c>
      <c r="M157" s="2">
        <v>15291797</v>
      </c>
      <c r="N157" s="2">
        <v>17879590</v>
      </c>
      <c r="O157" s="2">
        <v>15664379</v>
      </c>
      <c r="P157" s="2">
        <v>15558787</v>
      </c>
      <c r="Q157" s="2">
        <v>15753786</v>
      </c>
      <c r="R157" s="2">
        <v>15294494</v>
      </c>
      <c r="S157" s="2">
        <v>15008776</v>
      </c>
      <c r="T157" s="2">
        <v>14881857</v>
      </c>
      <c r="U157" s="2">
        <v>77574.41</v>
      </c>
      <c r="V157" t="str">
        <f t="shared" si="6"/>
        <v>24014</v>
      </c>
      <c r="W157" s="2">
        <v>17056.8</v>
      </c>
      <c r="X157" s="1">
        <v>28316.5</v>
      </c>
      <c r="Y157" s="1">
        <v>3720.4000000000015</v>
      </c>
      <c r="Z157" s="1">
        <v>0</v>
      </c>
    </row>
    <row r="158" spans="1:26" x14ac:dyDescent="0.25">
      <c r="A158" t="s">
        <v>341</v>
      </c>
      <c r="B158" t="s">
        <v>342</v>
      </c>
      <c r="C158" s="1"/>
      <c r="D158" s="1"/>
      <c r="E158" s="1"/>
      <c r="F158" s="1"/>
      <c r="G158" s="2"/>
      <c r="H158" s="2">
        <f>VLOOKUP(A158,VAL!$A$3:$F$298,3,FALSE)</f>
        <v>1760445</v>
      </c>
      <c r="I158" s="2">
        <v>1760445</v>
      </c>
      <c r="J158" s="2">
        <v>865545407</v>
      </c>
      <c r="K158" s="2">
        <v>936150196</v>
      </c>
      <c r="L158" s="2">
        <v>1042968351</v>
      </c>
      <c r="M158" s="2">
        <v>1172206623</v>
      </c>
      <c r="N158" s="2">
        <v>1329800697</v>
      </c>
      <c r="O158" s="2">
        <v>1359222371</v>
      </c>
      <c r="P158" s="2">
        <v>1420390590</v>
      </c>
      <c r="Q158" s="2">
        <v>1529067686</v>
      </c>
      <c r="R158" s="2">
        <v>1651583376</v>
      </c>
      <c r="S158" s="2">
        <v>1717706919</v>
      </c>
      <c r="T158" s="2">
        <v>1824076330</v>
      </c>
      <c r="U158" s="2">
        <v>0</v>
      </c>
      <c r="V158" t="str">
        <f t="shared" si="6"/>
        <v>26056</v>
      </c>
      <c r="W158" s="2">
        <v>761245.46</v>
      </c>
      <c r="X158" s="1">
        <v>36041.99</v>
      </c>
      <c r="Y158" s="1">
        <v>4735.43</v>
      </c>
      <c r="Z158" s="1">
        <v>71857.990000000005</v>
      </c>
    </row>
    <row r="159" spans="1:26" x14ac:dyDescent="0.25">
      <c r="A159" t="s">
        <v>441</v>
      </c>
      <c r="B159" t="s">
        <v>442</v>
      </c>
      <c r="C159" s="1"/>
      <c r="D159" s="1"/>
      <c r="E159" s="1"/>
      <c r="F159" s="1"/>
      <c r="G159" s="2"/>
      <c r="H159" s="2">
        <f>VLOOKUP(A159,VAL!$A$3:$F$298,3,FALSE)</f>
        <v>1785000</v>
      </c>
      <c r="I159" s="2">
        <v>1785000</v>
      </c>
      <c r="J159" s="2">
        <v>1025848345.3</v>
      </c>
      <c r="K159" s="2">
        <v>1173083252</v>
      </c>
      <c r="L159" s="2">
        <v>1262478049</v>
      </c>
      <c r="M159" s="2">
        <v>1384092038</v>
      </c>
      <c r="N159" s="2">
        <v>1735882831</v>
      </c>
      <c r="O159" s="2">
        <v>1730948220</v>
      </c>
      <c r="P159" s="2">
        <v>1892621559</v>
      </c>
      <c r="Q159" s="2">
        <v>2002195644</v>
      </c>
      <c r="R159" s="2">
        <v>2142696652</v>
      </c>
      <c r="S159" s="2">
        <v>2334717012</v>
      </c>
      <c r="T159" s="2">
        <v>2462657872</v>
      </c>
      <c r="U159" s="2">
        <v>46856.24</v>
      </c>
      <c r="V159" t="str">
        <f t="shared" si="6"/>
        <v>32325</v>
      </c>
      <c r="W159" s="2">
        <v>1599335.59</v>
      </c>
      <c r="X159" s="1">
        <v>17038.96</v>
      </c>
      <c r="Y159" s="1">
        <v>2238.6900000000023</v>
      </c>
      <c r="Z159" s="1">
        <v>135737.19</v>
      </c>
    </row>
    <row r="160" spans="1:26" x14ac:dyDescent="0.25">
      <c r="A160" t="s">
        <v>529</v>
      </c>
      <c r="B160" t="s">
        <v>530</v>
      </c>
      <c r="C160" s="1"/>
      <c r="D160" s="1"/>
      <c r="E160" s="1"/>
      <c r="F160" s="1"/>
      <c r="G160" s="2"/>
      <c r="H160" s="2">
        <f>VLOOKUP(A160,VAL!$A$3:$F$298,3,FALSE)</f>
        <v>3900000</v>
      </c>
      <c r="I160" s="2">
        <v>3900000</v>
      </c>
      <c r="J160" s="2">
        <v>1114861697</v>
      </c>
      <c r="K160" s="2">
        <v>1172551436</v>
      </c>
      <c r="L160" s="2">
        <v>1249291659</v>
      </c>
      <c r="M160" s="2">
        <v>1473095716</v>
      </c>
      <c r="N160" s="2">
        <v>1787219233</v>
      </c>
      <c r="O160" s="2">
        <v>1834183012</v>
      </c>
      <c r="P160" s="2">
        <v>2082100304</v>
      </c>
      <c r="Q160" s="2">
        <v>2327777864</v>
      </c>
      <c r="R160" s="2">
        <v>2652865998</v>
      </c>
      <c r="S160" s="2">
        <v>2947959959</v>
      </c>
      <c r="T160" s="2">
        <v>3241055905</v>
      </c>
      <c r="U160" s="2">
        <v>253484.15</v>
      </c>
      <c r="V160" t="str">
        <f t="shared" si="6"/>
        <v>37506</v>
      </c>
      <c r="W160" s="2">
        <v>1131616.81</v>
      </c>
      <c r="X160" s="1">
        <v>144812</v>
      </c>
      <c r="Y160" s="1">
        <v>19026.329999999987</v>
      </c>
      <c r="Z160" s="1">
        <v>277670.44</v>
      </c>
    </row>
    <row r="161" spans="1:26" x14ac:dyDescent="0.25">
      <c r="A161" t="s">
        <v>140</v>
      </c>
      <c r="B161" t="s">
        <v>141</v>
      </c>
      <c r="C161" s="1"/>
      <c r="D161" s="1"/>
      <c r="E161" s="1"/>
      <c r="F161" s="1"/>
      <c r="G161" s="2"/>
      <c r="H161" s="2">
        <f>VLOOKUP(A161,VAL!$A$3:$F$298,3,FALSE)</f>
        <v>1900742</v>
      </c>
      <c r="I161" s="2">
        <v>1900742</v>
      </c>
      <c r="J161" s="2">
        <v>1750484413</v>
      </c>
      <c r="K161" s="2">
        <v>1968394044</v>
      </c>
      <c r="L161" s="2">
        <v>2180710112</v>
      </c>
      <c r="M161" s="2">
        <v>2600233944</v>
      </c>
      <c r="N161" s="2">
        <v>3603558564</v>
      </c>
      <c r="O161" s="2">
        <v>3284806573</v>
      </c>
      <c r="P161" s="2">
        <v>3642265073</v>
      </c>
      <c r="Q161" s="2">
        <v>4008523216</v>
      </c>
      <c r="R161" s="2">
        <v>4559236125</v>
      </c>
      <c r="S161" s="2">
        <v>5093760627</v>
      </c>
      <c r="T161" s="2">
        <v>5572067617</v>
      </c>
      <c r="U161" s="2">
        <v>0</v>
      </c>
      <c r="V161" t="str">
        <f t="shared" si="6"/>
        <v>14064</v>
      </c>
      <c r="W161" s="2">
        <v>954943.88</v>
      </c>
      <c r="X161" s="1">
        <v>0</v>
      </c>
      <c r="Y161" s="1">
        <v>0</v>
      </c>
      <c r="Z161" s="1">
        <v>0</v>
      </c>
    </row>
    <row r="162" spans="1:26" x14ac:dyDescent="0.25">
      <c r="A162" t="s">
        <v>108</v>
      </c>
      <c r="B162" t="s">
        <v>109</v>
      </c>
      <c r="C162" s="1"/>
      <c r="D162" s="1"/>
      <c r="E162" s="1"/>
      <c r="F162" s="1"/>
      <c r="G162" s="2"/>
      <c r="H162" s="2">
        <f>VLOOKUP(A162,VAL!$A$3:$F$298,3,FALSE)</f>
        <v>1850000</v>
      </c>
      <c r="I162" s="2">
        <v>1850000</v>
      </c>
      <c r="J162" s="2">
        <v>1167115472</v>
      </c>
      <c r="K162" s="2">
        <v>1223371020</v>
      </c>
      <c r="L162" s="2">
        <v>1212439555</v>
      </c>
      <c r="M162" s="2">
        <v>1281247392</v>
      </c>
      <c r="N162" s="2">
        <v>1458413306</v>
      </c>
      <c r="O162" s="2">
        <v>1474050448</v>
      </c>
      <c r="P162" s="2">
        <v>1575996802</v>
      </c>
      <c r="Q162" s="2">
        <v>1712399962</v>
      </c>
      <c r="R162" s="2">
        <v>1859394953</v>
      </c>
      <c r="S162" s="2">
        <v>1888349654</v>
      </c>
      <c r="T162" s="2">
        <v>1955825715</v>
      </c>
      <c r="U162" s="2">
        <v>423949.95</v>
      </c>
      <c r="V162" t="str">
        <f t="shared" si="6"/>
        <v>11051</v>
      </c>
      <c r="W162" s="2">
        <v>952338</v>
      </c>
      <c r="X162" s="1">
        <v>43863.06</v>
      </c>
      <c r="Y162" s="1">
        <v>5763.010000000002</v>
      </c>
      <c r="Z162" s="1">
        <v>102307.34</v>
      </c>
    </row>
    <row r="163" spans="1:26" x14ac:dyDescent="0.25">
      <c r="A163" t="s">
        <v>219</v>
      </c>
      <c r="B163" t="s">
        <v>220</v>
      </c>
      <c r="C163" s="1"/>
      <c r="D163" s="1"/>
      <c r="E163" s="1"/>
      <c r="F163" s="1"/>
      <c r="G163" s="2"/>
      <c r="H163" s="2">
        <f>VLOOKUP(A163,VAL!$A$3:$F$298,3,FALSE)</f>
        <v>11405613</v>
      </c>
      <c r="I163" s="2">
        <v>11405613</v>
      </c>
      <c r="J163" s="2">
        <v>8149679356.5</v>
      </c>
      <c r="K163" s="2">
        <v>8924286558</v>
      </c>
      <c r="L163" s="2">
        <v>9409816891</v>
      </c>
      <c r="M163" s="2">
        <v>10664684738</v>
      </c>
      <c r="N163" s="2">
        <v>12834595933</v>
      </c>
      <c r="O163" s="2">
        <v>13268564151</v>
      </c>
      <c r="P163" s="2">
        <v>14567941040</v>
      </c>
      <c r="Q163" s="2">
        <v>15955401696</v>
      </c>
      <c r="R163" s="2">
        <v>18043025236</v>
      </c>
      <c r="S163" s="2">
        <v>20435369802</v>
      </c>
      <c r="T163" s="2">
        <v>22418532897</v>
      </c>
      <c r="U163" s="2">
        <v>0</v>
      </c>
      <c r="V163" t="str">
        <f t="shared" si="6"/>
        <v>18400</v>
      </c>
      <c r="W163" s="2">
        <v>6259911.46</v>
      </c>
      <c r="X163" s="1">
        <v>0</v>
      </c>
      <c r="Y163" s="1">
        <v>0</v>
      </c>
      <c r="Z163" s="1">
        <v>0</v>
      </c>
    </row>
    <row r="164" spans="1:26" x14ac:dyDescent="0.25">
      <c r="A164" t="s">
        <v>309</v>
      </c>
      <c r="B164" t="s">
        <v>310</v>
      </c>
      <c r="C164" s="1"/>
      <c r="D164" s="1"/>
      <c r="E164" s="1"/>
      <c r="F164" s="1"/>
      <c r="G164" s="2"/>
      <c r="H164" s="2">
        <f>VLOOKUP(A164,VAL!$A$3:$F$298,3,FALSE)</f>
        <v>4654330</v>
      </c>
      <c r="I164" s="2">
        <v>4654330</v>
      </c>
      <c r="J164" s="2">
        <v>2337403830.0747404</v>
      </c>
      <c r="K164" s="2">
        <v>2491452770</v>
      </c>
      <c r="L164" s="2">
        <v>2699999486</v>
      </c>
      <c r="M164" s="2">
        <v>3079727404</v>
      </c>
      <c r="N164" s="2">
        <v>3463001762</v>
      </c>
      <c r="O164" s="2">
        <v>3847890060</v>
      </c>
      <c r="P164" s="2">
        <v>4186137182</v>
      </c>
      <c r="Q164" s="2">
        <v>4660431011</v>
      </c>
      <c r="R164" s="2">
        <v>5188490862</v>
      </c>
      <c r="S164" s="2">
        <v>5590503207</v>
      </c>
      <c r="T164" s="2">
        <v>6180508393</v>
      </c>
      <c r="U164" s="2">
        <v>0</v>
      </c>
      <c r="V164" t="str">
        <f t="shared" si="6"/>
        <v>23403</v>
      </c>
      <c r="W164" s="2">
        <v>1815187.03</v>
      </c>
      <c r="X164" s="1">
        <v>0</v>
      </c>
      <c r="Y164" s="1">
        <v>0</v>
      </c>
      <c r="Z164" s="1">
        <v>0</v>
      </c>
    </row>
    <row r="165" spans="1:26" x14ac:dyDescent="0.25">
      <c r="A165" t="s">
        <v>339</v>
      </c>
      <c r="B165" t="s">
        <v>340</v>
      </c>
      <c r="C165" s="1"/>
      <c r="D165" s="1"/>
      <c r="E165" s="1"/>
      <c r="F165" s="1"/>
      <c r="G165" s="2"/>
      <c r="H165" s="2">
        <f>VLOOKUP(A165,VAL!$A$3:$F$298,3,FALSE)</f>
        <v>0</v>
      </c>
      <c r="I165" s="2">
        <v>0</v>
      </c>
      <c r="J165" s="2">
        <v>57809451</v>
      </c>
      <c r="K165" s="2">
        <v>69145167</v>
      </c>
      <c r="L165" s="2">
        <v>64990112</v>
      </c>
      <c r="M165" s="2">
        <v>66886272</v>
      </c>
      <c r="N165" s="2">
        <v>88627219</v>
      </c>
      <c r="O165" s="2">
        <v>71190682</v>
      </c>
      <c r="P165" s="2">
        <v>73336151</v>
      </c>
      <c r="Q165" s="2">
        <v>75477315</v>
      </c>
      <c r="R165" s="2">
        <v>77412347</v>
      </c>
      <c r="S165" s="2">
        <v>80667039</v>
      </c>
      <c r="T165" s="2">
        <v>82870921</v>
      </c>
      <c r="U165" s="2">
        <v>0</v>
      </c>
      <c r="V165" t="str">
        <f t="shared" si="6"/>
        <v>25200</v>
      </c>
      <c r="W165" s="2">
        <v>0</v>
      </c>
      <c r="X165" s="1">
        <v>0</v>
      </c>
      <c r="Y165" s="1">
        <v>0</v>
      </c>
      <c r="Z165" s="1">
        <v>0</v>
      </c>
    </row>
    <row r="166" spans="1:26" x14ac:dyDescent="0.25">
      <c r="A166" t="s">
        <v>489</v>
      </c>
      <c r="B166" t="s">
        <v>490</v>
      </c>
      <c r="C166" s="1"/>
      <c r="D166" s="1"/>
      <c r="E166" s="1"/>
      <c r="F166" s="1"/>
      <c r="G166" s="2"/>
      <c r="H166" s="2">
        <f>VLOOKUP(A166,VAL!$A$3:$F$298,3,FALSE)</f>
        <v>42000000</v>
      </c>
      <c r="I166" s="2">
        <v>42000000</v>
      </c>
      <c r="J166" s="2">
        <v>12845670366</v>
      </c>
      <c r="K166" s="2">
        <v>14212466731</v>
      </c>
      <c r="L166" s="2">
        <v>15223522896</v>
      </c>
      <c r="M166" s="2">
        <v>17608133967</v>
      </c>
      <c r="N166" s="2">
        <v>22936937172</v>
      </c>
      <c r="O166" s="2">
        <v>22341762936</v>
      </c>
      <c r="P166" s="2">
        <v>25022514468</v>
      </c>
      <c r="Q166" s="2">
        <v>27622349073</v>
      </c>
      <c r="R166" s="2">
        <v>30766319269</v>
      </c>
      <c r="S166" s="2">
        <v>35021998891</v>
      </c>
      <c r="T166" s="2">
        <v>39298266965</v>
      </c>
      <c r="U166" s="2">
        <v>0</v>
      </c>
      <c r="V166" t="str">
        <f t="shared" si="6"/>
        <v>34003</v>
      </c>
      <c r="W166" s="2">
        <v>19807551.489999998</v>
      </c>
      <c r="X166" s="1">
        <v>0</v>
      </c>
      <c r="Y166" s="1">
        <v>0</v>
      </c>
      <c r="Z166" s="1">
        <v>184795.56</v>
      </c>
    </row>
    <row r="167" spans="1:26" x14ac:dyDescent="0.25">
      <c r="A167" t="s">
        <v>483</v>
      </c>
      <c r="B167" t="s">
        <v>484</v>
      </c>
      <c r="C167" s="1"/>
      <c r="D167" s="1"/>
      <c r="E167" s="1"/>
      <c r="F167" s="1"/>
      <c r="G167" s="2"/>
      <c r="H167" s="2">
        <f>VLOOKUP(A167,VAL!$A$3:$F$298,3,FALSE)</f>
        <v>300000</v>
      </c>
      <c r="I167" s="2">
        <v>300000</v>
      </c>
      <c r="J167" s="2">
        <v>200567924.90000001</v>
      </c>
      <c r="K167" s="2">
        <v>207249501</v>
      </c>
      <c r="L167" s="2">
        <v>219430313</v>
      </c>
      <c r="M167" s="2">
        <v>248182252</v>
      </c>
      <c r="N167" s="2">
        <v>267276064</v>
      </c>
      <c r="O167" s="2">
        <v>286661757</v>
      </c>
      <c r="P167" s="2">
        <v>305463862</v>
      </c>
      <c r="Q167" s="2">
        <v>326997424</v>
      </c>
      <c r="R167" s="2">
        <v>353042620</v>
      </c>
      <c r="S167" s="2">
        <v>382395330</v>
      </c>
      <c r="T167" s="2">
        <v>403244400</v>
      </c>
      <c r="U167" s="2">
        <v>20103.400000000001</v>
      </c>
      <c r="V167" t="str">
        <f t="shared" si="6"/>
        <v>33211</v>
      </c>
      <c r="W167" s="2">
        <v>177675</v>
      </c>
      <c r="X167" s="1">
        <v>0</v>
      </c>
      <c r="Y167" s="1">
        <v>0</v>
      </c>
      <c r="Z167" s="1">
        <v>19543.8</v>
      </c>
    </row>
    <row r="168" spans="1:26" x14ac:dyDescent="0.25">
      <c r="A168" t="s">
        <v>213</v>
      </c>
      <c r="B168" t="s">
        <v>214</v>
      </c>
      <c r="C168" s="1"/>
      <c r="D168" s="1"/>
      <c r="E168" s="1"/>
      <c r="F168" s="1"/>
      <c r="G168" s="2"/>
      <c r="H168" s="2">
        <f>VLOOKUP(A168,VAL!$A$3:$F$298,3,FALSE)</f>
        <v>57000000</v>
      </c>
      <c r="I168" s="2">
        <v>57000000</v>
      </c>
      <c r="J168" s="2">
        <v>33766436291</v>
      </c>
      <c r="K168" s="2">
        <v>37043463030</v>
      </c>
      <c r="L168" s="2">
        <v>37498000512</v>
      </c>
      <c r="M168" s="2">
        <v>42660340354</v>
      </c>
      <c r="N168" s="2">
        <v>56911997514</v>
      </c>
      <c r="O168" s="2">
        <v>56782339959</v>
      </c>
      <c r="P168" s="2">
        <v>60600362687</v>
      </c>
      <c r="Q168" s="2">
        <v>64495328479</v>
      </c>
      <c r="R168" s="2">
        <v>68012574441</v>
      </c>
      <c r="S168" s="2">
        <v>72631451162</v>
      </c>
      <c r="T168" s="2">
        <v>77031805017</v>
      </c>
      <c r="U168" s="2">
        <v>0</v>
      </c>
      <c r="V168" t="str">
        <f t="shared" si="6"/>
        <v>17417</v>
      </c>
      <c r="W168" s="2">
        <v>28428000</v>
      </c>
      <c r="X168" s="1">
        <v>0</v>
      </c>
      <c r="Y168" s="1">
        <v>0</v>
      </c>
      <c r="Z168" s="1">
        <v>0</v>
      </c>
    </row>
    <row r="169" spans="1:26" x14ac:dyDescent="0.25">
      <c r="A169" t="s">
        <v>162</v>
      </c>
      <c r="B169" t="s">
        <v>163</v>
      </c>
      <c r="C169" s="1"/>
      <c r="D169" s="1"/>
      <c r="E169" s="1"/>
      <c r="F169" s="1"/>
      <c r="G169" s="2"/>
      <c r="H169" s="2">
        <f>VLOOKUP(A169,VAL!$A$3:$F$298,3,FALSE)</f>
        <v>10000000</v>
      </c>
      <c r="I169" s="2">
        <v>5771738</v>
      </c>
      <c r="J169" s="2">
        <v>4222038105.9200001</v>
      </c>
      <c r="K169" s="2">
        <v>4589403623</v>
      </c>
      <c r="L169" s="2">
        <v>4739082200</v>
      </c>
      <c r="M169" s="2">
        <v>5135022145</v>
      </c>
      <c r="N169" s="2">
        <v>6184991445</v>
      </c>
      <c r="O169" s="2">
        <v>6055407996</v>
      </c>
      <c r="P169" s="2">
        <v>6464026434</v>
      </c>
      <c r="Q169" s="2">
        <v>6840205465</v>
      </c>
      <c r="R169" s="2">
        <v>7341660928</v>
      </c>
      <c r="S169" s="2">
        <v>7843263487</v>
      </c>
      <c r="T169" s="2">
        <v>8341389004</v>
      </c>
      <c r="U169" s="2">
        <v>451199.18</v>
      </c>
      <c r="V169" t="str">
        <f t="shared" si="6"/>
        <v>15201</v>
      </c>
      <c r="W169" s="2">
        <v>5401320</v>
      </c>
      <c r="X169" s="1">
        <v>618859.57999999996</v>
      </c>
      <c r="Y169" s="1">
        <v>81309.760000000009</v>
      </c>
      <c r="Z169" s="1">
        <v>414747.13</v>
      </c>
    </row>
    <row r="170" spans="1:26" x14ac:dyDescent="0.25">
      <c r="A170" t="s">
        <v>557</v>
      </c>
      <c r="B170" t="s">
        <v>558</v>
      </c>
      <c r="C170" s="1"/>
      <c r="D170" s="1"/>
      <c r="E170" s="1"/>
      <c r="F170" s="1"/>
      <c r="G170" s="2"/>
      <c r="H170" s="2">
        <f>VLOOKUP(A170,VAL!$A$3:$F$298,3,FALSE)</f>
        <v>676000</v>
      </c>
      <c r="I170" s="2">
        <v>676000</v>
      </c>
      <c r="J170" s="2">
        <v>173194279</v>
      </c>
      <c r="K170" s="2">
        <v>170590874</v>
      </c>
      <c r="L170" s="2">
        <v>177880250</v>
      </c>
      <c r="M170" s="2">
        <v>177919765</v>
      </c>
      <c r="N170" s="2">
        <v>178728717</v>
      </c>
      <c r="O170" s="2">
        <v>183203169</v>
      </c>
      <c r="P170" s="2">
        <v>185344378</v>
      </c>
      <c r="Q170" s="2">
        <v>187358251</v>
      </c>
      <c r="R170" s="2">
        <v>185030981</v>
      </c>
      <c r="S170" s="2">
        <v>189720602</v>
      </c>
      <c r="T170" s="2">
        <v>200760591</v>
      </c>
      <c r="U170" s="2">
        <v>0</v>
      </c>
      <c r="V170" t="str">
        <f t="shared" si="6"/>
        <v>38324</v>
      </c>
      <c r="W170" s="2">
        <v>183721.16</v>
      </c>
      <c r="X170" s="1">
        <v>0</v>
      </c>
      <c r="Y170" s="1">
        <v>0</v>
      </c>
      <c r="Z170" s="1">
        <v>340.16</v>
      </c>
    </row>
    <row r="171" spans="1:26" x14ac:dyDescent="0.25">
      <c r="A171" t="s">
        <v>160</v>
      </c>
      <c r="B171" t="s">
        <v>161</v>
      </c>
      <c r="C171" s="1"/>
      <c r="D171" s="1"/>
      <c r="E171" s="1"/>
      <c r="F171" s="1"/>
      <c r="G171" s="2"/>
      <c r="H171" s="2">
        <f>VLOOKUP(A171,VAL!$A$3:$F$298,3,FALSE)</f>
        <v>384200</v>
      </c>
      <c r="I171" s="2">
        <v>384200</v>
      </c>
      <c r="J171" s="2">
        <v>179997117</v>
      </c>
      <c r="K171" s="2">
        <v>202136205</v>
      </c>
      <c r="L171" s="2">
        <v>221739646</v>
      </c>
      <c r="M171" s="2">
        <v>244074117</v>
      </c>
      <c r="N171" s="2">
        <v>308938715</v>
      </c>
      <c r="O171" s="2">
        <v>298231596</v>
      </c>
      <c r="P171" s="2">
        <v>327558777</v>
      </c>
      <c r="Q171" s="2">
        <v>362173731</v>
      </c>
      <c r="R171" s="2">
        <v>400028017</v>
      </c>
      <c r="S171" s="2">
        <v>454071964</v>
      </c>
      <c r="T171" s="2">
        <v>497150926</v>
      </c>
      <c r="U171" s="2">
        <v>33538.089999999997</v>
      </c>
      <c r="V171" t="str">
        <f t="shared" si="6"/>
        <v>14400</v>
      </c>
      <c r="W171" s="2">
        <v>189520</v>
      </c>
      <c r="X171" s="1">
        <v>0</v>
      </c>
      <c r="Y171" s="1">
        <v>0</v>
      </c>
      <c r="Z171" s="1">
        <v>28570.68</v>
      </c>
    </row>
    <row r="172" spans="1:26" x14ac:dyDescent="0.25">
      <c r="A172" t="s">
        <v>329</v>
      </c>
      <c r="B172" t="s">
        <v>330</v>
      </c>
      <c r="C172" s="1"/>
      <c r="D172" s="1"/>
      <c r="E172" s="1"/>
      <c r="F172" s="1"/>
      <c r="G172" s="2"/>
      <c r="H172" s="2">
        <f>VLOOKUP(A172,VAL!$A$3:$F$298,3,FALSE)</f>
        <v>3370370</v>
      </c>
      <c r="I172" s="2">
        <v>3370370</v>
      </c>
      <c r="J172" s="2">
        <v>1832541714</v>
      </c>
      <c r="K172" s="2">
        <v>2014837251</v>
      </c>
      <c r="L172" s="2">
        <v>2194637400</v>
      </c>
      <c r="M172" s="2">
        <v>2459643625</v>
      </c>
      <c r="N172" s="2">
        <v>3322204434</v>
      </c>
      <c r="O172" s="2">
        <v>2976944773</v>
      </c>
      <c r="P172" s="2">
        <v>3316104585</v>
      </c>
      <c r="Q172" s="2">
        <v>3597788567</v>
      </c>
      <c r="R172" s="2">
        <v>3922629111</v>
      </c>
      <c r="S172" s="2">
        <v>4371043422</v>
      </c>
      <c r="T172" s="2">
        <v>4712240768</v>
      </c>
      <c r="U172" s="2">
        <v>0</v>
      </c>
      <c r="V172" t="str">
        <f t="shared" si="6"/>
        <v>25101</v>
      </c>
      <c r="W172" s="2">
        <v>1316670.3</v>
      </c>
      <c r="X172" s="1">
        <v>0</v>
      </c>
      <c r="Y172" s="1">
        <v>0</v>
      </c>
      <c r="Z172" s="1">
        <v>0</v>
      </c>
    </row>
    <row r="173" spans="1:26" x14ac:dyDescent="0.25">
      <c r="A173" t="s">
        <v>158</v>
      </c>
      <c r="B173" t="s">
        <v>159</v>
      </c>
      <c r="C173" s="1"/>
      <c r="D173" s="1"/>
      <c r="E173" s="1"/>
      <c r="F173" s="1"/>
      <c r="G173" s="2"/>
      <c r="H173" s="2">
        <f>VLOOKUP(A173,VAL!$A$3:$F$298,3,FALSE)</f>
        <v>2000000</v>
      </c>
      <c r="I173" s="2">
        <v>2000000</v>
      </c>
      <c r="J173" s="2">
        <v>762412505</v>
      </c>
      <c r="K173" s="2">
        <v>823319432</v>
      </c>
      <c r="L173" s="2">
        <v>896385145</v>
      </c>
      <c r="M173" s="2">
        <v>983867082</v>
      </c>
      <c r="N173" s="2">
        <v>1283176525</v>
      </c>
      <c r="O173" s="2">
        <v>1136038076</v>
      </c>
      <c r="P173" s="2">
        <v>1211931560</v>
      </c>
      <c r="Q173" s="2">
        <v>1277246422</v>
      </c>
      <c r="R173" s="2">
        <v>1365520403</v>
      </c>
      <c r="S173" s="2">
        <v>1485861359</v>
      </c>
      <c r="T173" s="2">
        <v>1568956509</v>
      </c>
      <c r="U173" s="2">
        <v>0</v>
      </c>
      <c r="V173" t="str">
        <f t="shared" si="6"/>
        <v>14172</v>
      </c>
      <c r="W173" s="2">
        <v>778877.45</v>
      </c>
      <c r="X173" s="1">
        <v>0</v>
      </c>
      <c r="Y173" s="1">
        <v>0</v>
      </c>
      <c r="Z173" s="1">
        <v>0</v>
      </c>
    </row>
    <row r="174" spans="1:26" x14ac:dyDescent="0.25">
      <c r="A174" t="s">
        <v>291</v>
      </c>
      <c r="B174" t="s">
        <v>292</v>
      </c>
      <c r="C174" s="1"/>
      <c r="D174" s="1"/>
      <c r="E174" s="1"/>
      <c r="F174" s="1"/>
      <c r="G174" s="2"/>
      <c r="H174" s="2">
        <f>VLOOKUP(A174,VAL!$A$3:$F$298,3,FALSE)</f>
        <v>386000</v>
      </c>
      <c r="I174" s="2">
        <v>386000</v>
      </c>
      <c r="J174" s="2">
        <v>245025611</v>
      </c>
      <c r="K174" s="2">
        <v>259888760</v>
      </c>
      <c r="L174" s="2">
        <v>276851925</v>
      </c>
      <c r="M174" s="2">
        <v>293770622</v>
      </c>
      <c r="N174" s="2">
        <v>317382822</v>
      </c>
      <c r="O174" s="2">
        <v>338898597</v>
      </c>
      <c r="P174" s="2">
        <v>365748820</v>
      </c>
      <c r="Q174" s="2">
        <v>393752322</v>
      </c>
      <c r="R174" s="2">
        <v>415287929</v>
      </c>
      <c r="S174" s="2">
        <v>442995910</v>
      </c>
      <c r="T174" s="2">
        <v>474508020</v>
      </c>
      <c r="U174" s="2">
        <v>0</v>
      </c>
      <c r="V174" t="str">
        <f t="shared" si="6"/>
        <v>22105</v>
      </c>
      <c r="W174" s="2">
        <v>260590</v>
      </c>
      <c r="X174" s="1">
        <v>0</v>
      </c>
      <c r="Y174" s="1">
        <v>0</v>
      </c>
      <c r="Z174" s="1">
        <v>0</v>
      </c>
    </row>
    <row r="175" spans="1:26" x14ac:dyDescent="0.25">
      <c r="A175" t="s">
        <v>317</v>
      </c>
      <c r="B175" t="s">
        <v>318</v>
      </c>
      <c r="C175" s="1"/>
      <c r="D175" s="1"/>
      <c r="E175" s="1"/>
      <c r="F175" s="1"/>
      <c r="G175" s="2"/>
      <c r="H175" s="2">
        <f>VLOOKUP(A175,VAL!$A$3:$F$298,3,FALSE)</f>
        <v>919590</v>
      </c>
      <c r="I175" s="2">
        <v>919590</v>
      </c>
      <c r="J175" s="2">
        <v>333510052</v>
      </c>
      <c r="K175" s="2">
        <v>339914571</v>
      </c>
      <c r="L175" s="2">
        <v>362392824</v>
      </c>
      <c r="M175" s="2">
        <v>384101800</v>
      </c>
      <c r="N175" s="2">
        <v>439025199</v>
      </c>
      <c r="O175" s="2">
        <v>439445909</v>
      </c>
      <c r="P175" s="2">
        <v>476630649</v>
      </c>
      <c r="Q175" s="2">
        <v>504255091</v>
      </c>
      <c r="R175" s="2">
        <v>539954025</v>
      </c>
      <c r="S175" s="2">
        <v>561299133</v>
      </c>
      <c r="T175" s="2">
        <v>593503026</v>
      </c>
      <c r="U175" s="2">
        <v>351289.41</v>
      </c>
      <c r="V175" t="str">
        <f t="shared" si="6"/>
        <v>24105</v>
      </c>
      <c r="W175" s="2">
        <v>319769.52</v>
      </c>
      <c r="X175" s="1">
        <v>161366.59</v>
      </c>
      <c r="Y175" s="1">
        <v>21201.380000000005</v>
      </c>
      <c r="Z175" s="1">
        <v>0</v>
      </c>
    </row>
    <row r="176" spans="1:26" x14ac:dyDescent="0.25">
      <c r="A176" t="s">
        <v>493</v>
      </c>
      <c r="B176" t="s">
        <v>494</v>
      </c>
      <c r="C176" s="1"/>
      <c r="D176" s="1"/>
      <c r="E176" s="1"/>
      <c r="F176" s="1"/>
      <c r="G176" s="2"/>
      <c r="H176" s="2">
        <f>VLOOKUP(A176,VAL!$A$3:$F$298,3,FALSE)</f>
        <v>27100000</v>
      </c>
      <c r="I176" s="2">
        <v>27100000</v>
      </c>
      <c r="J176" s="2">
        <v>9489168970</v>
      </c>
      <c r="K176" s="2">
        <v>10270403604</v>
      </c>
      <c r="L176" s="2">
        <v>10627428582</v>
      </c>
      <c r="M176" s="2">
        <v>12204783572</v>
      </c>
      <c r="N176" s="2">
        <v>15296333549</v>
      </c>
      <c r="O176" s="2">
        <v>14611661383</v>
      </c>
      <c r="P176" s="2">
        <v>15974037890</v>
      </c>
      <c r="Q176" s="2">
        <v>17494363567</v>
      </c>
      <c r="R176" s="2">
        <v>19427513246</v>
      </c>
      <c r="S176" s="2">
        <v>21807544149</v>
      </c>
      <c r="T176" s="2">
        <v>23924672410</v>
      </c>
      <c r="U176" s="2">
        <v>0</v>
      </c>
      <c r="V176" t="str">
        <f t="shared" si="6"/>
        <v>34111</v>
      </c>
      <c r="W176" s="2">
        <v>12754844.890000001</v>
      </c>
      <c r="X176" s="1">
        <v>0</v>
      </c>
      <c r="Y176" s="1">
        <v>0</v>
      </c>
      <c r="Z176" s="1">
        <v>377217.78</v>
      </c>
    </row>
    <row r="177" spans="1:26" x14ac:dyDescent="0.25">
      <c r="A177" t="s">
        <v>315</v>
      </c>
      <c r="B177" t="s">
        <v>316</v>
      </c>
      <c r="C177" s="1"/>
      <c r="D177" s="1"/>
      <c r="E177" s="1"/>
      <c r="F177" s="1"/>
      <c r="G177" s="2"/>
      <c r="H177" s="2">
        <f>VLOOKUP(A177,VAL!$A$3:$F$298,3,FALSE)</f>
        <v>995380</v>
      </c>
      <c r="I177" s="2">
        <v>995380</v>
      </c>
      <c r="J177" s="2">
        <v>671839430</v>
      </c>
      <c r="K177" s="2">
        <v>679410698</v>
      </c>
      <c r="L177" s="2">
        <v>684038169</v>
      </c>
      <c r="M177" s="2">
        <v>796045117</v>
      </c>
      <c r="N177" s="2">
        <v>878441947</v>
      </c>
      <c r="O177" s="2">
        <v>898964755</v>
      </c>
      <c r="P177" s="2">
        <v>971529496</v>
      </c>
      <c r="Q177" s="2">
        <v>1036622875</v>
      </c>
      <c r="R177" s="2">
        <v>1076284587</v>
      </c>
      <c r="S177" s="2">
        <v>1135766190</v>
      </c>
      <c r="T177" s="2">
        <v>1214518888</v>
      </c>
      <c r="U177" s="2">
        <v>3312782.43</v>
      </c>
      <c r="V177" t="str">
        <f t="shared" si="6"/>
        <v>24019</v>
      </c>
      <c r="W177" s="2">
        <v>562626.13</v>
      </c>
      <c r="X177" s="1">
        <v>0</v>
      </c>
      <c r="Y177" s="1">
        <v>0</v>
      </c>
      <c r="Z177" s="1">
        <v>405537.09</v>
      </c>
    </row>
    <row r="178" spans="1:26" x14ac:dyDescent="0.25">
      <c r="A178" t="s">
        <v>273</v>
      </c>
      <c r="B178" t="s">
        <v>274</v>
      </c>
      <c r="C178" s="1"/>
      <c r="D178" s="1"/>
      <c r="E178" s="1"/>
      <c r="F178" s="1"/>
      <c r="G178" s="2"/>
      <c r="H178" s="2">
        <f>VLOOKUP(A178,VAL!$A$3:$F$298,3,FALSE)</f>
        <v>1100000</v>
      </c>
      <c r="I178" s="2">
        <v>1100000</v>
      </c>
      <c r="J178" s="2">
        <v>563770261</v>
      </c>
      <c r="K178" s="2">
        <v>645198108</v>
      </c>
      <c r="L178" s="2">
        <v>690499069</v>
      </c>
      <c r="M178" s="2">
        <v>1047883716</v>
      </c>
      <c r="N178" s="2">
        <v>1317694934</v>
      </c>
      <c r="O178" s="2">
        <v>1326439803</v>
      </c>
      <c r="P178" s="2">
        <v>1470095684</v>
      </c>
      <c r="Q178" s="2">
        <v>1630767778</v>
      </c>
      <c r="R178" s="2">
        <v>1852611242</v>
      </c>
      <c r="S178" s="2">
        <v>2064537712</v>
      </c>
      <c r="T178" s="2">
        <v>2354042198</v>
      </c>
      <c r="U178" s="2">
        <v>0</v>
      </c>
      <c r="V178" t="str">
        <f t="shared" si="6"/>
        <v>21300</v>
      </c>
      <c r="W178" s="2">
        <v>462043.13</v>
      </c>
      <c r="X178" s="1">
        <v>0</v>
      </c>
      <c r="Y178" s="1">
        <v>0</v>
      </c>
      <c r="Z178" s="1">
        <v>85962.99</v>
      </c>
    </row>
    <row r="179" spans="1:26" x14ac:dyDescent="0.25">
      <c r="A179" t="s">
        <v>463</v>
      </c>
      <c r="B179" t="s">
        <v>464</v>
      </c>
      <c r="C179" s="1"/>
      <c r="D179" s="1"/>
      <c r="E179" s="1"/>
      <c r="F179" s="1"/>
      <c r="G179" s="2"/>
      <c r="H179" s="2">
        <f>VLOOKUP(A179,VAL!$A$3:$F$298,3,FALSE)</f>
        <v>45000</v>
      </c>
      <c r="I179" s="2">
        <v>45000</v>
      </c>
      <c r="J179" s="2">
        <v>28309187.539999999</v>
      </c>
      <c r="K179" s="2">
        <v>29396286</v>
      </c>
      <c r="L179" s="2">
        <v>29569919</v>
      </c>
      <c r="M179" s="2">
        <v>34704308</v>
      </c>
      <c r="N179" s="2">
        <v>36851684</v>
      </c>
      <c r="O179" s="2">
        <v>39315599</v>
      </c>
      <c r="P179" s="2">
        <v>41761186</v>
      </c>
      <c r="Q179" s="2">
        <v>43867266</v>
      </c>
      <c r="R179" s="2">
        <v>45808604</v>
      </c>
      <c r="S179" s="2">
        <v>48688697</v>
      </c>
      <c r="T179" s="2">
        <v>50970158</v>
      </c>
      <c r="U179" s="2">
        <v>12632.14</v>
      </c>
      <c r="V179" t="str">
        <f t="shared" si="6"/>
        <v>33030</v>
      </c>
      <c r="W179" s="2">
        <v>36037.230000000003</v>
      </c>
      <c r="X179" s="1">
        <v>0</v>
      </c>
      <c r="Y179" s="1">
        <v>0</v>
      </c>
      <c r="Z179" s="1">
        <v>2943.87</v>
      </c>
    </row>
    <row r="180" spans="1:26" x14ac:dyDescent="0.25">
      <c r="A180" t="s">
        <v>379</v>
      </c>
      <c r="B180" t="s">
        <v>380</v>
      </c>
      <c r="C180" s="1"/>
      <c r="D180" s="1"/>
      <c r="E180" s="1"/>
      <c r="F180" s="1"/>
      <c r="G180" s="2"/>
      <c r="H180" s="2">
        <f>VLOOKUP(A180,VAL!$A$3:$F$298,3,FALSE)</f>
        <v>2225000</v>
      </c>
      <c r="I180" s="2">
        <v>2225000</v>
      </c>
      <c r="J180" s="2">
        <v>2557622562</v>
      </c>
      <c r="K180" s="2">
        <v>2901668343</v>
      </c>
      <c r="L180" s="2">
        <v>2988381885</v>
      </c>
      <c r="M180" s="2">
        <v>3371420700</v>
      </c>
      <c r="N180" s="2">
        <v>4360983523</v>
      </c>
      <c r="O180" s="2">
        <v>4033401533</v>
      </c>
      <c r="P180" s="2">
        <v>4357199168</v>
      </c>
      <c r="Q180" s="2">
        <v>4687356383</v>
      </c>
      <c r="R180" s="2">
        <v>5144879875</v>
      </c>
      <c r="S180" s="2">
        <v>5601249801</v>
      </c>
      <c r="T180" s="2">
        <v>6086137142</v>
      </c>
      <c r="U180" s="2">
        <v>0</v>
      </c>
      <c r="V180" t="str">
        <f t="shared" si="6"/>
        <v>28137</v>
      </c>
      <c r="W180" s="2">
        <v>1026555.45</v>
      </c>
      <c r="X180" s="1">
        <v>0</v>
      </c>
      <c r="Y180" s="1">
        <v>0</v>
      </c>
      <c r="Z180" s="1">
        <v>0</v>
      </c>
    </row>
    <row r="181" spans="1:26" x14ac:dyDescent="0.25">
      <c r="A181" t="s">
        <v>437</v>
      </c>
      <c r="B181" t="s">
        <v>438</v>
      </c>
      <c r="C181" s="1"/>
      <c r="D181" s="1"/>
      <c r="E181" s="1"/>
      <c r="F181" s="1"/>
      <c r="G181" s="2"/>
      <c r="H181" s="2">
        <f>VLOOKUP(A181,VAL!$A$3:$F$298,3,FALSE)</f>
        <v>115000</v>
      </c>
      <c r="I181" s="2">
        <v>115000</v>
      </c>
      <c r="J181" s="2">
        <v>105533406</v>
      </c>
      <c r="K181" s="2">
        <v>112377564</v>
      </c>
      <c r="L181" s="2">
        <v>123911643</v>
      </c>
      <c r="M181" s="2">
        <v>141787654</v>
      </c>
      <c r="N181" s="2">
        <v>179652253</v>
      </c>
      <c r="O181" s="2">
        <v>188003464</v>
      </c>
      <c r="P181" s="2">
        <v>197792757</v>
      </c>
      <c r="Q181" s="2">
        <v>211530952</v>
      </c>
      <c r="R181" s="2">
        <v>221839290</v>
      </c>
      <c r="S181" s="2">
        <v>233567180</v>
      </c>
      <c r="T181" s="2">
        <v>242955929</v>
      </c>
      <c r="U181" s="2">
        <v>0</v>
      </c>
      <c r="V181" t="str">
        <f t="shared" si="6"/>
        <v>32123</v>
      </c>
      <c r="W181" s="2">
        <v>75808</v>
      </c>
      <c r="X181" s="1">
        <v>0</v>
      </c>
      <c r="Y181" s="1">
        <v>0</v>
      </c>
      <c r="Z181" s="1">
        <v>0</v>
      </c>
    </row>
    <row r="182" spans="1:26" x14ac:dyDescent="0.25">
      <c r="A182" t="s">
        <v>100</v>
      </c>
      <c r="B182" t="s">
        <v>101</v>
      </c>
      <c r="C182" s="1"/>
      <c r="D182" s="1"/>
      <c r="E182" s="1"/>
      <c r="F182" s="1"/>
      <c r="G182" s="2"/>
      <c r="H182" s="2">
        <f>VLOOKUP(A182,VAL!$A$3:$F$298,3,FALSE)</f>
        <v>60000</v>
      </c>
      <c r="I182" s="2">
        <v>60000</v>
      </c>
      <c r="J182" s="2">
        <v>123884844.77713674</v>
      </c>
      <c r="K182" s="2">
        <v>138608368</v>
      </c>
      <c r="L182" s="2">
        <v>133945663</v>
      </c>
      <c r="M182" s="2">
        <v>143806831</v>
      </c>
      <c r="N182" s="2">
        <v>166661939</v>
      </c>
      <c r="O182" s="2">
        <v>156633016</v>
      </c>
      <c r="P182" s="2">
        <v>163440089</v>
      </c>
      <c r="Q182" s="2">
        <v>169493759</v>
      </c>
      <c r="R182" s="2">
        <v>176077482</v>
      </c>
      <c r="S182" s="2">
        <v>188634685</v>
      </c>
      <c r="T182" s="2">
        <v>191645235</v>
      </c>
      <c r="U182" s="2">
        <v>0</v>
      </c>
      <c r="V182" t="str">
        <f t="shared" si="6"/>
        <v>10065</v>
      </c>
      <c r="W182" s="2">
        <v>0</v>
      </c>
      <c r="X182" s="1">
        <v>0</v>
      </c>
      <c r="Y182" s="1">
        <v>0</v>
      </c>
      <c r="Z182" s="1">
        <v>0</v>
      </c>
    </row>
    <row r="183" spans="1:26" x14ac:dyDescent="0.25">
      <c r="A183" t="s">
        <v>84</v>
      </c>
      <c r="B183" t="s">
        <v>85</v>
      </c>
      <c r="C183" s="1"/>
      <c r="D183" s="1"/>
      <c r="E183" s="1"/>
      <c r="F183" s="1"/>
      <c r="G183" s="2"/>
      <c r="H183" s="2">
        <f>VLOOKUP(A183,VAL!$A$3:$F$298,3,FALSE)</f>
        <v>584079</v>
      </c>
      <c r="I183" s="2">
        <v>584079</v>
      </c>
      <c r="J183" s="2">
        <v>448841642</v>
      </c>
      <c r="K183" s="2">
        <v>483266840</v>
      </c>
      <c r="L183" s="2">
        <v>502889369</v>
      </c>
      <c r="M183" s="2">
        <v>558749745</v>
      </c>
      <c r="N183" s="2">
        <v>693758894</v>
      </c>
      <c r="O183" s="2">
        <v>708341307</v>
      </c>
      <c r="P183" s="2">
        <v>786886262</v>
      </c>
      <c r="Q183" s="2">
        <v>864248110</v>
      </c>
      <c r="R183" s="2">
        <v>941807607</v>
      </c>
      <c r="S183" s="2">
        <v>1055782373</v>
      </c>
      <c r="T183" s="2">
        <v>1165271865</v>
      </c>
      <c r="U183" s="2">
        <v>0</v>
      </c>
      <c r="V183" t="str">
        <f t="shared" si="6"/>
        <v>09013</v>
      </c>
      <c r="W183" s="2">
        <v>307460.67</v>
      </c>
      <c r="X183" s="1">
        <v>0</v>
      </c>
      <c r="Y183" s="1">
        <v>0</v>
      </c>
      <c r="Z183" s="1">
        <v>0</v>
      </c>
    </row>
    <row r="184" spans="1:26" x14ac:dyDescent="0.25">
      <c r="A184" t="s">
        <v>327</v>
      </c>
      <c r="B184" t="s">
        <v>328</v>
      </c>
      <c r="C184" s="1"/>
      <c r="D184" s="1"/>
      <c r="E184" s="1"/>
      <c r="F184" s="1"/>
      <c r="G184" s="2"/>
      <c r="H184" s="2">
        <f>VLOOKUP(A184,VAL!$A$3:$F$298,3,FALSE)</f>
        <v>1497371</v>
      </c>
      <c r="I184" s="2">
        <v>1497371</v>
      </c>
      <c r="J184" s="2">
        <v>546002312</v>
      </c>
      <c r="K184" s="2">
        <v>532981424</v>
      </c>
      <c r="L184" s="2">
        <v>533828973</v>
      </c>
      <c r="M184" s="2">
        <v>550617827</v>
      </c>
      <c r="N184" s="2">
        <v>632098759</v>
      </c>
      <c r="O184" s="2">
        <v>568683879</v>
      </c>
      <c r="P184" s="2">
        <v>593374776</v>
      </c>
      <c r="Q184" s="2">
        <v>600114457</v>
      </c>
      <c r="R184" s="2">
        <v>608261988</v>
      </c>
      <c r="S184" s="2">
        <v>599752138</v>
      </c>
      <c r="T184" s="2">
        <v>595816743</v>
      </c>
      <c r="U184" s="2">
        <v>19059.330000000002</v>
      </c>
      <c r="V184" t="str">
        <f t="shared" si="6"/>
        <v>24410</v>
      </c>
      <c r="W184" s="2">
        <v>582584.48</v>
      </c>
      <c r="X184" s="1">
        <v>68819.740000000005</v>
      </c>
      <c r="Y184" s="1">
        <v>9041.9799999999959</v>
      </c>
      <c r="Z184" s="1">
        <v>42760.35</v>
      </c>
    </row>
    <row r="185" spans="1:26" x14ac:dyDescent="0.25">
      <c r="A185" t="s">
        <v>361</v>
      </c>
      <c r="B185" t="s">
        <v>362</v>
      </c>
      <c r="C185" s="1"/>
      <c r="D185" s="1"/>
      <c r="E185" s="1"/>
      <c r="F185" s="1"/>
      <c r="G185" s="2"/>
      <c r="H185" s="2">
        <f>VLOOKUP(A185,VAL!$A$3:$F$298,3,FALSE)</f>
        <v>3300000</v>
      </c>
      <c r="I185" s="2">
        <v>3300000</v>
      </c>
      <c r="J185" s="2">
        <v>1633326353</v>
      </c>
      <c r="K185" s="2">
        <v>1798263432</v>
      </c>
      <c r="L185" s="2">
        <v>2097865503</v>
      </c>
      <c r="M185" s="2">
        <v>2627941240</v>
      </c>
      <c r="N185" s="2">
        <v>3306201902</v>
      </c>
      <c r="O185" s="2">
        <v>3539162138</v>
      </c>
      <c r="P185" s="2">
        <v>4017176062</v>
      </c>
      <c r="Q185" s="2">
        <v>4408760511</v>
      </c>
      <c r="R185" s="2">
        <v>4914639246</v>
      </c>
      <c r="S185" s="2">
        <v>5473590209</v>
      </c>
      <c r="T185" s="2">
        <v>6031387057</v>
      </c>
      <c r="U185" s="2">
        <v>91098.18</v>
      </c>
      <c r="V185" t="str">
        <f t="shared" si="6"/>
        <v>27344</v>
      </c>
      <c r="W185" s="2">
        <v>1942580</v>
      </c>
      <c r="X185" s="1">
        <v>0</v>
      </c>
      <c r="Y185" s="1">
        <v>0</v>
      </c>
      <c r="Z185" s="1">
        <v>308105.78000000003</v>
      </c>
    </row>
    <row r="186" spans="1:26" x14ac:dyDescent="0.25">
      <c r="A186" t="s">
        <v>4</v>
      </c>
      <c r="B186" t="s">
        <v>5</v>
      </c>
      <c r="C186" s="1"/>
      <c r="D186" s="1"/>
      <c r="E186" s="1"/>
      <c r="F186" s="1"/>
      <c r="G186" s="2"/>
      <c r="H186" s="2">
        <f>VLOOKUP(A186,VAL!$A$3:$F$298,3,FALSE)</f>
        <v>3200000</v>
      </c>
      <c r="I186" s="2">
        <v>3200000</v>
      </c>
      <c r="J186" s="2">
        <v>1309649703</v>
      </c>
      <c r="K186" s="2">
        <v>1418900891</v>
      </c>
      <c r="L186" s="2">
        <v>1493187121</v>
      </c>
      <c r="M186" s="2">
        <v>1612847469</v>
      </c>
      <c r="N186" s="2">
        <v>2177681099</v>
      </c>
      <c r="O186" s="2">
        <v>1880503169</v>
      </c>
      <c r="P186" s="2">
        <v>2016278434</v>
      </c>
      <c r="Q186" s="2">
        <v>2157240089</v>
      </c>
      <c r="R186" s="2">
        <v>2341360421</v>
      </c>
      <c r="S186" s="2">
        <v>2544474927</v>
      </c>
      <c r="T186" s="2">
        <v>2708152898</v>
      </c>
      <c r="U186" s="2">
        <v>1457097.07</v>
      </c>
      <c r="V186" t="str">
        <f t="shared" si="6"/>
        <v>01147</v>
      </c>
      <c r="W186" s="2">
        <v>1153703</v>
      </c>
      <c r="X186" s="1">
        <v>89935.19</v>
      </c>
      <c r="Y186" s="1">
        <v>11816.270000000004</v>
      </c>
      <c r="Z186" s="1">
        <v>657534</v>
      </c>
    </row>
    <row r="187" spans="1:26" x14ac:dyDescent="0.25">
      <c r="A187" t="s">
        <v>88</v>
      </c>
      <c r="B187" t="s">
        <v>89</v>
      </c>
      <c r="C187" s="1"/>
      <c r="D187" s="1"/>
      <c r="E187" s="1"/>
      <c r="F187" s="1"/>
      <c r="G187" s="2"/>
      <c r="H187" s="2">
        <f>VLOOKUP(A187,VAL!$A$3:$F$298,3,FALSE)</f>
        <v>149000</v>
      </c>
      <c r="I187" s="2">
        <v>149000</v>
      </c>
      <c r="J187" s="2">
        <v>61734943</v>
      </c>
      <c r="K187" s="2">
        <v>67564979</v>
      </c>
      <c r="L187" s="2">
        <v>71344878</v>
      </c>
      <c r="M187" s="2">
        <v>78177480</v>
      </c>
      <c r="N187" s="2">
        <v>86236018</v>
      </c>
      <c r="O187" s="2">
        <v>95410137</v>
      </c>
      <c r="P187" s="2">
        <v>101484408</v>
      </c>
      <c r="Q187" s="2">
        <v>109925370</v>
      </c>
      <c r="R187" s="2">
        <v>118677719</v>
      </c>
      <c r="S187" s="2">
        <v>134823774</v>
      </c>
      <c r="T187" s="2">
        <v>145448624</v>
      </c>
      <c r="U187" s="2">
        <v>0</v>
      </c>
      <c r="V187" t="str">
        <f t="shared" si="6"/>
        <v>09102</v>
      </c>
      <c r="W187" s="2">
        <v>60232.800000000003</v>
      </c>
      <c r="X187" s="1">
        <v>0</v>
      </c>
      <c r="Y187" s="1">
        <v>0</v>
      </c>
      <c r="Z187" s="1">
        <v>0</v>
      </c>
    </row>
    <row r="188" spans="1:26" x14ac:dyDescent="0.25">
      <c r="A188" t="s">
        <v>543</v>
      </c>
      <c r="B188" t="s">
        <v>544</v>
      </c>
      <c r="C188" s="1"/>
      <c r="D188" s="1"/>
      <c r="E188" s="1"/>
      <c r="F188" s="1"/>
      <c r="G188" s="2"/>
      <c r="H188" s="2">
        <f>VLOOKUP(A188,VAL!$A$3:$F$298,3,FALSE)</f>
        <v>270000</v>
      </c>
      <c r="I188" s="2">
        <v>270000</v>
      </c>
      <c r="J188" s="2">
        <v>134112149</v>
      </c>
      <c r="K188" s="2">
        <v>151534839</v>
      </c>
      <c r="L188" s="2">
        <v>152970757</v>
      </c>
      <c r="M188" s="2">
        <v>154769896</v>
      </c>
      <c r="N188" s="2">
        <v>156349014</v>
      </c>
      <c r="O188" s="2">
        <v>171595046</v>
      </c>
      <c r="P188" s="2">
        <v>176975953</v>
      </c>
      <c r="Q188" s="2">
        <v>185406511</v>
      </c>
      <c r="R188" s="2">
        <v>196177519</v>
      </c>
      <c r="S188" s="2">
        <v>213517079</v>
      </c>
      <c r="T188" s="2">
        <v>228962612</v>
      </c>
      <c r="U188" s="2">
        <v>10671.12</v>
      </c>
      <c r="V188" t="str">
        <f t="shared" si="6"/>
        <v>38301</v>
      </c>
      <c r="W188" s="2">
        <v>183324.94</v>
      </c>
      <c r="X188" s="1">
        <v>41815.279999999999</v>
      </c>
      <c r="Y188" s="1">
        <v>5493.9599999999991</v>
      </c>
      <c r="Z188" s="1">
        <v>0</v>
      </c>
    </row>
    <row r="189" spans="1:26" x14ac:dyDescent="0.25">
      <c r="A189" t="s">
        <v>106</v>
      </c>
      <c r="B189" t="s">
        <v>107</v>
      </c>
      <c r="C189" s="1"/>
      <c r="D189" s="1"/>
      <c r="E189" s="1"/>
      <c r="F189" s="1"/>
      <c r="G189" s="2"/>
      <c r="H189" s="2">
        <f>VLOOKUP(A189,VAL!$A$3:$F$298,3,FALSE)</f>
        <v>10537658</v>
      </c>
      <c r="I189" s="2">
        <v>10537658</v>
      </c>
      <c r="J189" s="2">
        <v>7120879639</v>
      </c>
      <c r="K189" s="2">
        <v>7829830759</v>
      </c>
      <c r="L189" s="2">
        <v>8631934628</v>
      </c>
      <c r="M189" s="2">
        <v>10170113930</v>
      </c>
      <c r="N189" s="2">
        <v>12068386999</v>
      </c>
      <c r="O189" s="2">
        <v>13302587536</v>
      </c>
      <c r="P189" s="2">
        <v>14878790773</v>
      </c>
      <c r="Q189" s="2">
        <v>17019154016</v>
      </c>
      <c r="R189" s="2">
        <v>19180124327</v>
      </c>
      <c r="S189" s="2">
        <v>20840519883</v>
      </c>
      <c r="T189" s="2">
        <v>22818761686</v>
      </c>
      <c r="U189" s="2">
        <v>4174359.34</v>
      </c>
      <c r="V189" t="str">
        <f t="shared" si="6"/>
        <v>11001</v>
      </c>
      <c r="W189" s="2">
        <v>7014443.6399999997</v>
      </c>
      <c r="X189" s="1">
        <v>662775.37</v>
      </c>
      <c r="Y189" s="1">
        <v>87079.709999999963</v>
      </c>
      <c r="Z189" s="1">
        <v>564140.69999999995</v>
      </c>
    </row>
    <row r="190" spans="1:26" x14ac:dyDescent="0.25">
      <c r="A190" t="s">
        <v>321</v>
      </c>
      <c r="B190" t="s">
        <v>322</v>
      </c>
      <c r="C190" s="1"/>
      <c r="D190" s="1"/>
      <c r="E190" s="1"/>
      <c r="F190" s="1"/>
      <c r="G190" s="2"/>
      <c r="H190" s="2">
        <f>VLOOKUP(A190,VAL!$A$3:$F$298,3,FALSE)</f>
        <v>664000</v>
      </c>
      <c r="I190" s="2">
        <v>664000</v>
      </c>
      <c r="J190" s="2">
        <v>205593001</v>
      </c>
      <c r="K190" s="2">
        <v>207417252</v>
      </c>
      <c r="L190" s="2">
        <v>220995337</v>
      </c>
      <c r="M190" s="2">
        <v>247535840</v>
      </c>
      <c r="N190" s="2">
        <v>282691206</v>
      </c>
      <c r="O190" s="2">
        <v>275245943</v>
      </c>
      <c r="P190" s="2">
        <v>302180573</v>
      </c>
      <c r="Q190" s="2">
        <v>322935203</v>
      </c>
      <c r="R190" s="2">
        <v>343812185</v>
      </c>
      <c r="S190" s="2">
        <v>360743772</v>
      </c>
      <c r="T190" s="2">
        <v>378445370</v>
      </c>
      <c r="U190" s="2">
        <v>36295.15</v>
      </c>
      <c r="V190" t="str">
        <f t="shared" si="6"/>
        <v>24122</v>
      </c>
      <c r="W190" s="2">
        <v>293206.2</v>
      </c>
      <c r="X190" s="1">
        <v>15029.4</v>
      </c>
      <c r="Y190" s="1">
        <v>1974.6600000000017</v>
      </c>
      <c r="Z190" s="1">
        <v>21914.95</v>
      </c>
    </row>
    <row r="191" spans="1:26" x14ac:dyDescent="0.25">
      <c r="A191" t="s">
        <v>16</v>
      </c>
      <c r="B191" t="s">
        <v>17</v>
      </c>
      <c r="C191" s="1"/>
      <c r="D191" s="1"/>
      <c r="E191" s="1"/>
      <c r="F191" s="1"/>
      <c r="G191" s="2"/>
      <c r="H191" s="2">
        <f>VLOOKUP(A191,VAL!$A$3:$F$298,3,FALSE)</f>
        <v>314807</v>
      </c>
      <c r="I191" s="2">
        <v>314807</v>
      </c>
      <c r="J191" s="2">
        <v>499438129</v>
      </c>
      <c r="K191" s="2">
        <v>501170240</v>
      </c>
      <c r="L191" s="2">
        <v>514113344</v>
      </c>
      <c r="M191" s="2">
        <v>509873633</v>
      </c>
      <c r="N191" s="2">
        <v>522284115</v>
      </c>
      <c r="O191" s="2">
        <v>565007474</v>
      </c>
      <c r="P191" s="2">
        <v>566522856</v>
      </c>
      <c r="Q191" s="2">
        <v>566635749</v>
      </c>
      <c r="R191" s="2">
        <v>556062858</v>
      </c>
      <c r="S191" s="2">
        <v>566771721</v>
      </c>
      <c r="T191" s="2">
        <v>577341483</v>
      </c>
      <c r="U191" s="2">
        <v>0</v>
      </c>
      <c r="V191" t="str">
        <f t="shared" si="6"/>
        <v>03050</v>
      </c>
      <c r="W191" s="2">
        <v>172611.97</v>
      </c>
      <c r="X191" s="1">
        <v>0</v>
      </c>
      <c r="Y191" s="1">
        <v>0</v>
      </c>
      <c r="Z191" s="1">
        <v>0</v>
      </c>
    </row>
    <row r="192" spans="1:26" x14ac:dyDescent="0.25">
      <c r="A192" t="s">
        <v>275</v>
      </c>
      <c r="B192" t="s">
        <v>276</v>
      </c>
      <c r="C192" s="1"/>
      <c r="D192" s="1"/>
      <c r="E192" s="1"/>
      <c r="F192" s="1"/>
      <c r="G192" s="2"/>
      <c r="H192" s="2">
        <f>VLOOKUP(A192,VAL!$A$3:$F$298,3,FALSE)</f>
        <v>350000</v>
      </c>
      <c r="I192" s="2">
        <v>350000</v>
      </c>
      <c r="J192" s="2">
        <v>215859329</v>
      </c>
      <c r="K192" s="2">
        <v>241598138</v>
      </c>
      <c r="L192" s="2">
        <v>252427210</v>
      </c>
      <c r="M192" s="2">
        <v>280158518</v>
      </c>
      <c r="N192" s="2">
        <v>366446568</v>
      </c>
      <c r="O192" s="2">
        <v>333213363</v>
      </c>
      <c r="P192" s="2">
        <v>356456703</v>
      </c>
      <c r="Q192" s="2">
        <v>381582500</v>
      </c>
      <c r="R192" s="2">
        <v>426837931</v>
      </c>
      <c r="S192" s="2">
        <v>460484679</v>
      </c>
      <c r="T192" s="2">
        <v>522069113</v>
      </c>
      <c r="U192" s="2">
        <v>1534.9</v>
      </c>
      <c r="V192" t="str">
        <f t="shared" si="6"/>
        <v>21301</v>
      </c>
      <c r="W192" s="2">
        <v>165838.53</v>
      </c>
      <c r="X192" s="1">
        <v>0</v>
      </c>
      <c r="Y192" s="1">
        <v>0</v>
      </c>
      <c r="Z192" s="1">
        <v>10311.23</v>
      </c>
    </row>
    <row r="193" spans="1:26" x14ac:dyDescent="0.25">
      <c r="A193" t="s">
        <v>365</v>
      </c>
      <c r="B193" t="s">
        <v>366</v>
      </c>
      <c r="C193" s="1"/>
      <c r="D193" s="1"/>
      <c r="E193" s="1"/>
      <c r="F193" s="1"/>
      <c r="G193" s="2"/>
      <c r="H193" s="2">
        <f>VLOOKUP(A193,VAL!$A$3:$F$298,3,FALSE)</f>
        <v>26750000</v>
      </c>
      <c r="I193" s="2">
        <v>26750000</v>
      </c>
      <c r="J193" s="2">
        <v>14154638131</v>
      </c>
      <c r="K193" s="2">
        <v>15381003708</v>
      </c>
      <c r="L193" s="2">
        <v>16761684404</v>
      </c>
      <c r="M193" s="2">
        <v>19170770541</v>
      </c>
      <c r="N193" s="2">
        <v>23783497379</v>
      </c>
      <c r="O193" s="2">
        <v>22833286951</v>
      </c>
      <c r="P193" s="2">
        <v>23828061881</v>
      </c>
      <c r="Q193" s="2">
        <v>25057273455</v>
      </c>
      <c r="R193" s="2">
        <v>25871133498</v>
      </c>
      <c r="S193" s="2">
        <v>26741797056</v>
      </c>
      <c r="T193" s="2">
        <v>28029600905</v>
      </c>
      <c r="U193" s="2">
        <v>0</v>
      </c>
      <c r="V193" t="str">
        <f t="shared" si="6"/>
        <v>27401</v>
      </c>
      <c r="W193" s="2">
        <v>12001161.970000001</v>
      </c>
      <c r="X193" s="1">
        <v>0</v>
      </c>
      <c r="Y193" s="1">
        <v>0</v>
      </c>
      <c r="Z193" s="1">
        <v>0</v>
      </c>
    </row>
    <row r="194" spans="1:26" x14ac:dyDescent="0.25">
      <c r="A194" t="s">
        <v>307</v>
      </c>
      <c r="B194" t="s">
        <v>308</v>
      </c>
      <c r="C194" s="1"/>
      <c r="D194" s="1"/>
      <c r="E194" s="1"/>
      <c r="F194" s="1"/>
      <c r="G194" s="2"/>
      <c r="H194" s="2">
        <f>VLOOKUP(A194,VAL!$A$3:$F$298,3,FALSE)</f>
        <v>2641258</v>
      </c>
      <c r="I194" s="2">
        <v>2641258</v>
      </c>
      <c r="J194" s="2">
        <v>1479466585</v>
      </c>
      <c r="K194" s="2">
        <v>1571151195</v>
      </c>
      <c r="L194" s="2">
        <v>1782213321</v>
      </c>
      <c r="M194" s="2">
        <v>2119174498</v>
      </c>
      <c r="N194" s="2">
        <v>2361072940</v>
      </c>
      <c r="O194" s="2">
        <v>2642656330</v>
      </c>
      <c r="P194" s="2">
        <v>2936822701</v>
      </c>
      <c r="Q194" s="2">
        <v>3356706947</v>
      </c>
      <c r="R194" s="2">
        <v>3763209177</v>
      </c>
      <c r="S194" s="2">
        <v>4076593164</v>
      </c>
      <c r="T194" s="2">
        <v>4609361071</v>
      </c>
      <c r="U194" s="2">
        <v>0</v>
      </c>
      <c r="V194" t="str">
        <f t="shared" si="6"/>
        <v>23402</v>
      </c>
      <c r="W194" s="2">
        <v>1292117.51</v>
      </c>
      <c r="X194" s="1">
        <v>0</v>
      </c>
      <c r="Y194" s="1">
        <v>0</v>
      </c>
      <c r="Z194" s="1">
        <v>0</v>
      </c>
    </row>
    <row r="195" spans="1:26" x14ac:dyDescent="0.25">
      <c r="A195" t="s">
        <v>114</v>
      </c>
      <c r="B195" t="s">
        <v>115</v>
      </c>
      <c r="C195" s="1"/>
      <c r="D195" s="1"/>
      <c r="E195" s="1"/>
      <c r="F195" s="1"/>
      <c r="G195" s="2"/>
      <c r="H195" s="2">
        <f>VLOOKUP(A195,VAL!$A$3:$F$298,3,FALSE)</f>
        <v>1080000</v>
      </c>
      <c r="I195" s="2">
        <v>800500</v>
      </c>
      <c r="J195" s="2">
        <v>607758468</v>
      </c>
      <c r="K195" s="2">
        <v>546392513</v>
      </c>
      <c r="L195" s="2">
        <v>513115006</v>
      </c>
      <c r="M195" s="2">
        <v>535783386</v>
      </c>
      <c r="N195" s="2">
        <v>526582696</v>
      </c>
      <c r="O195" s="2">
        <v>524075677</v>
      </c>
      <c r="P195" s="2">
        <v>525289456</v>
      </c>
      <c r="Q195" s="2">
        <v>524972525</v>
      </c>
      <c r="R195" s="2">
        <v>525544994</v>
      </c>
      <c r="S195" s="2">
        <v>522646967</v>
      </c>
      <c r="T195" s="2">
        <v>514090188</v>
      </c>
      <c r="U195" s="2">
        <v>0</v>
      </c>
      <c r="V195" t="str">
        <f t="shared" si="6"/>
        <v>12110</v>
      </c>
      <c r="W195" s="2">
        <v>399612.24</v>
      </c>
      <c r="X195" s="1">
        <v>0</v>
      </c>
      <c r="Y195" s="1">
        <v>0</v>
      </c>
      <c r="Z195" s="1">
        <v>0</v>
      </c>
    </row>
    <row r="196" spans="1:26" x14ac:dyDescent="0.25">
      <c r="A196" t="s">
        <v>40</v>
      </c>
      <c r="B196" t="s">
        <v>41</v>
      </c>
      <c r="C196" s="1"/>
      <c r="D196" s="1"/>
      <c r="E196" s="1"/>
      <c r="F196" s="1"/>
      <c r="G196" s="2"/>
      <c r="H196" s="2">
        <f>VLOOKUP(A196,VAL!$A$3:$F$298,3,FALSE)</f>
        <v>9100000</v>
      </c>
      <c r="I196" s="2">
        <v>9100000</v>
      </c>
      <c r="J196" s="2">
        <v>3337106011.5</v>
      </c>
      <c r="K196" s="2">
        <v>3662840266</v>
      </c>
      <c r="L196" s="2">
        <v>3903969429</v>
      </c>
      <c r="M196" s="2">
        <v>4335334700</v>
      </c>
      <c r="N196" s="2">
        <v>5364061984</v>
      </c>
      <c r="O196" s="2">
        <v>5337723658</v>
      </c>
      <c r="P196" s="2">
        <v>5839220872</v>
      </c>
      <c r="Q196" s="2">
        <v>6463286162</v>
      </c>
      <c r="R196" s="2">
        <v>7248099940</v>
      </c>
      <c r="S196" s="2">
        <v>8034540581</v>
      </c>
      <c r="T196" s="2">
        <v>8741397118</v>
      </c>
      <c r="U196" s="2">
        <v>0</v>
      </c>
      <c r="V196" t="str">
        <f t="shared" ref="V196:V259" si="7">A196</f>
        <v>05121</v>
      </c>
      <c r="W196" s="2">
        <v>2653280</v>
      </c>
      <c r="X196" s="1">
        <v>0</v>
      </c>
      <c r="Y196" s="1">
        <v>0</v>
      </c>
      <c r="Z196" s="1">
        <v>0</v>
      </c>
    </row>
    <row r="197" spans="1:26" x14ac:dyDescent="0.25">
      <c r="A197" t="s">
        <v>176</v>
      </c>
      <c r="B197" t="s">
        <v>177</v>
      </c>
      <c r="C197" s="1"/>
      <c r="D197" s="1"/>
      <c r="E197" s="1"/>
      <c r="F197" s="1"/>
      <c r="G197" s="2"/>
      <c r="H197" s="2">
        <f>VLOOKUP(A197,VAL!$A$3:$F$298,3,FALSE)</f>
        <v>3880000</v>
      </c>
      <c r="I197" s="2">
        <v>2871606.02</v>
      </c>
      <c r="J197" s="2">
        <v>2704402190</v>
      </c>
      <c r="K197" s="2">
        <v>2962483385</v>
      </c>
      <c r="L197" s="2">
        <v>3177142308</v>
      </c>
      <c r="M197" s="2">
        <v>3509509223</v>
      </c>
      <c r="N197" s="2">
        <v>4285702345</v>
      </c>
      <c r="O197" s="2">
        <v>4273004453</v>
      </c>
      <c r="P197" s="2">
        <v>4673040452</v>
      </c>
      <c r="Q197" s="2">
        <v>5079565478</v>
      </c>
      <c r="R197" s="2">
        <v>5639323592</v>
      </c>
      <c r="S197" s="2">
        <v>6276162690</v>
      </c>
      <c r="T197" s="2">
        <v>6852430275</v>
      </c>
      <c r="U197" s="2">
        <v>0</v>
      </c>
      <c r="V197" t="str">
        <f t="shared" si="7"/>
        <v>16050</v>
      </c>
      <c r="W197" s="2">
        <v>1518185.57</v>
      </c>
      <c r="X197" s="1">
        <v>0</v>
      </c>
      <c r="Y197" s="1">
        <v>0</v>
      </c>
      <c r="Z197" s="1">
        <v>0</v>
      </c>
    </row>
    <row r="198" spans="1:26" x14ac:dyDescent="0.25">
      <c r="A198" t="s">
        <v>517</v>
      </c>
      <c r="B198" t="s">
        <v>518</v>
      </c>
      <c r="C198" s="1"/>
      <c r="D198" s="1"/>
      <c r="E198" s="1"/>
      <c r="F198" s="1"/>
      <c r="G198" s="2"/>
      <c r="H198" s="2">
        <f>VLOOKUP(A198,VAL!$A$3:$F$298,3,FALSE)</f>
        <v>560600</v>
      </c>
      <c r="I198" s="2">
        <v>560600</v>
      </c>
      <c r="J198" s="2">
        <v>382612670</v>
      </c>
      <c r="K198" s="2">
        <v>390532312</v>
      </c>
      <c r="L198" s="2">
        <v>411242649</v>
      </c>
      <c r="M198" s="2">
        <v>440962745</v>
      </c>
      <c r="N198" s="2">
        <v>454769311</v>
      </c>
      <c r="O198" s="2">
        <v>495577109</v>
      </c>
      <c r="P198" s="2">
        <v>537380449</v>
      </c>
      <c r="Q198" s="2">
        <v>575792031</v>
      </c>
      <c r="R198" s="2">
        <v>599222567</v>
      </c>
      <c r="S198" s="2">
        <v>628653698</v>
      </c>
      <c r="T198" s="2">
        <v>667915493</v>
      </c>
      <c r="U198" s="2">
        <v>0</v>
      </c>
      <c r="V198" t="str">
        <f t="shared" si="7"/>
        <v>36402</v>
      </c>
      <c r="W198" s="2">
        <v>317446</v>
      </c>
      <c r="X198" s="1">
        <v>0</v>
      </c>
      <c r="Y198" s="1">
        <v>0</v>
      </c>
      <c r="Z198" s="1">
        <v>0</v>
      </c>
    </row>
    <row r="199" spans="1:26" x14ac:dyDescent="0.25">
      <c r="A199" t="s">
        <v>22</v>
      </c>
      <c r="B199" t="s">
        <v>23</v>
      </c>
      <c r="C199" s="1"/>
      <c r="D199" s="1"/>
      <c r="E199" s="1"/>
      <c r="F199" s="1"/>
      <c r="G199" s="2"/>
      <c r="H199" s="2">
        <f>VLOOKUP(A199,VAL!$A$3:$F$298,3,FALSE)</f>
        <v>2412401</v>
      </c>
      <c r="I199" s="2">
        <v>2412401</v>
      </c>
      <c r="J199" s="2">
        <v>1562577452</v>
      </c>
      <c r="K199" s="2">
        <v>1610388734</v>
      </c>
      <c r="L199" s="2">
        <v>1663360031</v>
      </c>
      <c r="M199" s="2">
        <v>1715584407</v>
      </c>
      <c r="N199" s="2">
        <v>1847296941</v>
      </c>
      <c r="O199" s="2">
        <v>2010277050</v>
      </c>
      <c r="P199" s="2">
        <v>2143172940</v>
      </c>
      <c r="Q199" s="2">
        <v>2245243838</v>
      </c>
      <c r="R199" s="2">
        <v>2352620927</v>
      </c>
      <c r="S199" s="2">
        <v>2515096701</v>
      </c>
      <c r="T199" s="2">
        <v>2632177346</v>
      </c>
      <c r="U199" s="2">
        <v>456747.83</v>
      </c>
      <c r="V199" t="str">
        <f t="shared" si="7"/>
        <v>03116</v>
      </c>
      <c r="W199" s="2">
        <v>1738353.25</v>
      </c>
      <c r="X199" s="1">
        <v>280315.40999999997</v>
      </c>
      <c r="Y199" s="1">
        <v>36829.650000000023</v>
      </c>
      <c r="Z199" s="1">
        <v>23838.720000000001</v>
      </c>
    </row>
    <row r="200" spans="1:26" x14ac:dyDescent="0.25">
      <c r="A200" t="s">
        <v>539</v>
      </c>
      <c r="B200" t="s">
        <v>540</v>
      </c>
      <c r="C200" s="1"/>
      <c r="D200" s="1"/>
      <c r="E200" s="1"/>
      <c r="F200" s="1"/>
      <c r="G200" s="2"/>
      <c r="H200" s="2">
        <f>VLOOKUP(A200,VAL!$A$3:$F$298,3,FALSE)</f>
        <v>5500000</v>
      </c>
      <c r="I200" s="2">
        <v>5500000</v>
      </c>
      <c r="J200" s="2">
        <v>2268633826</v>
      </c>
      <c r="K200" s="2">
        <v>2446249414</v>
      </c>
      <c r="L200" s="2">
        <v>2534176782</v>
      </c>
      <c r="M200" s="2">
        <v>2589025160</v>
      </c>
      <c r="N200" s="2">
        <v>2646802950</v>
      </c>
      <c r="O200" s="2">
        <v>2965443358</v>
      </c>
      <c r="P200" s="2">
        <v>3166718516</v>
      </c>
      <c r="Q200" s="2">
        <v>3313318943</v>
      </c>
      <c r="R200" s="2">
        <v>3439432098</v>
      </c>
      <c r="S200" s="2">
        <v>3709574903</v>
      </c>
      <c r="T200" s="2">
        <v>3901052955</v>
      </c>
      <c r="U200" s="2">
        <v>122453.72</v>
      </c>
      <c r="V200" t="str">
        <f t="shared" si="7"/>
        <v>38267</v>
      </c>
      <c r="W200" s="2">
        <v>2511140</v>
      </c>
      <c r="X200" s="1">
        <v>219269.67</v>
      </c>
      <c r="Y200" s="1">
        <v>28809.059999999998</v>
      </c>
      <c r="Z200" s="1">
        <v>0</v>
      </c>
    </row>
    <row r="201" spans="1:26" x14ac:dyDescent="0.25">
      <c r="A201" t="s">
        <v>349</v>
      </c>
      <c r="B201" t="s">
        <v>350</v>
      </c>
      <c r="C201" s="1"/>
      <c r="D201" s="1"/>
      <c r="E201" s="1"/>
      <c r="F201" s="1"/>
      <c r="G201" s="2"/>
      <c r="H201" s="2">
        <f>VLOOKUP(A201,VAL!$A$3:$F$298,3,FALSE)</f>
        <v>31500000</v>
      </c>
      <c r="I201" s="2">
        <v>31500000</v>
      </c>
      <c r="J201" s="2">
        <v>17355158304</v>
      </c>
      <c r="K201" s="2">
        <v>19036046050</v>
      </c>
      <c r="L201" s="2">
        <v>20746497935</v>
      </c>
      <c r="M201" s="2">
        <v>23867873092</v>
      </c>
      <c r="N201" s="2">
        <v>28680428245</v>
      </c>
      <c r="O201" s="2">
        <v>28801985870</v>
      </c>
      <c r="P201" s="2">
        <v>30125306911</v>
      </c>
      <c r="Q201" s="2">
        <v>31571213884</v>
      </c>
      <c r="R201" s="2">
        <v>33959628095</v>
      </c>
      <c r="S201" s="2">
        <v>35230779794</v>
      </c>
      <c r="T201" s="2">
        <v>37031502016</v>
      </c>
      <c r="U201" s="2">
        <v>416984.42</v>
      </c>
      <c r="V201" t="str">
        <f t="shared" si="7"/>
        <v>27003</v>
      </c>
      <c r="W201" s="2">
        <v>26402594.550000001</v>
      </c>
      <c r="X201" s="1">
        <v>0</v>
      </c>
      <c r="Y201" s="1">
        <v>0</v>
      </c>
      <c r="Z201" s="1">
        <v>1748094.94</v>
      </c>
    </row>
    <row r="202" spans="1:26" x14ac:dyDescent="0.25">
      <c r="A202" t="s">
        <v>168</v>
      </c>
      <c r="B202" t="s">
        <v>169</v>
      </c>
      <c r="C202" s="1"/>
      <c r="D202" s="1"/>
      <c r="E202" s="1"/>
      <c r="F202" s="1"/>
      <c r="G202" s="2"/>
      <c r="H202" s="2">
        <f>VLOOKUP(A202,VAL!$A$3:$F$298,3,FALSE)</f>
        <v>75000</v>
      </c>
      <c r="I202" s="2">
        <v>66702.98</v>
      </c>
      <c r="J202" s="2">
        <v>61603935</v>
      </c>
      <c r="K202" s="2">
        <v>59913382</v>
      </c>
      <c r="L202" s="2">
        <v>42987252</v>
      </c>
      <c r="M202" s="2">
        <v>50399734</v>
      </c>
      <c r="N202" s="2">
        <v>60818768</v>
      </c>
      <c r="O202" s="2">
        <v>51391711</v>
      </c>
      <c r="P202" s="2">
        <v>51887797</v>
      </c>
      <c r="Q202" s="2">
        <v>51940924</v>
      </c>
      <c r="R202" s="2">
        <v>53339069</v>
      </c>
      <c r="S202" s="2">
        <v>53931128</v>
      </c>
      <c r="T202" s="2">
        <v>54695976</v>
      </c>
      <c r="U202" s="2">
        <v>2532.08</v>
      </c>
      <c r="V202" t="str">
        <f t="shared" si="7"/>
        <v>16020</v>
      </c>
      <c r="W202" s="2">
        <v>35535</v>
      </c>
      <c r="X202" s="1">
        <v>0</v>
      </c>
      <c r="Y202" s="1">
        <v>0</v>
      </c>
      <c r="Z202" s="1">
        <v>10267.67</v>
      </c>
    </row>
    <row r="203" spans="1:26" x14ac:dyDescent="0.25">
      <c r="A203" t="s">
        <v>172</v>
      </c>
      <c r="B203" t="s">
        <v>173</v>
      </c>
      <c r="C203" s="1"/>
      <c r="D203" s="1"/>
      <c r="E203" s="1"/>
      <c r="F203" s="1"/>
      <c r="G203" s="2"/>
      <c r="H203" s="2">
        <f>VLOOKUP(A203,VAL!$A$3:$F$298,3,FALSE)</f>
        <v>561915</v>
      </c>
      <c r="I203" s="2">
        <v>567899.71</v>
      </c>
      <c r="J203" s="2">
        <v>374791084</v>
      </c>
      <c r="K203" s="2">
        <v>395017587</v>
      </c>
      <c r="L203" s="2">
        <v>409006542</v>
      </c>
      <c r="M203" s="2">
        <v>462491502</v>
      </c>
      <c r="N203" s="2">
        <v>545881944</v>
      </c>
      <c r="O203" s="2">
        <v>524289435</v>
      </c>
      <c r="P203" s="2">
        <v>541558152</v>
      </c>
      <c r="Q203" s="2">
        <v>589288762</v>
      </c>
      <c r="R203" s="2">
        <v>654472150</v>
      </c>
      <c r="S203" s="2">
        <v>721522865</v>
      </c>
      <c r="T203" s="2">
        <v>787869115</v>
      </c>
      <c r="U203" s="2">
        <v>86050.18</v>
      </c>
      <c r="V203" t="str">
        <f t="shared" si="7"/>
        <v>16048</v>
      </c>
      <c r="W203" s="2">
        <v>290184.7</v>
      </c>
      <c r="X203" s="1">
        <v>12907.37</v>
      </c>
      <c r="Y203" s="1">
        <v>1695.8499999999985</v>
      </c>
      <c r="Z203" s="1">
        <v>76461</v>
      </c>
    </row>
    <row r="204" spans="1:26" x14ac:dyDescent="0.25">
      <c r="A204" t="s">
        <v>48</v>
      </c>
      <c r="B204" t="s">
        <v>49</v>
      </c>
      <c r="C204" s="1"/>
      <c r="D204" s="1"/>
      <c r="E204" s="1"/>
      <c r="F204" s="1"/>
      <c r="G204" s="2"/>
      <c r="H204" s="2">
        <f>VLOOKUP(A204,VAL!$A$3:$F$298,3,FALSE)</f>
        <v>714304</v>
      </c>
      <c r="I204" s="2">
        <v>714304</v>
      </c>
      <c r="J204" s="2">
        <v>470983958.5</v>
      </c>
      <c r="K204" s="2">
        <v>507114507</v>
      </c>
      <c r="L204" s="2">
        <v>541408405</v>
      </c>
      <c r="M204" s="2">
        <v>589669360</v>
      </c>
      <c r="N204" s="2">
        <v>774701598</v>
      </c>
      <c r="O204" s="2">
        <v>702714368</v>
      </c>
      <c r="P204" s="2">
        <v>758889334</v>
      </c>
      <c r="Q204" s="2">
        <v>821616149</v>
      </c>
      <c r="R204" s="2">
        <v>919458087</v>
      </c>
      <c r="S204" s="2">
        <v>990281883</v>
      </c>
      <c r="T204" s="2">
        <v>1088854215</v>
      </c>
      <c r="U204" s="2">
        <v>1129120.8799999999</v>
      </c>
      <c r="V204" t="str">
        <f t="shared" si="7"/>
        <v>05402</v>
      </c>
      <c r="W204" s="2">
        <v>338902.4</v>
      </c>
      <c r="X204" s="1">
        <v>0</v>
      </c>
      <c r="Y204" s="1">
        <v>0</v>
      </c>
      <c r="Z204" s="1">
        <v>324604.84999999998</v>
      </c>
    </row>
    <row r="205" spans="1:26" x14ac:dyDescent="0.25">
      <c r="A205" t="s">
        <v>150</v>
      </c>
      <c r="B205" t="s">
        <v>151</v>
      </c>
      <c r="C205" s="1"/>
      <c r="D205" s="1"/>
      <c r="E205" s="1"/>
      <c r="F205" s="1"/>
      <c r="G205" s="2"/>
      <c r="H205" s="2">
        <f>VLOOKUP(A205,VAL!$A$3:$F$298,3,FALSE)</f>
        <v>204509</v>
      </c>
      <c r="I205" s="2">
        <v>204509</v>
      </c>
      <c r="J205" s="2">
        <v>146487888</v>
      </c>
      <c r="K205" s="2">
        <v>158754407</v>
      </c>
      <c r="L205" s="2">
        <v>158890426</v>
      </c>
      <c r="M205" s="2">
        <v>170177058</v>
      </c>
      <c r="N205" s="2">
        <v>258154363</v>
      </c>
      <c r="O205" s="2">
        <v>180863995</v>
      </c>
      <c r="P205" s="2">
        <v>187201608</v>
      </c>
      <c r="Q205" s="2">
        <v>189755019</v>
      </c>
      <c r="R205" s="2">
        <v>196921169</v>
      </c>
      <c r="S205" s="2">
        <v>202731185</v>
      </c>
      <c r="T205" s="2">
        <v>209661126</v>
      </c>
      <c r="U205" s="2">
        <v>9623.7000000000007</v>
      </c>
      <c r="V205" t="str">
        <f t="shared" si="7"/>
        <v>14097</v>
      </c>
      <c r="W205" s="2">
        <v>157040.06</v>
      </c>
      <c r="X205" s="1">
        <v>0</v>
      </c>
      <c r="Y205" s="1">
        <v>0</v>
      </c>
      <c r="Z205" s="1">
        <v>38405.15</v>
      </c>
    </row>
    <row r="206" spans="1:26" x14ac:dyDescent="0.25">
      <c r="A206" t="s">
        <v>118</v>
      </c>
      <c r="B206" t="s">
        <v>119</v>
      </c>
      <c r="C206" s="1"/>
      <c r="D206" s="1"/>
      <c r="E206" s="1"/>
      <c r="F206" s="1"/>
      <c r="G206" s="2"/>
      <c r="H206" s="2">
        <f>VLOOKUP(A206,VAL!$A$3:$F$298,3,FALSE)</f>
        <v>8460547</v>
      </c>
      <c r="I206" s="2">
        <v>8460547</v>
      </c>
      <c r="J206" s="2">
        <v>4323519436</v>
      </c>
      <c r="K206" s="2">
        <v>4976104238</v>
      </c>
      <c r="L206" s="2">
        <v>5112844188</v>
      </c>
      <c r="M206" s="2">
        <v>6475247839</v>
      </c>
      <c r="N206" s="2">
        <v>7170681079</v>
      </c>
      <c r="O206" s="2">
        <v>8213620908</v>
      </c>
      <c r="P206" s="2">
        <v>9347203859</v>
      </c>
      <c r="Q206" s="2">
        <v>10570563464</v>
      </c>
      <c r="R206" s="2">
        <v>11711612551</v>
      </c>
      <c r="S206" s="2">
        <v>12836100603</v>
      </c>
      <c r="T206" s="2">
        <v>14114487970</v>
      </c>
      <c r="U206" s="2">
        <v>0</v>
      </c>
      <c r="V206" t="str">
        <f t="shared" si="7"/>
        <v>13144</v>
      </c>
      <c r="W206" s="2">
        <v>3941124.41</v>
      </c>
      <c r="X206" s="1">
        <v>0</v>
      </c>
      <c r="Y206" s="1">
        <v>0</v>
      </c>
      <c r="Z206" s="1">
        <v>0</v>
      </c>
    </row>
    <row r="207" spans="1:26" x14ac:dyDescent="0.25">
      <c r="A207" t="s">
        <v>495</v>
      </c>
      <c r="B207" t="s">
        <v>496</v>
      </c>
      <c r="C207" s="1"/>
      <c r="D207" s="1"/>
      <c r="E207" s="1"/>
      <c r="F207" s="1"/>
      <c r="G207" s="2"/>
      <c r="H207" s="2">
        <f>VLOOKUP(A207,VAL!$A$3:$F$298,3,FALSE)</f>
        <v>1690000</v>
      </c>
      <c r="I207" s="2">
        <v>1690000</v>
      </c>
      <c r="J207" s="2">
        <v>568678713</v>
      </c>
      <c r="K207" s="2">
        <v>604935255</v>
      </c>
      <c r="L207" s="2">
        <v>834844533</v>
      </c>
      <c r="M207" s="2">
        <v>823121927</v>
      </c>
      <c r="N207" s="2">
        <v>986479869</v>
      </c>
      <c r="O207" s="2">
        <v>1031389930</v>
      </c>
      <c r="P207" s="2">
        <v>1160026653</v>
      </c>
      <c r="Q207" s="2">
        <v>1275056708</v>
      </c>
      <c r="R207" s="2">
        <v>1421115236</v>
      </c>
      <c r="S207" s="2">
        <v>1598740406</v>
      </c>
      <c r="T207" s="2">
        <v>1810383225</v>
      </c>
      <c r="U207" s="2">
        <v>67684.78</v>
      </c>
      <c r="V207" t="str">
        <f t="shared" si="7"/>
        <v>34307</v>
      </c>
      <c r="W207" s="2">
        <v>890495.26</v>
      </c>
      <c r="X207" s="1">
        <v>17032.23</v>
      </c>
      <c r="Y207" s="1">
        <v>2237.7999999999993</v>
      </c>
      <c r="Z207" s="1">
        <v>0</v>
      </c>
    </row>
    <row r="208" spans="1:26" x14ac:dyDescent="0.25">
      <c r="A208" t="s">
        <v>331</v>
      </c>
      <c r="B208" t="s">
        <v>332</v>
      </c>
      <c r="C208" s="1"/>
      <c r="D208" s="1"/>
      <c r="E208" s="1"/>
      <c r="F208" s="1"/>
      <c r="G208" s="2"/>
      <c r="H208" s="2">
        <f>VLOOKUP(A208,VAL!$A$3:$F$298,3,FALSE)</f>
        <v>860371</v>
      </c>
      <c r="I208" s="2">
        <v>860371</v>
      </c>
      <c r="J208" s="2">
        <v>243374756</v>
      </c>
      <c r="K208" s="2">
        <v>266315042</v>
      </c>
      <c r="L208" s="2">
        <v>284371667</v>
      </c>
      <c r="M208" s="2">
        <v>331396448</v>
      </c>
      <c r="N208" s="2">
        <v>418928331</v>
      </c>
      <c r="O208" s="2">
        <v>408092244</v>
      </c>
      <c r="P208" s="2">
        <v>457163346</v>
      </c>
      <c r="Q208" s="2">
        <v>500198552</v>
      </c>
      <c r="R208" s="2">
        <v>562788238</v>
      </c>
      <c r="S208" s="2">
        <v>612826657</v>
      </c>
      <c r="T208" s="2">
        <v>654198169</v>
      </c>
      <c r="U208" s="2">
        <v>113339.64</v>
      </c>
      <c r="V208" t="str">
        <f t="shared" si="7"/>
        <v>25116</v>
      </c>
      <c r="W208" s="2">
        <v>299441.59999999998</v>
      </c>
      <c r="X208" s="1">
        <v>53425.2</v>
      </c>
      <c r="Y208" s="1">
        <v>7019.3500000000058</v>
      </c>
      <c r="Z208" s="1">
        <v>48088.58</v>
      </c>
    </row>
    <row r="209" spans="1:26" x14ac:dyDescent="0.25">
      <c r="A209" t="s">
        <v>285</v>
      </c>
      <c r="B209" t="s">
        <v>286</v>
      </c>
      <c r="C209" s="1"/>
      <c r="D209" s="1"/>
      <c r="E209" s="1"/>
      <c r="F209" s="1"/>
      <c r="G209" s="2"/>
      <c r="H209" s="2">
        <f>VLOOKUP(A209,VAL!$A$3:$F$298,3,FALSE)</f>
        <v>903098</v>
      </c>
      <c r="I209" s="2">
        <v>903098</v>
      </c>
      <c r="J209" s="2">
        <v>546475912</v>
      </c>
      <c r="K209" s="2">
        <v>587013516</v>
      </c>
      <c r="L209" s="2">
        <v>626728725</v>
      </c>
      <c r="M209" s="2">
        <v>732878774</v>
      </c>
      <c r="N209" s="2">
        <v>876857386</v>
      </c>
      <c r="O209" s="2">
        <v>933960877</v>
      </c>
      <c r="P209" s="2">
        <v>1000884401</v>
      </c>
      <c r="Q209" s="2">
        <v>1083057729</v>
      </c>
      <c r="R209" s="2">
        <v>1165683846</v>
      </c>
      <c r="S209" s="2">
        <v>1245308923</v>
      </c>
      <c r="T209" s="2">
        <v>1320088804</v>
      </c>
      <c r="U209" s="2">
        <v>15389.52</v>
      </c>
      <c r="V209" t="str">
        <f t="shared" si="7"/>
        <v>22009</v>
      </c>
      <c r="W209" s="2">
        <v>615993.06999999995</v>
      </c>
      <c r="X209" s="1">
        <v>0</v>
      </c>
      <c r="Y209" s="1">
        <v>0</v>
      </c>
      <c r="Z209" s="1">
        <v>83583.25</v>
      </c>
    </row>
    <row r="210" spans="1:26" x14ac:dyDescent="0.25">
      <c r="A210" t="s">
        <v>190</v>
      </c>
      <c r="B210" t="s">
        <v>191</v>
      </c>
      <c r="C210" s="1"/>
      <c r="D210" s="1"/>
      <c r="E210" s="1"/>
      <c r="F210" s="1"/>
      <c r="G210" s="2"/>
      <c r="H210" s="2">
        <f>VLOOKUP(A210,VAL!$A$3:$F$298,3,FALSE)</f>
        <v>57151000</v>
      </c>
      <c r="I210" s="2">
        <v>57151000</v>
      </c>
      <c r="J210" s="2">
        <v>25700576865</v>
      </c>
      <c r="K210" s="2">
        <v>26987681709</v>
      </c>
      <c r="L210" s="2">
        <v>28560105847</v>
      </c>
      <c r="M210" s="2">
        <v>31392042464</v>
      </c>
      <c r="N210" s="2">
        <v>38625569474</v>
      </c>
      <c r="O210" s="2">
        <v>41702129746</v>
      </c>
      <c r="P210" s="2">
        <v>44262445292</v>
      </c>
      <c r="Q210" s="2">
        <v>47057980818</v>
      </c>
      <c r="R210" s="2">
        <v>50054265438</v>
      </c>
      <c r="S210" s="2">
        <v>54092614378</v>
      </c>
      <c r="T210" s="2">
        <v>58081920724</v>
      </c>
      <c r="U210" s="2">
        <v>0</v>
      </c>
      <c r="V210" t="str">
        <f t="shared" si="7"/>
        <v>17403</v>
      </c>
      <c r="W210" s="2">
        <v>20079475.899999999</v>
      </c>
      <c r="X210" s="1">
        <v>0</v>
      </c>
      <c r="Y210" s="1">
        <v>0</v>
      </c>
      <c r="Z210" s="1">
        <v>0</v>
      </c>
    </row>
    <row r="211" spans="1:26" x14ac:dyDescent="0.25">
      <c r="A211" t="s">
        <v>104</v>
      </c>
      <c r="B211" t="s">
        <v>105</v>
      </c>
      <c r="C211" s="1"/>
      <c r="D211" s="1"/>
      <c r="E211" s="1"/>
      <c r="F211" s="1"/>
      <c r="G211" s="2"/>
      <c r="H211" s="2">
        <f>VLOOKUP(A211,VAL!$A$3:$F$298,3,FALSE)</f>
        <v>450000</v>
      </c>
      <c r="I211" s="2">
        <v>450000</v>
      </c>
      <c r="J211" s="2">
        <v>302282286.96499664</v>
      </c>
      <c r="K211" s="2">
        <v>341235799</v>
      </c>
      <c r="L211" s="2">
        <v>325006220</v>
      </c>
      <c r="M211" s="2">
        <v>355960060</v>
      </c>
      <c r="N211" s="2">
        <v>403545589</v>
      </c>
      <c r="O211" s="2">
        <v>389859196</v>
      </c>
      <c r="P211" s="2">
        <v>406244951</v>
      </c>
      <c r="Q211" s="2">
        <v>429827304</v>
      </c>
      <c r="R211" s="2">
        <v>461018140</v>
      </c>
      <c r="S211" s="2">
        <v>479078736</v>
      </c>
      <c r="T211" s="2">
        <v>519857062</v>
      </c>
      <c r="U211" s="2">
        <v>20323.39</v>
      </c>
      <c r="V211" t="str">
        <f t="shared" si="7"/>
        <v>10309</v>
      </c>
      <c r="W211" s="2">
        <v>232162</v>
      </c>
      <c r="X211" s="1">
        <v>0</v>
      </c>
      <c r="Y211" s="1">
        <v>0</v>
      </c>
      <c r="Z211" s="1">
        <v>27934.93</v>
      </c>
    </row>
    <row r="212" spans="1:26" x14ac:dyDescent="0.25">
      <c r="A212" t="s">
        <v>24</v>
      </c>
      <c r="B212" t="s">
        <v>25</v>
      </c>
      <c r="C212" s="1"/>
      <c r="D212" s="1"/>
      <c r="E212" s="1"/>
      <c r="F212" s="1"/>
      <c r="G212" s="2"/>
      <c r="H212" s="2">
        <f>VLOOKUP(A212,VAL!$A$3:$F$298,3,FALSE)</f>
        <v>23000000</v>
      </c>
      <c r="I212" s="2">
        <v>23000000</v>
      </c>
      <c r="J212" s="2">
        <v>8308457040</v>
      </c>
      <c r="K212" s="2">
        <v>9345900211</v>
      </c>
      <c r="L212" s="2">
        <v>9973947997</v>
      </c>
      <c r="M212" s="2">
        <v>10853832797</v>
      </c>
      <c r="N212" s="2">
        <v>12136803740</v>
      </c>
      <c r="O212" s="2">
        <v>13609087105</v>
      </c>
      <c r="P212" s="2">
        <v>15150376877</v>
      </c>
      <c r="Q212" s="2">
        <v>16741056116</v>
      </c>
      <c r="R212" s="2">
        <v>18291138925</v>
      </c>
      <c r="S212" s="2">
        <v>20794765316</v>
      </c>
      <c r="T212" s="2">
        <v>22907185746</v>
      </c>
      <c r="U212" s="2">
        <v>1659121.92</v>
      </c>
      <c r="V212" t="str">
        <f t="shared" si="7"/>
        <v>03400</v>
      </c>
      <c r="W212" s="2">
        <v>12318800</v>
      </c>
      <c r="X212" s="1">
        <v>463371.22</v>
      </c>
      <c r="Y212" s="1">
        <v>60880.700000000012</v>
      </c>
      <c r="Z212" s="1">
        <v>98358.17</v>
      </c>
    </row>
    <row r="213" spans="1:26" x14ac:dyDescent="0.25">
      <c r="A213" t="s">
        <v>66</v>
      </c>
      <c r="B213" t="s">
        <v>67</v>
      </c>
      <c r="C213" s="1"/>
      <c r="D213" s="1"/>
      <c r="E213" s="1"/>
      <c r="F213" s="1"/>
      <c r="G213" s="2"/>
      <c r="H213" s="2">
        <f>VLOOKUP(A213,VAL!$A$3:$F$298,3,FALSE)</f>
        <v>7572923</v>
      </c>
      <c r="I213" s="2">
        <v>5400000</v>
      </c>
      <c r="J213" s="2">
        <v>3459003443</v>
      </c>
      <c r="K213" s="2">
        <v>3866600788</v>
      </c>
      <c r="L213" s="2">
        <v>4324833425</v>
      </c>
      <c r="M213" s="2">
        <v>5114633437</v>
      </c>
      <c r="N213" s="2">
        <v>6321424747</v>
      </c>
      <c r="O213" s="2">
        <v>7035855351</v>
      </c>
      <c r="P213" s="2">
        <v>7735088201</v>
      </c>
      <c r="Q213" s="2">
        <v>8569116941</v>
      </c>
      <c r="R213" s="2">
        <v>9394768369</v>
      </c>
      <c r="S213" s="2">
        <v>10448654836</v>
      </c>
      <c r="T213" s="2">
        <v>11236695998</v>
      </c>
      <c r="U213" s="2">
        <v>0</v>
      </c>
      <c r="V213" t="str">
        <f t="shared" si="7"/>
        <v>06122</v>
      </c>
      <c r="W213" s="2">
        <v>3621028.35</v>
      </c>
      <c r="X213" s="1">
        <v>0</v>
      </c>
      <c r="Y213" s="1">
        <v>0</v>
      </c>
      <c r="Z213" s="1">
        <v>0</v>
      </c>
    </row>
    <row r="214" spans="1:26" x14ac:dyDescent="0.25">
      <c r="A214" t="s">
        <v>8</v>
      </c>
      <c r="B214" t="s">
        <v>9</v>
      </c>
      <c r="C214" s="1"/>
      <c r="D214" s="1"/>
      <c r="E214" s="1"/>
      <c r="F214" s="1"/>
      <c r="G214" s="2"/>
      <c r="H214" s="2">
        <f>VLOOKUP(A214,VAL!$A$3:$F$298,3,FALSE)</f>
        <v>596719</v>
      </c>
      <c r="I214" s="2">
        <v>596719</v>
      </c>
      <c r="J214" s="2">
        <v>380326008</v>
      </c>
      <c r="K214" s="2">
        <v>389955544</v>
      </c>
      <c r="L214" s="2">
        <v>401867990</v>
      </c>
      <c r="M214" s="2">
        <v>465962367</v>
      </c>
      <c r="N214" s="2">
        <v>494873542</v>
      </c>
      <c r="O214" s="2">
        <v>550388083</v>
      </c>
      <c r="P214" s="2">
        <v>571222539</v>
      </c>
      <c r="Q214" s="2">
        <v>642356086</v>
      </c>
      <c r="R214" s="2">
        <v>695360357</v>
      </c>
      <c r="S214" s="2">
        <v>760287770</v>
      </c>
      <c r="T214" s="2">
        <v>788314238</v>
      </c>
      <c r="U214" s="2">
        <v>0</v>
      </c>
      <c r="V214" t="str">
        <f t="shared" si="7"/>
        <v>01160</v>
      </c>
      <c r="W214" s="2">
        <v>415759.5</v>
      </c>
      <c r="X214" s="1">
        <v>0</v>
      </c>
      <c r="Y214" s="1">
        <v>0</v>
      </c>
      <c r="Z214" s="1">
        <v>0</v>
      </c>
    </row>
    <row r="215" spans="1:26" x14ac:dyDescent="0.25">
      <c r="A215" t="s">
        <v>461</v>
      </c>
      <c r="B215" t="s">
        <v>462</v>
      </c>
      <c r="C215" s="1"/>
      <c r="D215" s="1"/>
      <c r="E215" s="1"/>
      <c r="F215" s="1"/>
      <c r="G215" s="2"/>
      <c r="H215" s="2">
        <f>VLOOKUP(A215,VAL!$A$3:$F$298,3,FALSE)</f>
        <v>1664500</v>
      </c>
      <c r="I215" s="2">
        <v>1664500</v>
      </c>
      <c r="J215" s="2">
        <v>1100572376</v>
      </c>
      <c r="K215" s="2">
        <v>1203697710</v>
      </c>
      <c r="L215" s="2">
        <v>1337605083</v>
      </c>
      <c r="M215" s="2">
        <v>1556622704</v>
      </c>
      <c r="N215" s="2">
        <v>2025357165</v>
      </c>
      <c r="O215" s="2">
        <v>2169349929</v>
      </c>
      <c r="P215" s="2">
        <v>2305952309</v>
      </c>
      <c r="Q215" s="2">
        <v>2523024852</v>
      </c>
      <c r="R215" s="2">
        <v>2716907316</v>
      </c>
      <c r="S215" s="2">
        <v>2893777844</v>
      </c>
      <c r="T215" s="2">
        <v>3086888506</v>
      </c>
      <c r="U215" s="2">
        <v>4662.1000000000004</v>
      </c>
      <c r="V215" t="str">
        <f t="shared" si="7"/>
        <v>32416</v>
      </c>
      <c r="W215" s="2">
        <v>1040488.02</v>
      </c>
      <c r="X215" s="1">
        <v>0</v>
      </c>
      <c r="Y215" s="1">
        <v>0</v>
      </c>
      <c r="Z215" s="1">
        <v>96076.94</v>
      </c>
    </row>
    <row r="216" spans="1:26" x14ac:dyDescent="0.25">
      <c r="A216" t="s">
        <v>197</v>
      </c>
      <c r="B216" t="s">
        <v>198</v>
      </c>
      <c r="C216" s="1"/>
      <c r="D216" s="1"/>
      <c r="E216" s="1"/>
      <c r="F216" s="1"/>
      <c r="G216" s="2"/>
      <c r="H216" s="2">
        <f>VLOOKUP(A216,VAL!$A$3:$F$298,3,FALSE)</f>
        <v>8450000</v>
      </c>
      <c r="I216" s="2">
        <v>8450000</v>
      </c>
      <c r="J216" s="2">
        <v>4348263360</v>
      </c>
      <c r="K216" s="2">
        <v>4801132717</v>
      </c>
      <c r="L216" s="2">
        <v>4875914316</v>
      </c>
      <c r="M216" s="2">
        <v>5759316961</v>
      </c>
      <c r="N216" s="2">
        <v>7831670975</v>
      </c>
      <c r="O216" s="2">
        <v>7712788524</v>
      </c>
      <c r="P216" s="2">
        <v>8297707965</v>
      </c>
      <c r="Q216" s="2">
        <v>8710512851</v>
      </c>
      <c r="R216" s="2">
        <v>9317579918</v>
      </c>
      <c r="S216" s="2">
        <v>9987270051</v>
      </c>
      <c r="T216" s="2">
        <v>10830543287</v>
      </c>
      <c r="U216" s="2">
        <v>0</v>
      </c>
      <c r="V216" t="str">
        <f t="shared" si="7"/>
        <v>17407</v>
      </c>
      <c r="W216" s="2">
        <v>3705116</v>
      </c>
      <c r="X216" s="1">
        <v>0</v>
      </c>
      <c r="Y216" s="1">
        <v>0</v>
      </c>
      <c r="Z216" s="1">
        <v>0</v>
      </c>
    </row>
    <row r="217" spans="1:26" x14ac:dyDescent="0.25">
      <c r="A217" t="s">
        <v>499</v>
      </c>
      <c r="B217" t="s">
        <v>500</v>
      </c>
      <c r="C217" s="1"/>
      <c r="D217" s="1"/>
      <c r="E217" s="1"/>
      <c r="F217" s="1"/>
      <c r="G217" s="2"/>
      <c r="H217" s="2">
        <f>VLOOKUP(A217,VAL!$A$3:$F$298,3,FALSE)</f>
        <v>4119985</v>
      </c>
      <c r="I217" s="2">
        <v>4119985</v>
      </c>
      <c r="J217" s="2">
        <v>1233794726</v>
      </c>
      <c r="K217" s="2">
        <v>1286381438.4200001</v>
      </c>
      <c r="L217" s="2">
        <v>1389201195</v>
      </c>
      <c r="M217" s="2">
        <v>1648863641</v>
      </c>
      <c r="N217" s="2">
        <v>2047315010</v>
      </c>
      <c r="O217" s="2">
        <v>2048680171</v>
      </c>
      <c r="P217" s="2">
        <v>2312766380</v>
      </c>
      <c r="Q217" s="2">
        <v>2479383442</v>
      </c>
      <c r="R217" s="2">
        <v>2725907791</v>
      </c>
      <c r="S217" s="2">
        <v>3014484227</v>
      </c>
      <c r="T217" s="2">
        <v>3407848076</v>
      </c>
      <c r="U217" s="2">
        <v>314327.71000000002</v>
      </c>
      <c r="V217" t="str">
        <f t="shared" si="7"/>
        <v>34401</v>
      </c>
      <c r="W217" s="2">
        <v>1945163.16</v>
      </c>
      <c r="X217" s="1">
        <v>207741.16</v>
      </c>
      <c r="Y217" s="1">
        <v>27294.369999999995</v>
      </c>
      <c r="Z217" s="1">
        <v>0</v>
      </c>
    </row>
    <row r="218" spans="1:26" x14ac:dyDescent="0.25">
      <c r="A218" t="s">
        <v>249</v>
      </c>
      <c r="B218" t="s">
        <v>250</v>
      </c>
      <c r="C218" s="1"/>
      <c r="D218" s="1"/>
      <c r="E218" s="1"/>
      <c r="F218" s="1"/>
      <c r="G218" s="2"/>
      <c r="H218" s="2">
        <f>VLOOKUP(A218,VAL!$A$3:$F$298,3,FALSE)</f>
        <v>60000</v>
      </c>
      <c r="I218" s="2">
        <v>60000</v>
      </c>
      <c r="J218" s="2">
        <v>153471497</v>
      </c>
      <c r="K218" s="2">
        <v>156302340</v>
      </c>
      <c r="L218" s="2">
        <v>150029559</v>
      </c>
      <c r="M218" s="2">
        <v>157769837</v>
      </c>
      <c r="N218" s="2">
        <v>161852283</v>
      </c>
      <c r="O218" s="2">
        <v>163232158</v>
      </c>
      <c r="P218" s="2">
        <v>164515117</v>
      </c>
      <c r="Q218" s="2">
        <v>169460675</v>
      </c>
      <c r="R218" s="2">
        <v>168096734</v>
      </c>
      <c r="S218" s="2">
        <v>168611375</v>
      </c>
      <c r="T218" s="2">
        <v>171905107</v>
      </c>
      <c r="U218" s="2">
        <v>0</v>
      </c>
      <c r="V218" t="str">
        <f t="shared" si="7"/>
        <v>20403</v>
      </c>
      <c r="W218" s="2">
        <v>28428</v>
      </c>
      <c r="X218" s="1">
        <v>0</v>
      </c>
      <c r="Y218" s="1">
        <v>0</v>
      </c>
      <c r="Z218" s="1">
        <v>0</v>
      </c>
    </row>
    <row r="219" spans="1:26" x14ac:dyDescent="0.25">
      <c r="A219" t="s">
        <v>553</v>
      </c>
      <c r="B219" t="s">
        <v>554</v>
      </c>
      <c r="C219" s="1"/>
      <c r="D219" s="1"/>
      <c r="E219" s="1"/>
      <c r="F219" s="1"/>
      <c r="G219" s="2"/>
      <c r="H219" s="2">
        <f>VLOOKUP(A219,VAL!$A$3:$F$298,3,FALSE)</f>
        <v>305000</v>
      </c>
      <c r="I219" s="2">
        <v>305000</v>
      </c>
      <c r="J219" s="2">
        <v>174834804</v>
      </c>
      <c r="K219" s="2">
        <v>178674016</v>
      </c>
      <c r="L219" s="2">
        <v>167239008</v>
      </c>
      <c r="M219" s="2">
        <v>176878425</v>
      </c>
      <c r="N219" s="2">
        <v>178037169</v>
      </c>
      <c r="O219" s="2">
        <v>186727452</v>
      </c>
      <c r="P219" s="2">
        <v>192533274</v>
      </c>
      <c r="Q219" s="2">
        <v>197828822</v>
      </c>
      <c r="R219" s="2">
        <v>199569639</v>
      </c>
      <c r="S219" s="2">
        <v>210916878</v>
      </c>
      <c r="T219" s="2">
        <v>216383853</v>
      </c>
      <c r="U219" s="2">
        <v>5804.94</v>
      </c>
      <c r="V219" t="str">
        <f t="shared" si="7"/>
        <v>38320</v>
      </c>
      <c r="W219" s="2">
        <v>209512.49</v>
      </c>
      <c r="X219" s="1">
        <v>59873.35</v>
      </c>
      <c r="Y219" s="1">
        <v>7866.5499999999956</v>
      </c>
      <c r="Z219" s="1">
        <v>1304.31</v>
      </c>
    </row>
    <row r="220" spans="1:26" x14ac:dyDescent="0.25">
      <c r="A220" t="s">
        <v>126</v>
      </c>
      <c r="B220" t="s">
        <v>127</v>
      </c>
      <c r="C220" s="1"/>
      <c r="D220" s="1"/>
      <c r="E220" s="1"/>
      <c r="F220" s="1"/>
      <c r="G220" s="2"/>
      <c r="H220" s="2">
        <f>VLOOKUP(A220,VAL!$A$3:$F$298,3,FALSE)</f>
        <v>1370000</v>
      </c>
      <c r="I220" s="2">
        <v>1370000</v>
      </c>
      <c r="J220" s="2">
        <v>806138081</v>
      </c>
      <c r="K220" s="2">
        <v>812898554</v>
      </c>
      <c r="L220" s="2">
        <v>818702599</v>
      </c>
      <c r="M220" s="2">
        <v>851315754</v>
      </c>
      <c r="N220" s="2">
        <v>940795865</v>
      </c>
      <c r="O220" s="2">
        <v>921860047</v>
      </c>
      <c r="P220" s="2">
        <v>987651873</v>
      </c>
      <c r="Q220" s="2">
        <v>1047243491</v>
      </c>
      <c r="R220" s="2">
        <v>1096948056</v>
      </c>
      <c r="S220" s="2">
        <v>1138248939</v>
      </c>
      <c r="T220" s="2">
        <v>1198340572</v>
      </c>
      <c r="U220" s="2">
        <v>458813.76</v>
      </c>
      <c r="V220" t="str">
        <f t="shared" si="7"/>
        <v>13160</v>
      </c>
      <c r="W220" s="2">
        <v>649106</v>
      </c>
      <c r="X220" s="1">
        <v>0</v>
      </c>
      <c r="Y220" s="1">
        <v>0</v>
      </c>
      <c r="Z220" s="1">
        <v>0</v>
      </c>
    </row>
    <row r="221" spans="1:26" x14ac:dyDescent="0.25">
      <c r="A221" t="s">
        <v>383</v>
      </c>
      <c r="B221" t="s">
        <v>384</v>
      </c>
      <c r="C221" s="1"/>
      <c r="D221" s="1"/>
      <c r="E221" s="1"/>
      <c r="F221" s="1"/>
      <c r="G221" s="2"/>
      <c r="H221" s="2">
        <f>VLOOKUP(A221,VAL!$A$3:$F$298,3,FALSE)</f>
        <v>2426500</v>
      </c>
      <c r="I221" s="2">
        <v>1899800</v>
      </c>
      <c r="J221" s="2">
        <v>3455262699</v>
      </c>
      <c r="K221" s="2">
        <v>3776697941</v>
      </c>
      <c r="L221" s="2">
        <v>4116556544</v>
      </c>
      <c r="M221" s="2">
        <v>4452952661</v>
      </c>
      <c r="N221" s="2">
        <v>5546062448</v>
      </c>
      <c r="O221" s="2">
        <v>5427319631</v>
      </c>
      <c r="P221" s="2">
        <v>6003346111</v>
      </c>
      <c r="Q221" s="2">
        <v>6403792823</v>
      </c>
      <c r="R221" s="2">
        <v>6917944691</v>
      </c>
      <c r="S221" s="2">
        <v>7604563962</v>
      </c>
      <c r="T221" s="2">
        <v>8322023493</v>
      </c>
      <c r="U221" s="2">
        <v>0</v>
      </c>
      <c r="V221" t="str">
        <f t="shared" si="7"/>
        <v>28149</v>
      </c>
      <c r="W221" s="2">
        <v>1027932.32</v>
      </c>
      <c r="X221" s="1">
        <v>0</v>
      </c>
      <c r="Y221" s="1">
        <v>0</v>
      </c>
      <c r="Z221" s="1">
        <v>0</v>
      </c>
    </row>
    <row r="222" spans="1:26" x14ac:dyDescent="0.25">
      <c r="A222" t="s">
        <v>154</v>
      </c>
      <c r="B222" t="s">
        <v>155</v>
      </c>
      <c r="C222" s="1"/>
      <c r="D222" s="1"/>
      <c r="E222" s="1"/>
      <c r="F222" s="1"/>
      <c r="G222" s="2"/>
      <c r="H222" s="2">
        <f>VLOOKUP(A222,VAL!$A$3:$F$298,3,FALSE)</f>
        <v>80000</v>
      </c>
      <c r="I222" s="2">
        <v>80000</v>
      </c>
      <c r="J222" s="2">
        <v>47973943</v>
      </c>
      <c r="K222" s="2">
        <v>48445264</v>
      </c>
      <c r="L222" s="2">
        <v>53083046</v>
      </c>
      <c r="M222" s="2">
        <v>62010456</v>
      </c>
      <c r="N222" s="2">
        <v>87201763</v>
      </c>
      <c r="O222" s="2">
        <v>77009593</v>
      </c>
      <c r="P222" s="2">
        <v>84140595</v>
      </c>
      <c r="Q222" s="2">
        <v>91766611</v>
      </c>
      <c r="R222" s="2">
        <v>103325444</v>
      </c>
      <c r="S222" s="2">
        <v>115966313</v>
      </c>
      <c r="T222" s="2">
        <v>131295447</v>
      </c>
      <c r="U222" s="2">
        <v>9443.2199999999993</v>
      </c>
      <c r="V222" t="str">
        <f t="shared" si="7"/>
        <v>14104</v>
      </c>
      <c r="W222" s="2">
        <v>39325.870000000003</v>
      </c>
      <c r="X222" s="1">
        <v>9437.75</v>
      </c>
      <c r="Y222" s="1">
        <v>1239.9899999999998</v>
      </c>
      <c r="Z222" s="1">
        <v>8796.4</v>
      </c>
    </row>
    <row r="223" spans="1:26" x14ac:dyDescent="0.25">
      <c r="A223" t="s">
        <v>178</v>
      </c>
      <c r="B223" t="s">
        <v>179</v>
      </c>
      <c r="C223" s="1"/>
      <c r="D223" s="1"/>
      <c r="E223" s="1"/>
      <c r="F223" s="1"/>
      <c r="G223" s="2"/>
      <c r="H223" s="2">
        <f>VLOOKUP(A223,VAL!$A$3:$F$298,3,FALSE)</f>
        <v>278600000</v>
      </c>
      <c r="I223" s="2">
        <v>278600000</v>
      </c>
      <c r="J223" s="2">
        <v>244342237051</v>
      </c>
      <c r="K223" s="2">
        <v>257341774838</v>
      </c>
      <c r="L223" s="2">
        <v>261293732253</v>
      </c>
      <c r="M223" s="2">
        <v>275175430537</v>
      </c>
      <c r="N223" s="2">
        <v>307558388448</v>
      </c>
      <c r="O223" s="2">
        <v>344212929751</v>
      </c>
      <c r="P223" s="2">
        <v>362688704571</v>
      </c>
      <c r="Q223" s="2">
        <v>379929198400</v>
      </c>
      <c r="R223" s="2">
        <v>401917547380</v>
      </c>
      <c r="S223" s="2">
        <v>409513898001</v>
      </c>
      <c r="T223" s="2">
        <v>420811901248</v>
      </c>
      <c r="U223" s="2">
        <v>0</v>
      </c>
      <c r="V223" t="str">
        <f t="shared" si="7"/>
        <v>17001</v>
      </c>
      <c r="W223" s="2">
        <v>84331758.040000007</v>
      </c>
      <c r="X223" s="1">
        <v>0</v>
      </c>
      <c r="Y223" s="1">
        <v>0</v>
      </c>
      <c r="Z223" s="1">
        <v>0</v>
      </c>
    </row>
    <row r="224" spans="1:26" x14ac:dyDescent="0.25">
      <c r="A224" t="s">
        <v>389</v>
      </c>
      <c r="B224" t="s">
        <v>390</v>
      </c>
      <c r="C224" s="1"/>
      <c r="D224" s="1"/>
      <c r="E224" s="1"/>
      <c r="F224" s="1"/>
      <c r="G224" s="2"/>
      <c r="H224" s="2">
        <f>VLOOKUP(A224,VAL!$A$3:$F$298,3,FALSE)</f>
        <v>12046115</v>
      </c>
      <c r="I224" s="2">
        <v>12046115</v>
      </c>
      <c r="J224" s="2">
        <v>3372770701</v>
      </c>
      <c r="K224" s="2">
        <v>3703984246</v>
      </c>
      <c r="L224" s="2">
        <v>3960932628</v>
      </c>
      <c r="M224" s="2">
        <v>4582069141</v>
      </c>
      <c r="N224" s="2">
        <v>5577343353</v>
      </c>
      <c r="O224" s="2">
        <v>5757762297</v>
      </c>
      <c r="P224" s="2">
        <v>6441952679</v>
      </c>
      <c r="Q224" s="2">
        <v>7291325631</v>
      </c>
      <c r="R224" s="2">
        <v>7807126723</v>
      </c>
      <c r="S224" s="2">
        <v>8591890192</v>
      </c>
      <c r="T224" s="2">
        <v>9686817318</v>
      </c>
      <c r="U224" s="2">
        <v>46051.54</v>
      </c>
      <c r="V224" t="str">
        <f t="shared" si="7"/>
        <v>29101</v>
      </c>
      <c r="W224" s="2">
        <v>5427460.9000000004</v>
      </c>
      <c r="X224" s="1">
        <v>0</v>
      </c>
      <c r="Y224" s="1">
        <v>0</v>
      </c>
      <c r="Z224" s="1">
        <v>349385.88</v>
      </c>
    </row>
    <row r="225" spans="1:26" x14ac:dyDescent="0.25">
      <c r="A225" t="s">
        <v>567</v>
      </c>
      <c r="B225" t="s">
        <v>568</v>
      </c>
      <c r="C225" s="1"/>
      <c r="D225" s="1"/>
      <c r="E225" s="1"/>
      <c r="F225" s="1"/>
      <c r="G225" s="2"/>
      <c r="H225" s="2">
        <f>VLOOKUP(A225,VAL!$A$3:$F$298,3,FALSE)</f>
        <v>5730736</v>
      </c>
      <c r="I225" s="2">
        <v>5730736</v>
      </c>
      <c r="J225" s="2">
        <v>1804048251</v>
      </c>
      <c r="K225" s="2">
        <v>2024566774</v>
      </c>
      <c r="L225" s="2">
        <v>2152682976</v>
      </c>
      <c r="M225" s="2">
        <v>2389273432</v>
      </c>
      <c r="N225" s="2">
        <v>2638066643</v>
      </c>
      <c r="O225" s="2">
        <v>2915021772</v>
      </c>
      <c r="P225" s="2">
        <v>3211084605</v>
      </c>
      <c r="Q225" s="2">
        <v>3514681027</v>
      </c>
      <c r="R225" s="2">
        <v>3766557592</v>
      </c>
      <c r="S225" s="2">
        <v>4216809604</v>
      </c>
      <c r="T225" s="2">
        <v>4690579055</v>
      </c>
      <c r="U225" s="2">
        <v>686972.59</v>
      </c>
      <c r="V225" t="str">
        <f t="shared" si="7"/>
        <v>39119</v>
      </c>
      <c r="W225" s="2">
        <v>1682078.6</v>
      </c>
      <c r="X225" s="1">
        <v>118937.32</v>
      </c>
      <c r="Y225" s="1">
        <v>15626.75</v>
      </c>
      <c r="Z225" s="1">
        <v>19181.72</v>
      </c>
    </row>
    <row r="226" spans="1:26" x14ac:dyDescent="0.25">
      <c r="A226" t="s">
        <v>345</v>
      </c>
      <c r="B226" t="s">
        <v>346</v>
      </c>
      <c r="C226" s="1"/>
      <c r="D226" s="1"/>
      <c r="E226" s="1"/>
      <c r="F226" s="1"/>
      <c r="G226" s="2"/>
      <c r="H226" s="2">
        <f>VLOOKUP(A226,VAL!$A$3:$F$298,3,FALSE)</f>
        <v>575000</v>
      </c>
      <c r="I226" s="2">
        <v>575000</v>
      </c>
      <c r="J226" s="2">
        <v>289589389</v>
      </c>
      <c r="K226" s="2">
        <v>293904109</v>
      </c>
      <c r="L226" s="2">
        <v>293947101</v>
      </c>
      <c r="M226" s="2">
        <v>306804737</v>
      </c>
      <c r="N226" s="2">
        <v>347374541</v>
      </c>
      <c r="O226" s="2">
        <v>305778085</v>
      </c>
      <c r="P226" s="2">
        <v>302847521</v>
      </c>
      <c r="Q226" s="2">
        <v>301837155</v>
      </c>
      <c r="R226" s="2">
        <v>307703995</v>
      </c>
      <c r="S226" s="2">
        <v>296146290</v>
      </c>
      <c r="T226" s="2">
        <v>289624978</v>
      </c>
      <c r="U226" s="2">
        <v>0</v>
      </c>
      <c r="V226" t="str">
        <f t="shared" si="7"/>
        <v>26070</v>
      </c>
      <c r="W226" s="2">
        <v>329651.09000000003</v>
      </c>
      <c r="X226" s="1">
        <v>0</v>
      </c>
      <c r="Y226" s="1">
        <v>0</v>
      </c>
      <c r="Z226" s="1">
        <v>0</v>
      </c>
    </row>
    <row r="227" spans="1:26" x14ac:dyDescent="0.25">
      <c r="A227" t="s">
        <v>44</v>
      </c>
      <c r="B227" t="s">
        <v>45</v>
      </c>
      <c r="C227" s="1"/>
      <c r="D227" s="1"/>
      <c r="E227" s="1"/>
      <c r="F227" s="1"/>
      <c r="G227" s="2"/>
      <c r="H227" s="2">
        <f>VLOOKUP(A227,VAL!$A$3:$F$298,3,FALSE)</f>
        <v>6524000</v>
      </c>
      <c r="I227" s="2">
        <v>6524000</v>
      </c>
      <c r="J227" s="2">
        <v>4782558576</v>
      </c>
      <c r="K227" s="2">
        <v>5230763174</v>
      </c>
      <c r="L227" s="2">
        <v>5653732658</v>
      </c>
      <c r="M227" s="2">
        <v>6455013370</v>
      </c>
      <c r="N227" s="2">
        <v>8152739149</v>
      </c>
      <c r="O227" s="2">
        <v>7746315503</v>
      </c>
      <c r="P227" s="2">
        <v>8323540502</v>
      </c>
      <c r="Q227" s="2">
        <v>9070812550</v>
      </c>
      <c r="R227" s="2">
        <v>10192219463</v>
      </c>
      <c r="S227" s="2">
        <v>11327066941</v>
      </c>
      <c r="T227" s="2">
        <v>12615479744</v>
      </c>
      <c r="U227" s="2">
        <v>0</v>
      </c>
      <c r="V227" t="str">
        <f t="shared" si="7"/>
        <v>05323</v>
      </c>
      <c r="W227" s="2">
        <v>3396579.11</v>
      </c>
      <c r="X227" s="1">
        <v>0</v>
      </c>
      <c r="Y227" s="1">
        <v>0</v>
      </c>
      <c r="Z227" s="1">
        <v>0</v>
      </c>
    </row>
    <row r="228" spans="1:26" x14ac:dyDescent="0.25">
      <c r="A228" t="s">
        <v>377</v>
      </c>
      <c r="B228" t="s">
        <v>378</v>
      </c>
      <c r="C228" s="1"/>
      <c r="D228" s="1"/>
      <c r="E228" s="1"/>
      <c r="F228" s="1"/>
      <c r="G228" s="2"/>
      <c r="H228" s="2">
        <f>VLOOKUP(A228,VAL!$A$3:$F$298,3,FALSE)</f>
        <v>0</v>
      </c>
      <c r="I228" s="2">
        <v>0</v>
      </c>
      <c r="J228" s="2">
        <v>190048741</v>
      </c>
      <c r="K228" s="2">
        <v>197369492</v>
      </c>
      <c r="L228" s="2">
        <v>196914647</v>
      </c>
      <c r="M228" s="2">
        <v>219166122</v>
      </c>
      <c r="N228" s="2">
        <v>332516244</v>
      </c>
      <c r="O228" s="2">
        <v>238291324</v>
      </c>
      <c r="P228" s="2">
        <v>245287340</v>
      </c>
      <c r="Q228" s="2">
        <v>249098059</v>
      </c>
      <c r="R228" s="2">
        <v>263362120</v>
      </c>
      <c r="S228" s="2">
        <v>278442356</v>
      </c>
      <c r="T228" s="2">
        <v>298674533</v>
      </c>
      <c r="U228" s="2">
        <v>0</v>
      </c>
      <c r="V228" t="str">
        <f t="shared" si="7"/>
        <v>28010</v>
      </c>
      <c r="W228" s="2">
        <v>0</v>
      </c>
      <c r="X228" s="1">
        <v>0</v>
      </c>
      <c r="Y228" s="1">
        <v>0</v>
      </c>
      <c r="Z228" s="1">
        <v>0</v>
      </c>
    </row>
    <row r="229" spans="1:26" x14ac:dyDescent="0.25">
      <c r="A229" t="s">
        <v>303</v>
      </c>
      <c r="B229" t="s">
        <v>304</v>
      </c>
      <c r="C229" s="1"/>
      <c r="D229" s="1"/>
      <c r="E229" s="1"/>
      <c r="F229" s="1"/>
      <c r="G229" s="2"/>
      <c r="H229" s="2">
        <f>VLOOKUP(A229,VAL!$A$3:$F$298,3,FALSE)</f>
        <v>7330000</v>
      </c>
      <c r="I229" s="2">
        <v>7330000</v>
      </c>
      <c r="J229" s="2">
        <v>1971122236</v>
      </c>
      <c r="K229" s="2">
        <v>2107580536</v>
      </c>
      <c r="L229" s="2">
        <v>2339263541</v>
      </c>
      <c r="M229" s="2">
        <v>2649624415</v>
      </c>
      <c r="N229" s="2">
        <v>3137069172</v>
      </c>
      <c r="O229" s="2">
        <v>3303403496</v>
      </c>
      <c r="P229" s="2">
        <v>3556134791</v>
      </c>
      <c r="Q229" s="2">
        <v>3874589684</v>
      </c>
      <c r="R229" s="2">
        <v>4346219495</v>
      </c>
      <c r="S229" s="2">
        <v>4713932665</v>
      </c>
      <c r="T229" s="2">
        <v>5098883745</v>
      </c>
      <c r="U229" s="2">
        <v>683645.03</v>
      </c>
      <c r="V229" t="str">
        <f t="shared" si="7"/>
        <v>23309</v>
      </c>
      <c r="W229" s="2">
        <v>2627418.1</v>
      </c>
      <c r="X229" s="1">
        <v>314933.5</v>
      </c>
      <c r="Y229" s="1">
        <v>41378</v>
      </c>
      <c r="Z229" s="1">
        <v>540648.73</v>
      </c>
    </row>
    <row r="230" spans="1:26" x14ac:dyDescent="0.25">
      <c r="A230" t="s">
        <v>207</v>
      </c>
      <c r="B230" t="s">
        <v>208</v>
      </c>
      <c r="C230" s="1"/>
      <c r="D230" s="1"/>
      <c r="E230" s="1"/>
      <c r="F230" s="1"/>
      <c r="G230" s="2"/>
      <c r="H230" s="2">
        <f>VLOOKUP(A230,VAL!$A$3:$F$298,3,FALSE)</f>
        <v>21300000</v>
      </c>
      <c r="I230" s="2">
        <v>21300000</v>
      </c>
      <c r="J230" s="2">
        <v>13933575283</v>
      </c>
      <c r="K230" s="2">
        <v>14947635058</v>
      </c>
      <c r="L230" s="2">
        <v>15195661954</v>
      </c>
      <c r="M230" s="2">
        <v>17229855666</v>
      </c>
      <c r="N230" s="2">
        <v>20599730373</v>
      </c>
      <c r="O230" s="2">
        <v>22319216495</v>
      </c>
      <c r="P230" s="2">
        <v>23090962267</v>
      </c>
      <c r="Q230" s="2">
        <v>24334811463</v>
      </c>
      <c r="R230" s="2">
        <v>25055919740</v>
      </c>
      <c r="S230" s="2">
        <v>26221683294</v>
      </c>
      <c r="T230" s="2">
        <v>28231547783</v>
      </c>
      <c r="U230" s="2">
        <v>0</v>
      </c>
      <c r="V230" t="str">
        <f t="shared" si="7"/>
        <v>17412</v>
      </c>
      <c r="W230" s="2">
        <v>12487129.109999999</v>
      </c>
      <c r="X230" s="1">
        <v>0</v>
      </c>
      <c r="Y230" s="1">
        <v>0</v>
      </c>
      <c r="Z230" s="1">
        <v>0</v>
      </c>
    </row>
    <row r="231" spans="1:26" x14ac:dyDescent="0.25">
      <c r="A231" t="s">
        <v>399</v>
      </c>
      <c r="B231" t="s">
        <v>400</v>
      </c>
      <c r="C231" s="1"/>
      <c r="D231" s="1"/>
      <c r="E231" s="1"/>
      <c r="F231" s="1"/>
      <c r="G231" s="2"/>
      <c r="H231" s="2">
        <f>VLOOKUP(A231,VAL!$A$3:$F$298,3,FALSE)</f>
        <v>175000</v>
      </c>
      <c r="I231" s="2">
        <v>175000</v>
      </c>
      <c r="J231" s="2">
        <v>146037863</v>
      </c>
      <c r="K231" s="2">
        <v>160828166</v>
      </c>
      <c r="L231" s="2">
        <v>164552163</v>
      </c>
      <c r="M231" s="2">
        <v>176723377</v>
      </c>
      <c r="N231" s="2">
        <v>199519979</v>
      </c>
      <c r="O231" s="2">
        <v>202755565</v>
      </c>
      <c r="P231" s="2">
        <v>221706260</v>
      </c>
      <c r="Q231" s="2">
        <v>236620974</v>
      </c>
      <c r="R231" s="2">
        <v>249910333</v>
      </c>
      <c r="S231" s="2">
        <v>271523249</v>
      </c>
      <c r="T231" s="2">
        <v>291653494</v>
      </c>
      <c r="U231" s="2">
        <v>0</v>
      </c>
      <c r="V231" t="str">
        <f t="shared" si="7"/>
        <v>30002</v>
      </c>
      <c r="W231" s="2">
        <v>108689.72</v>
      </c>
      <c r="X231" s="1">
        <v>0</v>
      </c>
      <c r="Y231" s="1">
        <v>0</v>
      </c>
      <c r="Z231" s="1">
        <v>0</v>
      </c>
    </row>
    <row r="232" spans="1:26" x14ac:dyDescent="0.25">
      <c r="A232" t="s">
        <v>192</v>
      </c>
      <c r="B232" t="s">
        <v>193</v>
      </c>
      <c r="C232" s="1"/>
      <c r="D232" s="1"/>
      <c r="E232" s="1"/>
      <c r="F232" s="1"/>
      <c r="G232" s="2"/>
      <c r="H232" s="2">
        <f>VLOOKUP(A232,VAL!$A$3:$F$298,3,FALSE)</f>
        <v>291554</v>
      </c>
      <c r="I232" s="2">
        <v>291554</v>
      </c>
      <c r="J232" s="2">
        <v>198756319</v>
      </c>
      <c r="K232" s="2">
        <v>230208058</v>
      </c>
      <c r="L232" s="2">
        <v>224845723</v>
      </c>
      <c r="M232" s="2">
        <v>257650933</v>
      </c>
      <c r="N232" s="2">
        <v>307991357</v>
      </c>
      <c r="O232" s="2">
        <v>335932066</v>
      </c>
      <c r="P232" s="2">
        <v>355158512</v>
      </c>
      <c r="Q232" s="2">
        <v>374083098</v>
      </c>
      <c r="R232" s="2">
        <v>392801939</v>
      </c>
      <c r="S232" s="2">
        <v>420493788</v>
      </c>
      <c r="T232" s="2">
        <v>451812621</v>
      </c>
      <c r="U232" s="2">
        <v>0</v>
      </c>
      <c r="V232" t="str">
        <f t="shared" si="7"/>
        <v>17404</v>
      </c>
      <c r="W232" s="2">
        <v>67273.17</v>
      </c>
      <c r="X232" s="1">
        <v>0</v>
      </c>
      <c r="Y232" s="1">
        <v>0</v>
      </c>
      <c r="Z232" s="1">
        <v>0</v>
      </c>
    </row>
    <row r="233" spans="1:26" x14ac:dyDescent="0.25">
      <c r="A233" t="s">
        <v>423</v>
      </c>
      <c r="B233" t="s">
        <v>424</v>
      </c>
      <c r="C233" s="1"/>
      <c r="D233" s="1"/>
      <c r="E233" s="1"/>
      <c r="F233" s="1"/>
      <c r="G233" s="2"/>
      <c r="H233" s="2">
        <f>VLOOKUP(A233,VAL!$A$3:$F$298,3,FALSE)</f>
        <v>15085000</v>
      </c>
      <c r="I233" s="2">
        <v>15084999</v>
      </c>
      <c r="J233" s="2">
        <v>9729028363</v>
      </c>
      <c r="K233" s="2">
        <v>10479402838</v>
      </c>
      <c r="L233" s="2">
        <v>11207073774</v>
      </c>
      <c r="M233" s="2">
        <v>12584402775</v>
      </c>
      <c r="N233" s="2">
        <v>17038379722</v>
      </c>
      <c r="O233" s="2">
        <v>17318668076</v>
      </c>
      <c r="P233" s="2">
        <v>17665483459</v>
      </c>
      <c r="Q233" s="2">
        <v>18806483905</v>
      </c>
      <c r="R233" s="2">
        <v>20090642362</v>
      </c>
      <c r="S233" s="2">
        <v>21048613110</v>
      </c>
      <c r="T233" s="2">
        <v>22177353790</v>
      </c>
      <c r="U233" s="2">
        <v>0</v>
      </c>
      <c r="V233" t="str">
        <f t="shared" si="7"/>
        <v>31201</v>
      </c>
      <c r="W233" s="2">
        <v>9009780.8000000007</v>
      </c>
      <c r="X233" s="1">
        <v>0</v>
      </c>
      <c r="Y233" s="1">
        <v>0</v>
      </c>
      <c r="Z233" s="1">
        <v>0</v>
      </c>
    </row>
    <row r="234" spans="1:26" x14ac:dyDescent="0.25">
      <c r="A234" t="s">
        <v>203</v>
      </c>
      <c r="B234" t="s">
        <v>204</v>
      </c>
      <c r="C234" s="1"/>
      <c r="D234" s="1"/>
      <c r="E234" s="1"/>
      <c r="F234" s="1"/>
      <c r="G234" s="2"/>
      <c r="H234" s="2">
        <f>VLOOKUP(A234,VAL!$A$3:$F$298,3,FALSE)</f>
        <v>14250000</v>
      </c>
      <c r="I234" s="2">
        <v>14250000</v>
      </c>
      <c r="J234" s="2">
        <v>9564872030</v>
      </c>
      <c r="K234" s="2">
        <v>10162733205</v>
      </c>
      <c r="L234" s="2">
        <v>10335577512</v>
      </c>
      <c r="M234" s="2">
        <v>12106535983</v>
      </c>
      <c r="N234" s="2">
        <v>16368646871</v>
      </c>
      <c r="O234" s="2">
        <v>16079672257</v>
      </c>
      <c r="P234" s="2">
        <v>16940052134</v>
      </c>
      <c r="Q234" s="2">
        <v>18322342714</v>
      </c>
      <c r="R234" s="2">
        <v>18983983408</v>
      </c>
      <c r="S234" s="2">
        <v>20086179789</v>
      </c>
      <c r="T234" s="2">
        <v>21450429111</v>
      </c>
      <c r="U234" s="2">
        <v>0</v>
      </c>
      <c r="V234" t="str">
        <f t="shared" si="7"/>
        <v>17410</v>
      </c>
      <c r="W234" s="2">
        <v>8007220</v>
      </c>
      <c r="X234" s="1">
        <v>0</v>
      </c>
      <c r="Y234" s="1">
        <v>0</v>
      </c>
      <c r="Z234" s="1">
        <v>0</v>
      </c>
    </row>
    <row r="235" spans="1:26" x14ac:dyDescent="0.25">
      <c r="A235" t="s">
        <v>124</v>
      </c>
      <c r="B235" t="s">
        <v>125</v>
      </c>
      <c r="C235" s="1"/>
      <c r="D235" s="1"/>
      <c r="E235" s="1"/>
      <c r="F235" s="1"/>
      <c r="G235" s="2"/>
      <c r="H235" s="2">
        <f>VLOOKUP(A235,VAL!$A$3:$F$298,3,FALSE)</f>
        <v>842366</v>
      </c>
      <c r="I235" s="2">
        <v>842366</v>
      </c>
      <c r="J235" s="2">
        <v>207939245</v>
      </c>
      <c r="K235" s="2">
        <v>221053957</v>
      </c>
      <c r="L235" s="2">
        <v>236296480</v>
      </c>
      <c r="M235" s="2">
        <v>261993135</v>
      </c>
      <c r="N235" s="2">
        <v>289131228</v>
      </c>
      <c r="O235" s="2">
        <v>316422738</v>
      </c>
      <c r="P235" s="2">
        <v>345673746</v>
      </c>
      <c r="Q235" s="2">
        <v>376682579</v>
      </c>
      <c r="R235" s="2">
        <v>401020765</v>
      </c>
      <c r="S235" s="2">
        <v>437201213</v>
      </c>
      <c r="T235" s="2">
        <v>466896513</v>
      </c>
      <c r="U235" s="2">
        <v>144521.1</v>
      </c>
      <c r="V235" t="str">
        <f t="shared" si="7"/>
        <v>13156</v>
      </c>
      <c r="W235" s="2">
        <v>295966.62</v>
      </c>
      <c r="X235" s="1">
        <v>0</v>
      </c>
      <c r="Y235" s="1">
        <v>0</v>
      </c>
      <c r="Z235" s="1">
        <v>11182.03</v>
      </c>
    </row>
    <row r="236" spans="1:26" x14ac:dyDescent="0.25">
      <c r="A236" t="s">
        <v>333</v>
      </c>
      <c r="B236" t="s">
        <v>334</v>
      </c>
      <c r="C236" s="1"/>
      <c r="D236" s="1"/>
      <c r="E236" s="1"/>
      <c r="F236" s="1"/>
      <c r="G236" s="2"/>
      <c r="H236" s="2">
        <f>VLOOKUP(A236,VAL!$A$3:$F$298,3,FALSE)</f>
        <v>711000</v>
      </c>
      <c r="I236" s="2">
        <v>711000</v>
      </c>
      <c r="J236" s="2">
        <v>211081990</v>
      </c>
      <c r="K236" s="2">
        <v>226767868</v>
      </c>
      <c r="L236" s="2">
        <v>244696055</v>
      </c>
      <c r="M236" s="2">
        <v>265690882</v>
      </c>
      <c r="N236" s="2">
        <v>345990192</v>
      </c>
      <c r="O236" s="2">
        <v>316305354</v>
      </c>
      <c r="P236" s="2">
        <v>347666124</v>
      </c>
      <c r="Q236" s="2">
        <v>383000082</v>
      </c>
      <c r="R236" s="2">
        <v>416445893</v>
      </c>
      <c r="S236" s="2">
        <v>452240329</v>
      </c>
      <c r="T236" s="2">
        <v>491456427</v>
      </c>
      <c r="U236" s="2">
        <v>161270.89000000001</v>
      </c>
      <c r="V236" t="str">
        <f t="shared" si="7"/>
        <v>25118</v>
      </c>
      <c r="W236" s="2">
        <v>248745</v>
      </c>
      <c r="X236" s="1">
        <v>0</v>
      </c>
      <c r="Y236" s="1">
        <v>0</v>
      </c>
      <c r="Z236" s="1">
        <v>35205.57</v>
      </c>
    </row>
    <row r="237" spans="1:26" x14ac:dyDescent="0.25">
      <c r="A237" t="s">
        <v>223</v>
      </c>
      <c r="B237" t="s">
        <v>224</v>
      </c>
      <c r="C237" s="1"/>
      <c r="D237" s="1"/>
      <c r="E237" s="1"/>
      <c r="F237" s="1"/>
      <c r="G237" s="2"/>
      <c r="H237" s="2">
        <f>VLOOKUP(A237,VAL!$A$3:$F$298,3,FALSE)</f>
        <v>24650304</v>
      </c>
      <c r="I237" s="2">
        <v>24650304</v>
      </c>
      <c r="J237" s="2">
        <v>8551537456.5</v>
      </c>
      <c r="K237" s="2">
        <v>9371260232</v>
      </c>
      <c r="L237" s="2">
        <v>10140523703</v>
      </c>
      <c r="M237" s="2">
        <v>11429548116</v>
      </c>
      <c r="N237" s="2">
        <v>14002799975</v>
      </c>
      <c r="O237" s="2">
        <v>14607778441</v>
      </c>
      <c r="P237" s="2">
        <v>15802158222</v>
      </c>
      <c r="Q237" s="2">
        <v>17506394940</v>
      </c>
      <c r="R237" s="2">
        <v>19440675450</v>
      </c>
      <c r="S237" s="2">
        <v>21751242369</v>
      </c>
      <c r="T237" s="2">
        <v>24383323972</v>
      </c>
      <c r="U237" s="2">
        <v>0</v>
      </c>
      <c r="V237" t="str">
        <f t="shared" si="7"/>
        <v>18402</v>
      </c>
      <c r="W237" s="2">
        <v>12825975.970000001</v>
      </c>
      <c r="X237" s="1">
        <v>0</v>
      </c>
      <c r="Y237" s="1">
        <v>0</v>
      </c>
      <c r="Z237" s="1">
        <v>0</v>
      </c>
    </row>
    <row r="238" spans="1:26" x14ac:dyDescent="0.25">
      <c r="A238" t="s">
        <v>166</v>
      </c>
      <c r="B238" t="s">
        <v>167</v>
      </c>
      <c r="C238" s="1"/>
      <c r="D238" s="1"/>
      <c r="E238" s="1"/>
      <c r="F238" s="1"/>
      <c r="G238" s="2"/>
      <c r="H238" s="2">
        <f>VLOOKUP(A238,VAL!$A$3:$F$298,3,FALSE)</f>
        <v>4300000</v>
      </c>
      <c r="I238" s="2">
        <v>4300000</v>
      </c>
      <c r="J238" s="2">
        <v>4539472045.04</v>
      </c>
      <c r="K238" s="2">
        <v>5004152168</v>
      </c>
      <c r="L238" s="2">
        <v>5349189860</v>
      </c>
      <c r="M238" s="2">
        <v>5849869352</v>
      </c>
      <c r="N238" s="2">
        <v>7157189636</v>
      </c>
      <c r="O238" s="2">
        <v>7051089451</v>
      </c>
      <c r="P238" s="2">
        <v>7761000603</v>
      </c>
      <c r="Q238" s="2">
        <v>8203687415</v>
      </c>
      <c r="R238" s="2">
        <v>8975982598</v>
      </c>
      <c r="S238" s="2">
        <v>9745646512</v>
      </c>
      <c r="T238" s="2">
        <v>10696004505</v>
      </c>
      <c r="U238" s="2">
        <v>0</v>
      </c>
      <c r="V238" t="str">
        <f t="shared" si="7"/>
        <v>15206</v>
      </c>
      <c r="W238" s="2">
        <v>1665903.99</v>
      </c>
      <c r="X238" s="1">
        <v>0</v>
      </c>
      <c r="Y238" s="1">
        <v>0</v>
      </c>
      <c r="Z238" s="1">
        <v>0</v>
      </c>
    </row>
    <row r="239" spans="1:26" x14ac:dyDescent="0.25">
      <c r="A239" t="s">
        <v>299</v>
      </c>
      <c r="B239" t="s">
        <v>300</v>
      </c>
      <c r="C239" s="1"/>
      <c r="D239" s="1"/>
      <c r="E239" s="1"/>
      <c r="F239" s="1"/>
      <c r="G239" s="2"/>
      <c r="H239" s="2">
        <f>VLOOKUP(A239,VAL!$A$3:$F$298,3,FALSE)</f>
        <v>573905</v>
      </c>
      <c r="I239" s="2">
        <v>573905</v>
      </c>
      <c r="J239" s="2">
        <v>234050078</v>
      </c>
      <c r="K239" s="2">
        <v>253352137</v>
      </c>
      <c r="L239" s="2">
        <v>270593107</v>
      </c>
      <c r="M239" s="2">
        <v>310274806</v>
      </c>
      <c r="N239" s="2">
        <v>381253695</v>
      </c>
      <c r="O239" s="2">
        <v>382751410</v>
      </c>
      <c r="P239" s="2">
        <v>416161272</v>
      </c>
      <c r="Q239" s="2">
        <v>470791618</v>
      </c>
      <c r="R239" s="2">
        <v>537396487</v>
      </c>
      <c r="S239" s="2">
        <v>586778680</v>
      </c>
      <c r="T239" s="2">
        <v>655752658</v>
      </c>
      <c r="U239" s="2">
        <v>3289.63</v>
      </c>
      <c r="V239" t="str">
        <f t="shared" si="7"/>
        <v>23042</v>
      </c>
      <c r="W239" s="2">
        <v>288559.35999999999</v>
      </c>
      <c r="X239" s="1">
        <v>0</v>
      </c>
      <c r="Y239" s="1">
        <v>0</v>
      </c>
      <c r="Z239" s="1">
        <v>6165.06</v>
      </c>
    </row>
    <row r="240" spans="1:26" x14ac:dyDescent="0.25">
      <c r="A240" t="s">
        <v>435</v>
      </c>
      <c r="B240" t="s">
        <v>436</v>
      </c>
      <c r="C240" s="1"/>
      <c r="D240" s="1"/>
      <c r="E240" s="1"/>
      <c r="F240" s="1"/>
      <c r="G240" s="2"/>
      <c r="H240" s="2">
        <f>VLOOKUP(A240,VAL!$A$3:$F$298,3,FALSE)</f>
        <v>32000000</v>
      </c>
      <c r="I240" s="2">
        <v>32000000</v>
      </c>
      <c r="J240" s="2">
        <v>19999433441</v>
      </c>
      <c r="K240" s="2">
        <v>21997151524</v>
      </c>
      <c r="L240" s="2">
        <v>24728180740</v>
      </c>
      <c r="M240" s="2">
        <v>27213082242</v>
      </c>
      <c r="N240" s="2">
        <v>35153205831</v>
      </c>
      <c r="O240" s="2">
        <v>36253699080</v>
      </c>
      <c r="P240" s="2">
        <v>38518379435</v>
      </c>
      <c r="Q240" s="2">
        <v>40265637746</v>
      </c>
      <c r="R240" s="2">
        <v>42184699444</v>
      </c>
      <c r="S240" s="2">
        <v>44170415308</v>
      </c>
      <c r="T240" s="2">
        <v>46282012916</v>
      </c>
      <c r="U240" s="2">
        <v>1976493.08</v>
      </c>
      <c r="V240" t="str">
        <f t="shared" si="7"/>
        <v>32081</v>
      </c>
      <c r="W240" s="2">
        <v>31128660</v>
      </c>
      <c r="X240" s="1">
        <v>2264067.5300000003</v>
      </c>
      <c r="Y240" s="1">
        <v>297467.80999999959</v>
      </c>
      <c r="Z240" s="1">
        <v>2869971.53</v>
      </c>
    </row>
    <row r="241" spans="1:26" x14ac:dyDescent="0.25">
      <c r="A241" t="s">
        <v>283</v>
      </c>
      <c r="B241" t="s">
        <v>284</v>
      </c>
      <c r="C241" s="1"/>
      <c r="D241" s="1"/>
      <c r="E241" s="1"/>
      <c r="F241" s="1"/>
      <c r="G241" s="2"/>
      <c r="H241" s="2">
        <f>VLOOKUP(A241,VAL!$A$3:$F$298,3,FALSE)</f>
        <v>295000</v>
      </c>
      <c r="I241" s="2">
        <v>295000</v>
      </c>
      <c r="J241" s="2">
        <v>110653620</v>
      </c>
      <c r="K241" s="2">
        <v>113394678</v>
      </c>
      <c r="L241" s="2">
        <v>117120445</v>
      </c>
      <c r="M241" s="2">
        <v>121958838</v>
      </c>
      <c r="N241" s="2">
        <v>122376635</v>
      </c>
      <c r="O241" s="2">
        <v>135576007</v>
      </c>
      <c r="P241" s="2">
        <v>150779174</v>
      </c>
      <c r="Q241" s="2">
        <v>159794965</v>
      </c>
      <c r="R241" s="2">
        <v>163188009</v>
      </c>
      <c r="S241" s="2">
        <v>172388822</v>
      </c>
      <c r="T241" s="2">
        <v>181513005</v>
      </c>
      <c r="U241" s="2">
        <v>0</v>
      </c>
      <c r="V241" t="str">
        <f t="shared" si="7"/>
        <v>22008</v>
      </c>
      <c r="W241" s="2">
        <v>85421.88</v>
      </c>
      <c r="X241" s="1">
        <v>0</v>
      </c>
      <c r="Y241" s="1">
        <v>0</v>
      </c>
      <c r="Z241" s="1">
        <v>0</v>
      </c>
    </row>
    <row r="242" spans="1:26" x14ac:dyDescent="0.25">
      <c r="A242" t="s">
        <v>555</v>
      </c>
      <c r="B242" t="s">
        <v>556</v>
      </c>
      <c r="C242" s="1"/>
      <c r="D242" s="1"/>
      <c r="E242" s="1"/>
      <c r="F242" s="1"/>
      <c r="G242" s="2"/>
      <c r="H242" s="2">
        <f>VLOOKUP(A242,VAL!$A$3:$F$298,3,FALSE)</f>
        <v>510000</v>
      </c>
      <c r="I242" s="2">
        <v>510000</v>
      </c>
      <c r="J242" s="2">
        <v>220424301</v>
      </c>
      <c r="K242" s="2">
        <v>230387178</v>
      </c>
      <c r="L242" s="2">
        <v>236720479</v>
      </c>
      <c r="M242" s="2">
        <v>251940031</v>
      </c>
      <c r="N242" s="2">
        <v>257615632</v>
      </c>
      <c r="O242" s="2">
        <v>275462423</v>
      </c>
      <c r="P242" s="2">
        <v>282576823</v>
      </c>
      <c r="Q242" s="2">
        <v>291975317</v>
      </c>
      <c r="R242" s="2">
        <v>304698482</v>
      </c>
      <c r="S242" s="2">
        <v>329186134</v>
      </c>
      <c r="T242" s="2">
        <v>340823606</v>
      </c>
      <c r="U242" s="2">
        <v>0</v>
      </c>
      <c r="V242" t="str">
        <f t="shared" si="7"/>
        <v>38322</v>
      </c>
      <c r="W242" s="2">
        <v>176697.61</v>
      </c>
      <c r="X242" s="1">
        <v>0</v>
      </c>
      <c r="Y242" s="1">
        <v>0</v>
      </c>
      <c r="Z242" s="1">
        <v>0</v>
      </c>
    </row>
    <row r="243" spans="1:26" x14ac:dyDescent="0.25">
      <c r="A243" t="s">
        <v>433</v>
      </c>
      <c r="B243" t="s">
        <v>434</v>
      </c>
      <c r="C243" s="1"/>
      <c r="D243" s="1"/>
      <c r="E243" s="1"/>
      <c r="F243" s="1"/>
      <c r="G243" s="2"/>
      <c r="H243" s="2">
        <f>VLOOKUP(A243,VAL!$A$3:$F$298,3,FALSE)</f>
        <v>13049199</v>
      </c>
      <c r="I243" s="2">
        <v>13049199</v>
      </c>
      <c r="J243" s="2">
        <v>6696593315.4699993</v>
      </c>
      <c r="K243" s="2">
        <v>7375554895</v>
      </c>
      <c r="L243" s="2">
        <v>7856937594</v>
      </c>
      <c r="M243" s="2">
        <v>8709655971</v>
      </c>
      <c r="N243" s="2">
        <v>11064965354</v>
      </c>
      <c r="O243" s="2">
        <v>11241225885</v>
      </c>
      <c r="P243" s="2">
        <v>12180452760</v>
      </c>
      <c r="Q243" s="2">
        <v>13070621562</v>
      </c>
      <c r="R243" s="2">
        <v>14259234547</v>
      </c>
      <c r="S243" s="2">
        <v>15332518989</v>
      </c>
      <c r="T243" s="2">
        <v>16338295864</v>
      </c>
      <c r="U243" s="2">
        <v>0</v>
      </c>
      <c r="V243" t="str">
        <f t="shared" si="7"/>
        <v>31401</v>
      </c>
      <c r="W243" s="2">
        <v>6143992.5</v>
      </c>
      <c r="X243" s="1">
        <v>0</v>
      </c>
      <c r="Y243" s="1">
        <v>0</v>
      </c>
      <c r="Z243" s="1">
        <v>0</v>
      </c>
    </row>
    <row r="244" spans="1:26" x14ac:dyDescent="0.25">
      <c r="A244" t="s">
        <v>110</v>
      </c>
      <c r="B244" t="s">
        <v>111</v>
      </c>
      <c r="C244" s="1"/>
      <c r="D244" s="1"/>
      <c r="E244" s="1"/>
      <c r="F244" s="1"/>
      <c r="G244" s="2"/>
      <c r="H244" s="2">
        <f>VLOOKUP(A244,VAL!$A$3:$F$298,3,FALSE)</f>
        <v>0</v>
      </c>
      <c r="I244" s="2">
        <v>0</v>
      </c>
      <c r="J244" s="2">
        <v>45324645</v>
      </c>
      <c r="K244" s="2">
        <v>34899059</v>
      </c>
      <c r="L244" s="2">
        <v>31469514</v>
      </c>
      <c r="M244" s="2">
        <v>33594386</v>
      </c>
      <c r="N244" s="2">
        <v>37215784</v>
      </c>
      <c r="O244" s="2">
        <v>32835579</v>
      </c>
      <c r="P244" s="2">
        <v>32277024</v>
      </c>
      <c r="Q244" s="2">
        <v>32666367</v>
      </c>
      <c r="R244" s="2">
        <v>31820986</v>
      </c>
      <c r="S244" s="2">
        <v>30813906</v>
      </c>
      <c r="T244" s="2">
        <v>30165355</v>
      </c>
      <c r="U244" s="2">
        <v>0</v>
      </c>
      <c r="V244" t="str">
        <f t="shared" si="7"/>
        <v>11054</v>
      </c>
      <c r="W244" s="2">
        <v>0</v>
      </c>
      <c r="X244" s="1">
        <v>0</v>
      </c>
      <c r="Y244" s="1">
        <v>0</v>
      </c>
      <c r="Z244" s="1">
        <v>0</v>
      </c>
    </row>
    <row r="245" spans="1:26" x14ac:dyDescent="0.25">
      <c r="A245" t="s">
        <v>70</v>
      </c>
      <c r="B245" t="s">
        <v>71</v>
      </c>
      <c r="C245" s="1"/>
      <c r="D245" s="1"/>
      <c r="E245" s="1"/>
      <c r="F245" s="1"/>
      <c r="G245" s="2"/>
      <c r="H245" s="2">
        <f>VLOOKUP(A245,VAL!$A$3:$F$298,3,FALSE)</f>
        <v>0</v>
      </c>
      <c r="I245" s="2">
        <v>0</v>
      </c>
      <c r="J245" s="2">
        <v>127158054</v>
      </c>
      <c r="K245" s="2">
        <v>127158054</v>
      </c>
      <c r="L245" s="2">
        <v>200797423</v>
      </c>
      <c r="M245" s="2">
        <v>204613021</v>
      </c>
      <c r="N245" s="2">
        <v>204613021</v>
      </c>
      <c r="O245" s="2">
        <v>286014633</v>
      </c>
      <c r="P245" s="2">
        <v>341360532</v>
      </c>
      <c r="Q245" s="2">
        <v>399941764</v>
      </c>
      <c r="R245" s="2">
        <v>463665982</v>
      </c>
      <c r="S245" s="2">
        <v>546730388</v>
      </c>
      <c r="T245" s="2">
        <v>637040605</v>
      </c>
      <c r="U245" s="2">
        <v>0</v>
      </c>
      <c r="V245" t="str">
        <f t="shared" si="7"/>
        <v>07035</v>
      </c>
      <c r="W245" s="2">
        <v>0</v>
      </c>
      <c r="X245" s="1">
        <v>0</v>
      </c>
      <c r="Y245" s="1">
        <v>0</v>
      </c>
      <c r="Z245" s="1">
        <v>0</v>
      </c>
    </row>
    <row r="246" spans="1:26" x14ac:dyDescent="0.25">
      <c r="A246" t="s">
        <v>28</v>
      </c>
      <c r="B246" t="s">
        <v>29</v>
      </c>
      <c r="C246" s="1"/>
      <c r="D246" s="1"/>
      <c r="E246" s="1"/>
      <c r="F246" s="1"/>
      <c r="G246" s="2"/>
      <c r="H246" s="2">
        <f>VLOOKUP(A246,VAL!$A$3:$F$298,3,FALSE)</f>
        <v>0</v>
      </c>
      <c r="I246" s="2">
        <v>0</v>
      </c>
      <c r="J246" s="2">
        <v>37817617</v>
      </c>
      <c r="K246" s="2">
        <v>38219639</v>
      </c>
      <c r="L246" s="2">
        <v>40139222</v>
      </c>
      <c r="M246" s="2">
        <v>39670702</v>
      </c>
      <c r="N246" s="2">
        <v>46943125</v>
      </c>
      <c r="O246" s="2">
        <v>48602377</v>
      </c>
      <c r="P246" s="2">
        <v>52002161</v>
      </c>
      <c r="Q246" s="2">
        <v>57159111</v>
      </c>
      <c r="R246" s="2">
        <v>62609131</v>
      </c>
      <c r="S246" s="2">
        <v>70896738</v>
      </c>
      <c r="T246" s="2">
        <v>78769155</v>
      </c>
      <c r="U246" s="2">
        <v>0</v>
      </c>
      <c r="V246" t="str">
        <f t="shared" si="7"/>
        <v>04069</v>
      </c>
      <c r="W246" s="2">
        <v>0</v>
      </c>
      <c r="X246" s="1">
        <v>0</v>
      </c>
      <c r="Y246" s="1">
        <v>0</v>
      </c>
      <c r="Z246" s="1">
        <v>0</v>
      </c>
    </row>
    <row r="247" spans="1:26" x14ac:dyDescent="0.25">
      <c r="A247" t="s">
        <v>347</v>
      </c>
      <c r="B247" t="s">
        <v>348</v>
      </c>
      <c r="C247" s="1"/>
      <c r="D247" s="1"/>
      <c r="E247" s="1"/>
      <c r="F247" s="1"/>
      <c r="G247" s="2"/>
      <c r="H247" s="2">
        <f>VLOOKUP(A247,VAL!$A$3:$F$298,3,FALSE)</f>
        <v>4975000</v>
      </c>
      <c r="I247" s="2">
        <v>4975000</v>
      </c>
      <c r="J247" s="2">
        <v>3232593411</v>
      </c>
      <c r="K247" s="2">
        <v>3636051251</v>
      </c>
      <c r="L247" s="2">
        <v>3978555842</v>
      </c>
      <c r="M247" s="2">
        <v>4536843627</v>
      </c>
      <c r="N247" s="2">
        <v>5331343539</v>
      </c>
      <c r="O247" s="2">
        <v>5528762794</v>
      </c>
      <c r="P247" s="2">
        <v>5901118976</v>
      </c>
      <c r="Q247" s="2">
        <v>6132730403</v>
      </c>
      <c r="R247" s="2">
        <v>6442644145</v>
      </c>
      <c r="S247" s="2">
        <v>6739541091</v>
      </c>
      <c r="T247" s="2">
        <v>7024212523</v>
      </c>
      <c r="U247" s="2">
        <v>0</v>
      </c>
      <c r="V247" t="str">
        <f t="shared" si="7"/>
        <v>27001</v>
      </c>
      <c r="W247" s="2">
        <v>3138925</v>
      </c>
      <c r="X247" s="1">
        <v>0</v>
      </c>
      <c r="Y247" s="1">
        <v>0</v>
      </c>
      <c r="Z247" s="1">
        <v>0</v>
      </c>
    </row>
    <row r="248" spans="1:26" x14ac:dyDescent="0.25">
      <c r="A248" t="s">
        <v>547</v>
      </c>
      <c r="B248" t="s">
        <v>548</v>
      </c>
      <c r="C248" s="1"/>
      <c r="D248" s="1"/>
      <c r="E248" s="1"/>
      <c r="F248" s="1"/>
      <c r="G248" s="2"/>
      <c r="H248" s="2">
        <f>VLOOKUP(A248,VAL!$A$3:$F$298,3,FALSE)</f>
        <v>110000</v>
      </c>
      <c r="I248" s="2">
        <v>110000</v>
      </c>
      <c r="J248" s="2">
        <v>43384675</v>
      </c>
      <c r="K248" s="2">
        <v>43365013</v>
      </c>
      <c r="L248" s="2">
        <v>45699312</v>
      </c>
      <c r="M248" s="2">
        <v>46657526</v>
      </c>
      <c r="N248" s="2">
        <v>46437859</v>
      </c>
      <c r="O248" s="2">
        <v>50315623</v>
      </c>
      <c r="P248" s="2">
        <v>50847260</v>
      </c>
      <c r="Q248" s="2">
        <v>51496115</v>
      </c>
      <c r="R248" s="2">
        <v>51268444</v>
      </c>
      <c r="S248" s="2">
        <v>53203070</v>
      </c>
      <c r="T248" s="2">
        <v>56045321</v>
      </c>
      <c r="U248" s="2">
        <v>3424.49</v>
      </c>
      <c r="V248" t="str">
        <f t="shared" si="7"/>
        <v>38304</v>
      </c>
      <c r="W248" s="2">
        <v>52118</v>
      </c>
      <c r="X248" s="1">
        <v>21542.68</v>
      </c>
      <c r="Y248" s="1">
        <v>2830.4199999999983</v>
      </c>
      <c r="Z248" s="1">
        <v>0</v>
      </c>
    </row>
    <row r="249" spans="1:26" x14ac:dyDescent="0.25">
      <c r="A249" t="s">
        <v>405</v>
      </c>
      <c r="B249" t="s">
        <v>406</v>
      </c>
      <c r="C249" s="1"/>
      <c r="D249" s="1"/>
      <c r="E249" s="1"/>
      <c r="F249" s="1"/>
      <c r="G249" s="2"/>
      <c r="H249" s="2">
        <f>VLOOKUP(A249,VAL!$A$3:$F$298,3,FALSE)</f>
        <v>2000000</v>
      </c>
      <c r="I249" s="2">
        <v>2000000</v>
      </c>
      <c r="J249" s="2">
        <v>899550603</v>
      </c>
      <c r="K249" s="2">
        <v>996724804</v>
      </c>
      <c r="L249" s="2">
        <v>1047635780</v>
      </c>
      <c r="M249" s="2">
        <v>1139593386</v>
      </c>
      <c r="N249" s="2">
        <v>1342692537</v>
      </c>
      <c r="O249" s="2">
        <v>1325484187</v>
      </c>
      <c r="P249" s="2">
        <v>1445570569</v>
      </c>
      <c r="Q249" s="2">
        <v>1558304605</v>
      </c>
      <c r="R249" s="2">
        <v>1709871104</v>
      </c>
      <c r="S249" s="2">
        <v>1851358160</v>
      </c>
      <c r="T249" s="2">
        <v>1972131296</v>
      </c>
      <c r="U249" s="2">
        <v>0</v>
      </c>
      <c r="V249" t="str">
        <f t="shared" si="7"/>
        <v>30303</v>
      </c>
      <c r="W249" s="2">
        <v>1047098</v>
      </c>
      <c r="X249" s="1">
        <v>0</v>
      </c>
      <c r="Y249" s="1">
        <v>0</v>
      </c>
      <c r="Z249" s="1">
        <v>0</v>
      </c>
    </row>
    <row r="250" spans="1:26" x14ac:dyDescent="0.25">
      <c r="A250" t="s">
        <v>427</v>
      </c>
      <c r="B250" t="s">
        <v>428</v>
      </c>
      <c r="C250" s="1"/>
      <c r="D250" s="1"/>
      <c r="E250" s="1"/>
      <c r="F250" s="1"/>
      <c r="G250" s="2"/>
      <c r="H250" s="2">
        <f>VLOOKUP(A250,VAL!$A$3:$F$298,3,FALSE)</f>
        <v>2372865</v>
      </c>
      <c r="I250" s="2">
        <v>2372865</v>
      </c>
      <c r="J250" s="2">
        <v>1609773862</v>
      </c>
      <c r="K250" s="2">
        <v>1823542290</v>
      </c>
      <c r="L250" s="2">
        <v>1973358938</v>
      </c>
      <c r="M250" s="2">
        <v>2282627732</v>
      </c>
      <c r="N250" s="2">
        <v>3108417480</v>
      </c>
      <c r="O250" s="2">
        <v>3358788086</v>
      </c>
      <c r="P250" s="2">
        <v>3683572687</v>
      </c>
      <c r="Q250" s="2">
        <v>3939569683</v>
      </c>
      <c r="R250" s="2">
        <v>4235705838</v>
      </c>
      <c r="S250" s="2">
        <v>4596990400</v>
      </c>
      <c r="T250" s="2">
        <v>4919131846</v>
      </c>
      <c r="U250" s="2">
        <v>0</v>
      </c>
      <c r="V250" t="str">
        <f t="shared" si="7"/>
        <v>31311</v>
      </c>
      <c r="W250" s="2">
        <v>1665645.8</v>
      </c>
      <c r="X250" s="1">
        <v>0</v>
      </c>
      <c r="Y250" s="1">
        <v>0</v>
      </c>
      <c r="Z250" s="1">
        <v>0</v>
      </c>
    </row>
    <row r="251" spans="1:26" x14ac:dyDescent="0.25">
      <c r="A251" t="s">
        <v>475</v>
      </c>
      <c r="B251" t="s">
        <v>476</v>
      </c>
      <c r="C251" s="1"/>
      <c r="D251" s="1"/>
      <c r="E251" s="1"/>
      <c r="F251" s="1"/>
      <c r="G251" s="2"/>
      <c r="H251" s="2">
        <f>VLOOKUP(A251,VAL!$A$3:$F$298,3,FALSE)</f>
        <v>91000</v>
      </c>
      <c r="I251" s="2">
        <v>91000</v>
      </c>
      <c r="J251" s="2">
        <v>49657146.600000001</v>
      </c>
      <c r="K251" s="2">
        <v>56923848</v>
      </c>
      <c r="L251" s="2">
        <v>59038535</v>
      </c>
      <c r="M251" s="2">
        <v>59953977</v>
      </c>
      <c r="N251" s="2">
        <v>65870477</v>
      </c>
      <c r="O251" s="2">
        <v>67340375</v>
      </c>
      <c r="P251" s="2">
        <v>72793303</v>
      </c>
      <c r="Q251" s="2">
        <v>75862225</v>
      </c>
      <c r="R251" s="2">
        <v>80040894</v>
      </c>
      <c r="S251" s="2">
        <v>86030475</v>
      </c>
      <c r="T251" s="2">
        <v>87135417</v>
      </c>
      <c r="U251" s="2">
        <v>14939.69</v>
      </c>
      <c r="V251" t="str">
        <f t="shared" si="7"/>
        <v>33202</v>
      </c>
      <c r="W251" s="2">
        <v>44774.1</v>
      </c>
      <c r="X251" s="1">
        <v>0</v>
      </c>
      <c r="Y251" s="1">
        <v>0</v>
      </c>
      <c r="Z251" s="1">
        <v>0</v>
      </c>
    </row>
    <row r="252" spans="1:26" x14ac:dyDescent="0.25">
      <c r="A252" t="s">
        <v>357</v>
      </c>
      <c r="B252" t="s">
        <v>358</v>
      </c>
      <c r="C252" s="1"/>
      <c r="D252" s="1"/>
      <c r="E252" s="1"/>
      <c r="F252" s="1"/>
      <c r="G252" s="2"/>
      <c r="H252" s="2">
        <f>VLOOKUP(A252,VAL!$A$3:$F$298,3,FALSE)</f>
        <v>20000000</v>
      </c>
      <c r="I252" s="2">
        <v>20000000</v>
      </c>
      <c r="J252" s="2">
        <v>8637489720</v>
      </c>
      <c r="K252" s="2">
        <v>9646052322</v>
      </c>
      <c r="L252" s="2">
        <v>10452790686</v>
      </c>
      <c r="M252" s="2">
        <v>12264610750</v>
      </c>
      <c r="N252" s="2">
        <v>14478796919</v>
      </c>
      <c r="O252" s="2">
        <v>14985268515</v>
      </c>
      <c r="P252" s="2">
        <v>15950090232</v>
      </c>
      <c r="Q252" s="2">
        <v>17032261365</v>
      </c>
      <c r="R252" s="2">
        <v>17947685269</v>
      </c>
      <c r="S252" s="2">
        <v>18940940284</v>
      </c>
      <c r="T252" s="2">
        <v>19906951956</v>
      </c>
      <c r="U252" s="2">
        <v>0</v>
      </c>
      <c r="V252" t="str">
        <f t="shared" si="7"/>
        <v>27320</v>
      </c>
      <c r="W252" s="2">
        <v>12435222.640000001</v>
      </c>
      <c r="X252" s="1">
        <v>0</v>
      </c>
      <c r="Y252" s="1">
        <v>0</v>
      </c>
      <c r="Z252" s="1">
        <v>0</v>
      </c>
    </row>
    <row r="253" spans="1:26" x14ac:dyDescent="0.25">
      <c r="A253" t="s">
        <v>573</v>
      </c>
      <c r="B253" t="s">
        <v>574</v>
      </c>
      <c r="C253" s="1"/>
      <c r="D253" s="1"/>
      <c r="E253" s="1"/>
      <c r="F253" s="1"/>
      <c r="G253" s="2"/>
      <c r="H253" s="2">
        <f>VLOOKUP(A253,VAL!$A$3:$F$298,3,FALSE)</f>
        <v>2582904</v>
      </c>
      <c r="I253" s="2">
        <v>2582904</v>
      </c>
      <c r="J253" s="2">
        <v>1490000882</v>
      </c>
      <c r="K253" s="2">
        <v>1612896423</v>
      </c>
      <c r="L253" s="2">
        <v>1706344043</v>
      </c>
      <c r="M253" s="2">
        <v>1827757821</v>
      </c>
      <c r="N253" s="2">
        <v>2160829406</v>
      </c>
      <c r="O253" s="2">
        <v>2133056524</v>
      </c>
      <c r="P253" s="2">
        <v>2307441204</v>
      </c>
      <c r="Q253" s="2">
        <v>2458489026</v>
      </c>
      <c r="R253" s="2">
        <v>2623477928</v>
      </c>
      <c r="S253" s="2">
        <v>2832949515</v>
      </c>
      <c r="T253" s="2">
        <v>3112096770</v>
      </c>
      <c r="U253" s="2">
        <v>2360635.38</v>
      </c>
      <c r="V253" t="str">
        <f t="shared" si="7"/>
        <v>39201</v>
      </c>
      <c r="W253" s="2">
        <v>1468780</v>
      </c>
      <c r="X253" s="1">
        <v>367528.26</v>
      </c>
      <c r="Y253" s="1">
        <v>48288.239999999991</v>
      </c>
      <c r="Z253" s="1">
        <v>96163.96</v>
      </c>
    </row>
    <row r="254" spans="1:26" x14ac:dyDescent="0.25">
      <c r="A254" t="s">
        <v>351</v>
      </c>
      <c r="B254" t="s">
        <v>352</v>
      </c>
      <c r="C254" s="1"/>
      <c r="D254" s="1"/>
      <c r="E254" s="1"/>
      <c r="F254" s="1"/>
      <c r="G254" s="2"/>
      <c r="H254" s="2">
        <f>VLOOKUP(A254,VAL!$A$3:$F$298,3,FALSE)</f>
        <v>70000000</v>
      </c>
      <c r="I254" s="2">
        <v>70000000</v>
      </c>
      <c r="J254" s="2">
        <v>28112802280</v>
      </c>
      <c r="K254" s="2">
        <v>31242833203</v>
      </c>
      <c r="L254" s="2">
        <v>34059689021</v>
      </c>
      <c r="M254" s="2">
        <v>39070112869</v>
      </c>
      <c r="N254" s="2">
        <v>45574842806</v>
      </c>
      <c r="O254" s="2">
        <v>47717527611</v>
      </c>
      <c r="P254" s="2">
        <v>50327917783</v>
      </c>
      <c r="Q254" s="2">
        <v>53921672877</v>
      </c>
      <c r="R254" s="2">
        <v>56136392893</v>
      </c>
      <c r="S254" s="2">
        <v>59217995598</v>
      </c>
      <c r="T254" s="2">
        <v>61943224408</v>
      </c>
      <c r="U254" s="2">
        <v>0</v>
      </c>
      <c r="V254" t="str">
        <f t="shared" si="7"/>
        <v>27010</v>
      </c>
      <c r="W254" s="2">
        <v>36008800</v>
      </c>
      <c r="X254" s="1">
        <v>0</v>
      </c>
      <c r="Y254" s="1">
        <v>0</v>
      </c>
      <c r="Z254" s="1">
        <v>0</v>
      </c>
    </row>
    <row r="255" spans="1:26" x14ac:dyDescent="0.25">
      <c r="A255" t="s">
        <v>148</v>
      </c>
      <c r="B255" t="s">
        <v>149</v>
      </c>
      <c r="C255" s="1"/>
      <c r="D255" s="1"/>
      <c r="E255" s="1"/>
      <c r="F255" s="1"/>
      <c r="G255" s="2"/>
      <c r="H255" s="2">
        <f>VLOOKUP(A255,VAL!$A$3:$F$298,3,FALSE)</f>
        <v>150000</v>
      </c>
      <c r="I255" s="2">
        <v>150000</v>
      </c>
      <c r="J255" s="2">
        <v>15535843</v>
      </c>
      <c r="K255" s="2">
        <v>15961704</v>
      </c>
      <c r="L255" s="2">
        <v>16808081</v>
      </c>
      <c r="M255" s="2">
        <v>17953464</v>
      </c>
      <c r="N255" s="2">
        <v>20048647</v>
      </c>
      <c r="O255" s="2">
        <v>19592995</v>
      </c>
      <c r="P255" s="2">
        <v>20400161</v>
      </c>
      <c r="Q255" s="2">
        <v>21154142</v>
      </c>
      <c r="R255" s="2">
        <v>21987021</v>
      </c>
      <c r="S255" s="2">
        <v>23317872</v>
      </c>
      <c r="T255" s="2">
        <v>24261949</v>
      </c>
      <c r="U255" s="2">
        <v>71705.539999999994</v>
      </c>
      <c r="V255" t="str">
        <f t="shared" si="7"/>
        <v>14077</v>
      </c>
      <c r="W255" s="2">
        <v>17056.8</v>
      </c>
      <c r="X255" s="1">
        <v>17146.21</v>
      </c>
      <c r="Y255" s="1">
        <v>2252.7800000000025</v>
      </c>
      <c r="Z255" s="1">
        <v>1174.1199999999999</v>
      </c>
    </row>
    <row r="256" spans="1:26" x14ac:dyDescent="0.25">
      <c r="A256" t="s">
        <v>201</v>
      </c>
      <c r="B256" t="s">
        <v>202</v>
      </c>
      <c r="C256" s="1"/>
      <c r="D256" s="1"/>
      <c r="E256" s="1"/>
      <c r="F256" s="1"/>
      <c r="G256" s="2"/>
      <c r="H256" s="2">
        <f>VLOOKUP(A256,VAL!$A$3:$F$298,3,FALSE)</f>
        <v>10710073</v>
      </c>
      <c r="I256" s="2">
        <v>10710073</v>
      </c>
      <c r="J256" s="2">
        <v>7198115693</v>
      </c>
      <c r="K256" s="2">
        <v>7535377117</v>
      </c>
      <c r="L256" s="2">
        <v>7877701835</v>
      </c>
      <c r="M256" s="2">
        <v>9266653091</v>
      </c>
      <c r="N256" s="2">
        <v>12070733818</v>
      </c>
      <c r="O256" s="2">
        <v>12118295782</v>
      </c>
      <c r="P256" s="2">
        <v>12859421009</v>
      </c>
      <c r="Q256" s="2">
        <v>13725498542</v>
      </c>
      <c r="R256" s="2">
        <v>14455118929</v>
      </c>
      <c r="S256" s="2">
        <v>15446850235</v>
      </c>
      <c r="T256" s="2">
        <v>16768901683</v>
      </c>
      <c r="U256" s="2">
        <v>138983.73000000001</v>
      </c>
      <c r="V256" t="str">
        <f t="shared" si="7"/>
        <v>17409</v>
      </c>
      <c r="W256" s="2">
        <v>7912357.1900000004</v>
      </c>
      <c r="X256" s="1">
        <v>0</v>
      </c>
      <c r="Y256" s="1">
        <v>0</v>
      </c>
      <c r="Z256" s="1">
        <v>1013736.15</v>
      </c>
    </row>
    <row r="257" spans="1:26" x14ac:dyDescent="0.25">
      <c r="A257" t="s">
        <v>537</v>
      </c>
      <c r="B257" t="s">
        <v>538</v>
      </c>
      <c r="C257" s="1"/>
      <c r="D257" s="1"/>
      <c r="E257" s="1"/>
      <c r="F257" s="1"/>
      <c r="G257" s="2"/>
      <c r="H257" s="2">
        <f>VLOOKUP(A257,VAL!$A$3:$F$298,3,FALSE)</f>
        <v>127000</v>
      </c>
      <c r="I257" s="2">
        <v>127000</v>
      </c>
      <c r="J257" s="2">
        <v>79855602</v>
      </c>
      <c r="K257" s="2">
        <v>79979653</v>
      </c>
      <c r="L257" s="2">
        <v>80564493</v>
      </c>
      <c r="M257" s="2">
        <v>82372632</v>
      </c>
      <c r="N257" s="2">
        <v>83775012</v>
      </c>
      <c r="O257" s="2">
        <v>86584935</v>
      </c>
      <c r="P257" s="2">
        <v>87225602</v>
      </c>
      <c r="Q257" s="2">
        <v>88986168</v>
      </c>
      <c r="R257" s="2">
        <v>88566777</v>
      </c>
      <c r="S257" s="2">
        <v>93517607</v>
      </c>
      <c r="T257" s="2">
        <v>96840205</v>
      </c>
      <c r="U257" s="2">
        <v>45895.26</v>
      </c>
      <c r="V257" t="str">
        <f t="shared" si="7"/>
        <v>38265</v>
      </c>
      <c r="W257" s="2">
        <v>97570.38</v>
      </c>
      <c r="X257" s="1">
        <v>16901.97</v>
      </c>
      <c r="Y257" s="1">
        <v>2220.6899999999987</v>
      </c>
      <c r="Z257" s="1">
        <v>0</v>
      </c>
    </row>
    <row r="258" spans="1:26" x14ac:dyDescent="0.25">
      <c r="A258" t="s">
        <v>501</v>
      </c>
      <c r="B258" t="s">
        <v>502</v>
      </c>
      <c r="C258" s="1"/>
      <c r="D258" s="1"/>
      <c r="E258" s="1"/>
      <c r="F258" s="1"/>
      <c r="G258" s="2"/>
      <c r="H258" s="2">
        <f>VLOOKUP(A258,VAL!$A$3:$F$298,3,FALSE)</f>
        <v>3067927</v>
      </c>
      <c r="I258" s="2">
        <v>3067927</v>
      </c>
      <c r="J258" s="2">
        <v>1092958307</v>
      </c>
      <c r="K258" s="2">
        <v>1162507482</v>
      </c>
      <c r="L258" s="2">
        <v>1232396792</v>
      </c>
      <c r="M258" s="2">
        <v>1495077196</v>
      </c>
      <c r="N258" s="2">
        <v>1806524813</v>
      </c>
      <c r="O258" s="2">
        <v>1889362316</v>
      </c>
      <c r="P258" s="2">
        <v>2145282904</v>
      </c>
      <c r="Q258" s="2">
        <v>2365535980</v>
      </c>
      <c r="R258" s="2">
        <v>2661215103</v>
      </c>
      <c r="S258" s="2">
        <v>3008937887</v>
      </c>
      <c r="T258" s="2">
        <v>3444536691</v>
      </c>
      <c r="U258" s="2">
        <v>0</v>
      </c>
      <c r="V258" t="str">
        <f t="shared" si="7"/>
        <v>34402</v>
      </c>
      <c r="W258" s="2">
        <v>1674975.86</v>
      </c>
      <c r="X258" s="1">
        <v>0</v>
      </c>
      <c r="Y258" s="1">
        <v>0</v>
      </c>
      <c r="Z258" s="1">
        <v>0</v>
      </c>
    </row>
    <row r="259" spans="1:26" x14ac:dyDescent="0.25">
      <c r="A259" t="s">
        <v>229</v>
      </c>
      <c r="B259" t="s">
        <v>230</v>
      </c>
      <c r="C259" s="1"/>
      <c r="D259" s="1"/>
      <c r="E259" s="1"/>
      <c r="F259" s="1"/>
      <c r="G259" s="2"/>
      <c r="H259" s="2">
        <f>VLOOKUP(A259,VAL!$A$3:$F$298,3,FALSE)</f>
        <v>776867</v>
      </c>
      <c r="I259" s="2">
        <v>776867</v>
      </c>
      <c r="J259" s="2">
        <v>256405408.19999999</v>
      </c>
      <c r="K259" s="2">
        <v>306959787.19999999</v>
      </c>
      <c r="L259" s="2">
        <v>340162960</v>
      </c>
      <c r="M259" s="2">
        <v>370944185</v>
      </c>
      <c r="N259" s="2">
        <v>448547608</v>
      </c>
      <c r="O259" s="2">
        <v>483410697</v>
      </c>
      <c r="P259" s="2">
        <v>560333471</v>
      </c>
      <c r="Q259" s="2">
        <v>616498191</v>
      </c>
      <c r="R259" s="2">
        <v>713302515</v>
      </c>
      <c r="S259" s="2">
        <v>794601738</v>
      </c>
      <c r="T259" s="2">
        <v>875954963</v>
      </c>
      <c r="U259" s="2">
        <v>0</v>
      </c>
      <c r="V259" t="str">
        <f t="shared" si="7"/>
        <v>19400</v>
      </c>
      <c r="W259" s="2">
        <v>282757.21000000002</v>
      </c>
      <c r="X259" s="1">
        <v>0</v>
      </c>
      <c r="Y259" s="1">
        <v>0</v>
      </c>
      <c r="Z259" s="1">
        <v>0</v>
      </c>
    </row>
    <row r="260" spans="1:26" x14ac:dyDescent="0.25">
      <c r="A260" t="s">
        <v>271</v>
      </c>
      <c r="B260" t="s">
        <v>272</v>
      </c>
      <c r="C260" s="1"/>
      <c r="D260" s="1"/>
      <c r="E260" s="1"/>
      <c r="F260" s="1"/>
      <c r="G260" s="2"/>
      <c r="H260" s="2">
        <f>VLOOKUP(A260,VAL!$A$3:$F$298,3,FALSE)</f>
        <v>1100000</v>
      </c>
      <c r="I260" s="2">
        <v>1100000</v>
      </c>
      <c r="J260" s="2">
        <v>544786777</v>
      </c>
      <c r="K260" s="2">
        <v>599483634</v>
      </c>
      <c r="L260" s="2">
        <v>669844966</v>
      </c>
      <c r="M260" s="2">
        <v>796875107</v>
      </c>
      <c r="N260" s="2">
        <v>1038910263</v>
      </c>
      <c r="O260" s="2">
        <v>1001237386</v>
      </c>
      <c r="P260" s="2">
        <v>1113851899</v>
      </c>
      <c r="Q260" s="2">
        <v>1224944233</v>
      </c>
      <c r="R260" s="2">
        <v>1401210854</v>
      </c>
      <c r="S260" s="2">
        <v>1532942482</v>
      </c>
      <c r="T260" s="2">
        <v>1758781992</v>
      </c>
      <c r="U260" s="2">
        <v>32529.01</v>
      </c>
      <c r="V260" t="str">
        <f t="shared" ref="V260:V298" si="8">A260</f>
        <v>21237</v>
      </c>
      <c r="W260" s="2">
        <v>521180</v>
      </c>
      <c r="X260" s="1">
        <v>0</v>
      </c>
      <c r="Y260" s="1">
        <v>0</v>
      </c>
      <c r="Z260" s="1">
        <v>121885.53</v>
      </c>
    </row>
    <row r="261" spans="1:26" x14ac:dyDescent="0.25">
      <c r="A261" t="s">
        <v>325</v>
      </c>
      <c r="B261" t="s">
        <v>326</v>
      </c>
      <c r="C261" s="1"/>
      <c r="D261" s="1"/>
      <c r="E261" s="1"/>
      <c r="F261" s="1"/>
      <c r="G261" s="2"/>
      <c r="H261" s="2">
        <f>VLOOKUP(A261,VAL!$A$3:$F$298,3,FALSE)</f>
        <v>830000</v>
      </c>
      <c r="I261" s="2">
        <v>830000</v>
      </c>
      <c r="J261" s="2">
        <v>507535841</v>
      </c>
      <c r="K261" s="2">
        <v>519376583</v>
      </c>
      <c r="L261" s="2">
        <v>576008885</v>
      </c>
      <c r="M261" s="2">
        <v>623646735</v>
      </c>
      <c r="N261" s="2">
        <v>705069778</v>
      </c>
      <c r="O261" s="2">
        <v>707879042</v>
      </c>
      <c r="P261" s="2">
        <v>765700487</v>
      </c>
      <c r="Q261" s="2">
        <v>830654243</v>
      </c>
      <c r="R261" s="2">
        <v>863279634</v>
      </c>
      <c r="S261" s="2">
        <v>900684045</v>
      </c>
      <c r="T261" s="2">
        <v>932914885</v>
      </c>
      <c r="U261" s="2">
        <v>258363.16</v>
      </c>
      <c r="V261" t="str">
        <f t="shared" si="8"/>
        <v>24404</v>
      </c>
      <c r="W261" s="2">
        <v>436915.62</v>
      </c>
      <c r="X261" s="1">
        <v>0</v>
      </c>
      <c r="Y261" s="1">
        <v>0</v>
      </c>
      <c r="Z261" s="1">
        <v>4740.87</v>
      </c>
    </row>
    <row r="262" spans="1:26" x14ac:dyDescent="0.25">
      <c r="A262" t="s">
        <v>575</v>
      </c>
      <c r="B262" t="s">
        <v>576</v>
      </c>
      <c r="C262" s="1"/>
      <c r="D262" s="1"/>
      <c r="E262" s="1"/>
      <c r="F262" s="1"/>
      <c r="G262" s="2"/>
      <c r="H262" s="2">
        <f>VLOOKUP(A262,VAL!$A$3:$F$298,3,FALSE)</f>
        <v>1320000</v>
      </c>
      <c r="I262" s="2">
        <v>1320000</v>
      </c>
      <c r="J262" s="2">
        <v>652632785</v>
      </c>
      <c r="K262" s="2">
        <v>686626500</v>
      </c>
      <c r="L262" s="2">
        <v>742238015</v>
      </c>
      <c r="M262" s="2">
        <v>813944368</v>
      </c>
      <c r="N262" s="2">
        <v>904960536</v>
      </c>
      <c r="O262" s="2">
        <v>936439899</v>
      </c>
      <c r="P262" s="2">
        <v>1021847309</v>
      </c>
      <c r="Q262" s="2">
        <v>1108574137</v>
      </c>
      <c r="R262" s="2">
        <v>1153955717</v>
      </c>
      <c r="S262" s="2">
        <v>1218927790</v>
      </c>
      <c r="T262" s="2">
        <v>1395838622</v>
      </c>
      <c r="U262" s="2">
        <v>1799599.4</v>
      </c>
      <c r="V262" t="str">
        <f t="shared" si="8"/>
        <v>39202</v>
      </c>
      <c r="W262" s="2">
        <v>672796</v>
      </c>
      <c r="X262" s="1">
        <v>0</v>
      </c>
      <c r="Y262" s="1">
        <v>0</v>
      </c>
      <c r="Z262" s="1">
        <v>30925.97</v>
      </c>
    </row>
    <row r="263" spans="1:26" x14ac:dyDescent="0.25">
      <c r="A263" t="s">
        <v>511</v>
      </c>
      <c r="B263" t="s">
        <v>512</v>
      </c>
      <c r="C263" s="1"/>
      <c r="D263" s="1"/>
      <c r="E263" s="1"/>
      <c r="F263" s="1"/>
      <c r="G263" s="2"/>
      <c r="H263" s="2">
        <f>VLOOKUP(A263,VAL!$A$3:$F$298,3,FALSE)</f>
        <v>688031</v>
      </c>
      <c r="I263" s="2">
        <v>688031</v>
      </c>
      <c r="J263" s="2">
        <v>234216963</v>
      </c>
      <c r="K263" s="2">
        <v>245287047</v>
      </c>
      <c r="L263" s="2">
        <v>264197359</v>
      </c>
      <c r="M263" s="2">
        <v>278833641</v>
      </c>
      <c r="N263" s="2">
        <v>294328533</v>
      </c>
      <c r="O263" s="2">
        <v>309577915</v>
      </c>
      <c r="P263" s="2">
        <v>337361289</v>
      </c>
      <c r="Q263" s="2">
        <v>369412352</v>
      </c>
      <c r="R263" s="2">
        <v>387510609</v>
      </c>
      <c r="S263" s="2">
        <v>400286462</v>
      </c>
      <c r="T263" s="2">
        <v>414059785</v>
      </c>
      <c r="U263" s="2">
        <v>0</v>
      </c>
      <c r="V263" t="str">
        <f t="shared" si="8"/>
        <v>36300</v>
      </c>
      <c r="W263" s="2">
        <v>285771.33</v>
      </c>
      <c r="X263" s="1">
        <v>0</v>
      </c>
      <c r="Y263" s="1">
        <v>0</v>
      </c>
      <c r="Z263" s="1">
        <v>0</v>
      </c>
    </row>
    <row r="264" spans="1:26" x14ac:dyDescent="0.25">
      <c r="A264" t="s">
        <v>74</v>
      </c>
      <c r="B264" t="s">
        <v>75</v>
      </c>
      <c r="C264" s="1"/>
      <c r="D264" s="1"/>
      <c r="E264" s="1"/>
      <c r="F264" s="1"/>
      <c r="G264" s="2"/>
      <c r="H264" s="2">
        <f>VLOOKUP(A264,VAL!$A$3:$F$298,3,FALSE)</f>
        <v>1110000</v>
      </c>
      <c r="I264" s="2">
        <v>1110000</v>
      </c>
      <c r="J264" s="2">
        <v>466808620</v>
      </c>
      <c r="K264" s="2">
        <v>507747573</v>
      </c>
      <c r="L264" s="2">
        <v>568765590</v>
      </c>
      <c r="M264" s="2">
        <v>668602255</v>
      </c>
      <c r="N264" s="2">
        <v>778331230</v>
      </c>
      <c r="O264" s="2">
        <v>824229604</v>
      </c>
      <c r="P264" s="2">
        <v>889176353</v>
      </c>
      <c r="Q264" s="2">
        <v>1000275648</v>
      </c>
      <c r="R264" s="2">
        <v>1106903930</v>
      </c>
      <c r="S264" s="2">
        <v>1232380908</v>
      </c>
      <c r="T264" s="2">
        <v>1328242678</v>
      </c>
      <c r="U264" s="2">
        <v>31344.27</v>
      </c>
      <c r="V264" t="str">
        <f t="shared" si="8"/>
        <v>08130</v>
      </c>
      <c r="W264" s="2">
        <v>688431.4</v>
      </c>
      <c r="X264" s="1">
        <v>0</v>
      </c>
      <c r="Y264" s="1">
        <v>0</v>
      </c>
      <c r="Z264" s="1">
        <v>57192.41</v>
      </c>
    </row>
    <row r="265" spans="1:26" x14ac:dyDescent="0.25">
      <c r="A265" t="s">
        <v>243</v>
      </c>
      <c r="B265" t="s">
        <v>244</v>
      </c>
      <c r="C265" s="1"/>
      <c r="D265" s="1"/>
      <c r="E265" s="1"/>
      <c r="F265" s="1"/>
      <c r="G265" s="2"/>
      <c r="H265" s="2">
        <f>VLOOKUP(A265,VAL!$A$3:$F$298,3,FALSE)</f>
        <v>412000</v>
      </c>
      <c r="I265" s="2">
        <v>412000</v>
      </c>
      <c r="J265" s="2">
        <v>188200617.94999999</v>
      </c>
      <c r="K265" s="2">
        <v>193362612</v>
      </c>
      <c r="L265" s="2">
        <v>207112203</v>
      </c>
      <c r="M265" s="2">
        <v>231045083</v>
      </c>
      <c r="N265" s="2">
        <v>284667874</v>
      </c>
      <c r="O265" s="2">
        <v>268571706</v>
      </c>
      <c r="P265" s="2">
        <v>287527905</v>
      </c>
      <c r="Q265" s="2">
        <v>310376868</v>
      </c>
      <c r="R265" s="2">
        <v>329910939</v>
      </c>
      <c r="S265" s="2">
        <v>350504525</v>
      </c>
      <c r="T265" s="2">
        <v>383443533</v>
      </c>
      <c r="U265" s="2">
        <v>0</v>
      </c>
      <c r="V265" t="str">
        <f t="shared" si="8"/>
        <v>20400</v>
      </c>
      <c r="W265" s="2">
        <v>255852</v>
      </c>
      <c r="X265" s="1">
        <v>0</v>
      </c>
      <c r="Y265" s="1">
        <v>0</v>
      </c>
      <c r="Z265" s="1">
        <v>20917.72</v>
      </c>
    </row>
    <row r="266" spans="1:26" x14ac:dyDescent="0.25">
      <c r="A266" t="s">
        <v>196</v>
      </c>
      <c r="B266" s="14" t="s">
        <v>956</v>
      </c>
      <c r="C266" s="1"/>
      <c r="D266" s="1"/>
      <c r="E266" s="1"/>
      <c r="F266" s="1"/>
      <c r="G266" s="2"/>
      <c r="H266" s="2">
        <f>VLOOKUP(A266,VAL!$A$3:$F$298,3,FALSE)</f>
        <v>12662093</v>
      </c>
      <c r="I266" s="2">
        <v>12662093</v>
      </c>
      <c r="J266" s="2">
        <v>4039636739</v>
      </c>
      <c r="K266" s="2">
        <v>4394519546</v>
      </c>
      <c r="L266" s="2">
        <v>4592482613</v>
      </c>
      <c r="M266" s="2">
        <v>4635387168</v>
      </c>
      <c r="N266" s="2">
        <v>5260397439</v>
      </c>
      <c r="O266" s="2">
        <v>5781600760</v>
      </c>
      <c r="P266" s="2">
        <v>5850959674</v>
      </c>
      <c r="Q266" s="2">
        <v>6017071678</v>
      </c>
      <c r="R266" s="2">
        <v>6159473443</v>
      </c>
      <c r="S266" s="2">
        <v>6487299063</v>
      </c>
      <c r="T266" s="2">
        <v>6684791823</v>
      </c>
      <c r="U266" s="2">
        <v>0</v>
      </c>
      <c r="V266" t="str">
        <f t="shared" si="8"/>
        <v>17406</v>
      </c>
      <c r="W266" s="2">
        <v>3692165.62</v>
      </c>
      <c r="X266" s="1">
        <v>0</v>
      </c>
      <c r="Y266" s="1">
        <v>0</v>
      </c>
      <c r="Z266" s="1">
        <v>0</v>
      </c>
    </row>
    <row r="267" spans="1:26" x14ac:dyDescent="0.25">
      <c r="A267" t="s">
        <v>491</v>
      </c>
      <c r="B267" t="s">
        <v>492</v>
      </c>
      <c r="C267" s="1"/>
      <c r="D267" s="1"/>
      <c r="E267" s="1"/>
      <c r="F267" s="1"/>
      <c r="G267" s="2"/>
      <c r="H267" s="2">
        <f>VLOOKUP(A267,VAL!$A$3:$F$298,3,FALSE)</f>
        <v>16547000</v>
      </c>
      <c r="I267" s="2">
        <v>16547000</v>
      </c>
      <c r="J267" s="2">
        <v>5539438430</v>
      </c>
      <c r="K267" s="2">
        <v>5975270824</v>
      </c>
      <c r="L267" s="2">
        <v>6382852309</v>
      </c>
      <c r="M267" s="2">
        <v>7461823484</v>
      </c>
      <c r="N267" s="2">
        <v>9517960625</v>
      </c>
      <c r="O267" s="2">
        <v>9432317046</v>
      </c>
      <c r="P267" s="2">
        <v>10733968819</v>
      </c>
      <c r="Q267" s="2">
        <v>11989853074</v>
      </c>
      <c r="R267" s="2">
        <v>13442293319</v>
      </c>
      <c r="S267" s="2">
        <v>15186300879</v>
      </c>
      <c r="T267" s="2">
        <v>16911731585</v>
      </c>
      <c r="U267" s="2">
        <v>0</v>
      </c>
      <c r="V267" t="str">
        <f t="shared" si="8"/>
        <v>34033</v>
      </c>
      <c r="W267" s="2">
        <v>8610356.5</v>
      </c>
      <c r="X267" s="1">
        <v>0</v>
      </c>
      <c r="Y267" s="1">
        <v>0</v>
      </c>
      <c r="Z267" s="1">
        <v>144437.48000000001</v>
      </c>
    </row>
    <row r="268" spans="1:26" x14ac:dyDescent="0.25">
      <c r="A268" t="s">
        <v>559</v>
      </c>
      <c r="B268" t="s">
        <v>560</v>
      </c>
      <c r="C268" s="1"/>
      <c r="D268" s="1"/>
      <c r="E268" s="1"/>
      <c r="F268" s="1"/>
      <c r="G268" s="2"/>
      <c r="H268" s="2">
        <f>VLOOKUP(A268,VAL!$A$3:$F$298,3,FALSE)</f>
        <v>922500</v>
      </c>
      <c r="I268" s="2">
        <v>922500</v>
      </c>
      <c r="J268" s="2">
        <v>523570149</v>
      </c>
      <c r="K268" s="2">
        <v>551627045</v>
      </c>
      <c r="L268" s="2">
        <v>555432746</v>
      </c>
      <c r="M268" s="2">
        <v>582518576</v>
      </c>
      <c r="N268" s="2">
        <v>653062381</v>
      </c>
      <c r="O268" s="2">
        <v>667744152</v>
      </c>
      <c r="P268" s="2">
        <v>698870244</v>
      </c>
      <c r="Q268" s="2">
        <v>718720578</v>
      </c>
      <c r="R268" s="2">
        <v>736188371</v>
      </c>
      <c r="S268" s="2">
        <v>789235702</v>
      </c>
      <c r="T268" s="2">
        <v>841664363</v>
      </c>
      <c r="U268" s="2">
        <v>114824.39</v>
      </c>
      <c r="V268" t="str">
        <f t="shared" si="8"/>
        <v>39002</v>
      </c>
      <c r="W268" s="2">
        <v>437080.5</v>
      </c>
      <c r="X268" s="1">
        <v>27030.78</v>
      </c>
      <c r="Y268" s="1">
        <v>3551.4799999999996</v>
      </c>
      <c r="Z268" s="1">
        <v>0</v>
      </c>
    </row>
    <row r="269" spans="1:26" x14ac:dyDescent="0.25">
      <c r="A269" t="s">
        <v>355</v>
      </c>
      <c r="B269" t="s">
        <v>356</v>
      </c>
      <c r="C269" s="1"/>
      <c r="D269" s="1"/>
      <c r="E269" s="1"/>
      <c r="F269" s="1"/>
      <c r="G269" s="2"/>
      <c r="H269" s="2">
        <f>VLOOKUP(A269,VAL!$A$3:$F$298,3,FALSE)</f>
        <v>9961000</v>
      </c>
      <c r="I269" s="2">
        <v>9961000</v>
      </c>
      <c r="J269" s="2">
        <v>3846091110</v>
      </c>
      <c r="K269" s="2">
        <v>4217134854</v>
      </c>
      <c r="L269" s="2">
        <v>4697498207</v>
      </c>
      <c r="M269" s="2">
        <v>5425950685</v>
      </c>
      <c r="N269" s="2">
        <v>6462652775</v>
      </c>
      <c r="O269" s="2">
        <v>6649951808</v>
      </c>
      <c r="P269" s="2">
        <v>7056455751</v>
      </c>
      <c r="Q269" s="2">
        <v>7291450523</v>
      </c>
      <c r="R269" s="2">
        <v>7759642477</v>
      </c>
      <c r="S269" s="2">
        <v>8221107300</v>
      </c>
      <c r="T269" s="2">
        <v>8572109081</v>
      </c>
      <c r="U269" s="2">
        <v>370204.79</v>
      </c>
      <c r="V269" t="str">
        <f t="shared" si="8"/>
        <v>27083</v>
      </c>
      <c r="W269" s="2">
        <v>6281640.4000000004</v>
      </c>
      <c r="X269" s="1">
        <v>126748.49</v>
      </c>
      <c r="Y269" s="1">
        <v>16653.029999999984</v>
      </c>
      <c r="Z269" s="1">
        <v>0</v>
      </c>
    </row>
    <row r="270" spans="1:26" x14ac:dyDescent="0.25">
      <c r="A270" t="s">
        <v>469</v>
      </c>
      <c r="B270" t="s">
        <v>470</v>
      </c>
      <c r="C270" s="1"/>
      <c r="D270" s="1"/>
      <c r="E270" s="1"/>
      <c r="F270" s="1"/>
      <c r="G270" s="2"/>
      <c r="H270" s="2">
        <f>VLOOKUP(A270,VAL!$A$3:$F$298,3,FALSE)</f>
        <v>152000</v>
      </c>
      <c r="I270" s="2">
        <v>152000</v>
      </c>
      <c r="J270" s="2">
        <v>141253995.75</v>
      </c>
      <c r="K270" s="2">
        <v>151475518</v>
      </c>
      <c r="L270" s="2">
        <v>149401570</v>
      </c>
      <c r="M270" s="2">
        <v>165035765</v>
      </c>
      <c r="N270" s="2">
        <v>186379704</v>
      </c>
      <c r="O270" s="2">
        <v>193240458</v>
      </c>
      <c r="P270" s="2">
        <v>210991248</v>
      </c>
      <c r="Q270" s="2">
        <v>220779854</v>
      </c>
      <c r="R270" s="2">
        <v>235357785</v>
      </c>
      <c r="S270" s="2">
        <v>249212696</v>
      </c>
      <c r="T270" s="2">
        <v>261105804</v>
      </c>
      <c r="U270" s="2">
        <v>322279.83</v>
      </c>
      <c r="V270" t="str">
        <f t="shared" si="8"/>
        <v>33070</v>
      </c>
      <c r="W270" s="2">
        <v>72017.600000000006</v>
      </c>
      <c r="X270" s="1">
        <v>0</v>
      </c>
      <c r="Y270" s="1">
        <v>0</v>
      </c>
      <c r="Z270" s="1">
        <v>39140.22</v>
      </c>
    </row>
    <row r="271" spans="1:26" x14ac:dyDescent="0.25">
      <c r="A271" t="s">
        <v>50</v>
      </c>
      <c r="B271" t="s">
        <v>51</v>
      </c>
      <c r="C271" s="1"/>
      <c r="D271" s="1"/>
      <c r="E271" s="1"/>
      <c r="F271" s="1"/>
      <c r="G271" s="2"/>
      <c r="H271" s="2">
        <f>VLOOKUP(A271,VAL!$A$3:$F$298,3,FALSE)</f>
        <v>48400000</v>
      </c>
      <c r="I271" s="2">
        <v>30825000</v>
      </c>
      <c r="J271" s="2">
        <v>20339558923</v>
      </c>
      <c r="K271" s="2">
        <v>21511091575</v>
      </c>
      <c r="L271" s="2">
        <v>22546732161</v>
      </c>
      <c r="M271" s="2">
        <v>24723878927</v>
      </c>
      <c r="N271" s="2">
        <v>29222388812</v>
      </c>
      <c r="O271" s="2">
        <v>30352054502</v>
      </c>
      <c r="P271" s="2">
        <v>31814832871</v>
      </c>
      <c r="Q271" s="2">
        <v>33429224324</v>
      </c>
      <c r="R271" s="2">
        <v>34795554899</v>
      </c>
      <c r="S271" s="2">
        <v>35597093135</v>
      </c>
      <c r="T271" s="2">
        <v>37373849711</v>
      </c>
      <c r="U271" s="2">
        <v>0</v>
      </c>
      <c r="V271" t="str">
        <f t="shared" si="8"/>
        <v>06037</v>
      </c>
      <c r="W271" s="2">
        <v>23045632</v>
      </c>
      <c r="X271" s="1">
        <v>0</v>
      </c>
      <c r="Y271" s="1">
        <v>0</v>
      </c>
      <c r="Z271" s="1">
        <v>585720.61</v>
      </c>
    </row>
    <row r="272" spans="1:26" x14ac:dyDescent="0.25">
      <c r="A272" t="s">
        <v>188</v>
      </c>
      <c r="B272" t="s">
        <v>189</v>
      </c>
      <c r="C272" s="1"/>
      <c r="D272" s="1"/>
      <c r="E272" s="1"/>
      <c r="F272" s="1"/>
      <c r="G272" s="2"/>
      <c r="H272" s="2">
        <f>VLOOKUP(A272,VAL!$A$3:$F$298,3,FALSE)</f>
        <v>4556285</v>
      </c>
      <c r="I272" s="2">
        <v>4556285</v>
      </c>
      <c r="J272" s="2">
        <v>3232432615</v>
      </c>
      <c r="K272" s="2">
        <v>3340995796</v>
      </c>
      <c r="L272" s="2">
        <v>3265336271</v>
      </c>
      <c r="M272" s="2">
        <v>3831572775</v>
      </c>
      <c r="N272" s="2">
        <v>4955390824</v>
      </c>
      <c r="O272" s="2">
        <v>4966518112</v>
      </c>
      <c r="P272" s="2">
        <v>5267931848</v>
      </c>
      <c r="Q272" s="2">
        <v>5572208601</v>
      </c>
      <c r="R272" s="2">
        <v>5880631102</v>
      </c>
      <c r="S272" s="2">
        <v>6181487854</v>
      </c>
      <c r="T272" s="2">
        <v>6670539326</v>
      </c>
      <c r="U272" s="2">
        <v>0</v>
      </c>
      <c r="V272" t="str">
        <f t="shared" si="8"/>
        <v>17402</v>
      </c>
      <c r="W272" s="2">
        <v>1948973.48</v>
      </c>
      <c r="X272" s="1">
        <v>0</v>
      </c>
      <c r="Y272" s="1">
        <v>0</v>
      </c>
      <c r="Z272" s="1">
        <v>0</v>
      </c>
    </row>
    <row r="273" spans="1:26" x14ac:dyDescent="0.25">
      <c r="A273" t="s">
        <v>503</v>
      </c>
      <c r="B273" t="s">
        <v>504</v>
      </c>
      <c r="C273" s="1"/>
      <c r="D273" s="1"/>
      <c r="E273" s="1"/>
      <c r="F273" s="1"/>
      <c r="G273" s="2"/>
      <c r="H273" s="2">
        <f>VLOOKUP(A273,VAL!$A$3:$F$298,3,FALSE)</f>
        <v>997000</v>
      </c>
      <c r="I273" s="2">
        <v>997000</v>
      </c>
      <c r="J273" s="2">
        <v>440322007</v>
      </c>
      <c r="K273" s="2">
        <v>514493848</v>
      </c>
      <c r="L273" s="2">
        <v>507004314</v>
      </c>
      <c r="M273" s="2">
        <v>580744200</v>
      </c>
      <c r="N273" s="2">
        <v>736396397</v>
      </c>
      <c r="O273" s="2">
        <v>717732953</v>
      </c>
      <c r="P273" s="2">
        <v>799088638</v>
      </c>
      <c r="Q273" s="2">
        <v>885031434</v>
      </c>
      <c r="R273" s="2">
        <v>977943503</v>
      </c>
      <c r="S273" s="2">
        <v>1086839433</v>
      </c>
      <c r="T273" s="2">
        <v>1214536846</v>
      </c>
      <c r="U273" s="2">
        <v>0</v>
      </c>
      <c r="V273" t="str">
        <f t="shared" si="8"/>
        <v>35200</v>
      </c>
      <c r="W273" s="2">
        <v>472378.6</v>
      </c>
      <c r="X273" s="1">
        <v>0</v>
      </c>
      <c r="Y273" s="1">
        <v>0</v>
      </c>
      <c r="Z273" s="1">
        <v>25998.94</v>
      </c>
    </row>
    <row r="274" spans="1:26" x14ac:dyDescent="0.25">
      <c r="A274" t="s">
        <v>116</v>
      </c>
      <c r="B274" t="s">
        <v>117</v>
      </c>
      <c r="C274" s="1"/>
      <c r="D274" s="1"/>
      <c r="E274" s="1"/>
      <c r="F274" s="1"/>
      <c r="G274" s="2"/>
      <c r="H274" s="2">
        <f>VLOOKUP(A274,VAL!$A$3:$F$298,3,FALSE)</f>
        <v>1860865</v>
      </c>
      <c r="I274" s="2">
        <v>1860865</v>
      </c>
      <c r="J274" s="2">
        <v>678384183</v>
      </c>
      <c r="K274" s="2">
        <v>692577792</v>
      </c>
      <c r="L274" s="2">
        <v>777029654</v>
      </c>
      <c r="M274" s="2">
        <v>847838824</v>
      </c>
      <c r="N274" s="2">
        <v>926244121</v>
      </c>
      <c r="O274" s="2">
        <v>989684686</v>
      </c>
      <c r="P274" s="2">
        <v>1054810871</v>
      </c>
      <c r="Q274" s="2">
        <v>1145889151</v>
      </c>
      <c r="R274" s="2">
        <v>1248250904</v>
      </c>
      <c r="S274" s="2">
        <v>1346549409</v>
      </c>
      <c r="T274" s="2">
        <v>1428582506</v>
      </c>
      <c r="U274" s="2">
        <v>792140.95</v>
      </c>
      <c r="V274" t="str">
        <f t="shared" si="8"/>
        <v>13073</v>
      </c>
      <c r="W274" s="2">
        <v>1004265.09</v>
      </c>
      <c r="X274" s="1">
        <v>28039.69</v>
      </c>
      <c r="Y274" s="1">
        <v>3684.0300000000025</v>
      </c>
      <c r="Z274" s="1">
        <v>7954.14</v>
      </c>
    </row>
    <row r="275" spans="1:26" x14ac:dyDescent="0.25">
      <c r="A275" t="s">
        <v>515</v>
      </c>
      <c r="B275" t="s">
        <v>516</v>
      </c>
      <c r="C275" s="1"/>
      <c r="D275" s="1"/>
      <c r="E275" s="1"/>
      <c r="F275" s="1"/>
      <c r="G275" s="2"/>
      <c r="H275" s="2">
        <f>VLOOKUP(A275,VAL!$A$3:$F$298,3,FALSE)</f>
        <v>520846</v>
      </c>
      <c r="I275" s="2">
        <v>520846</v>
      </c>
      <c r="J275" s="2">
        <v>177679987</v>
      </c>
      <c r="K275" s="2">
        <v>180407323</v>
      </c>
      <c r="L275" s="2">
        <v>181014448</v>
      </c>
      <c r="M275" s="2">
        <v>201059966</v>
      </c>
      <c r="N275" s="2">
        <v>221963767</v>
      </c>
      <c r="O275" s="2">
        <v>208757726</v>
      </c>
      <c r="P275" s="2">
        <v>220703044</v>
      </c>
      <c r="Q275" s="2">
        <v>231778010</v>
      </c>
      <c r="R275" s="2">
        <v>234393633</v>
      </c>
      <c r="S275" s="2">
        <v>235510803</v>
      </c>
      <c r="T275" s="2">
        <v>237782074</v>
      </c>
      <c r="U275" s="2">
        <v>25603.96</v>
      </c>
      <c r="V275" t="str">
        <f t="shared" si="8"/>
        <v>36401</v>
      </c>
      <c r="W275" s="2">
        <v>238155.53</v>
      </c>
      <c r="X275" s="1">
        <v>23366.41</v>
      </c>
      <c r="Y275" s="1">
        <v>3070.0299999999988</v>
      </c>
      <c r="Z275" s="1">
        <v>0</v>
      </c>
    </row>
    <row r="276" spans="1:26" x14ac:dyDescent="0.25">
      <c r="A276" t="s">
        <v>507</v>
      </c>
      <c r="B276" t="s">
        <v>508</v>
      </c>
      <c r="C276" s="1"/>
      <c r="D276" s="1"/>
      <c r="E276" s="1"/>
      <c r="F276" s="1"/>
      <c r="G276" s="2"/>
      <c r="H276" s="2">
        <f>VLOOKUP(A276,VAL!$A$3:$F$298,3,FALSE)</f>
        <v>11687674</v>
      </c>
      <c r="I276" s="2">
        <v>11687674</v>
      </c>
      <c r="J276" s="2">
        <v>3528975078</v>
      </c>
      <c r="K276" s="2">
        <v>3809277253</v>
      </c>
      <c r="L276" s="2">
        <v>3889348024</v>
      </c>
      <c r="M276" s="2">
        <v>4476741529</v>
      </c>
      <c r="N276" s="2">
        <v>5236976523</v>
      </c>
      <c r="O276" s="2">
        <v>5293768079</v>
      </c>
      <c r="P276" s="2">
        <v>5873801896</v>
      </c>
      <c r="Q276" s="2">
        <v>6371112836</v>
      </c>
      <c r="R276" s="2">
        <v>7131918345</v>
      </c>
      <c r="S276" s="2">
        <v>7744445136</v>
      </c>
      <c r="T276" s="2">
        <v>8171507463</v>
      </c>
      <c r="U276" s="2">
        <v>718544.57</v>
      </c>
      <c r="V276" t="str">
        <f t="shared" si="8"/>
        <v>36140</v>
      </c>
      <c r="W276" s="2">
        <v>5302700.34</v>
      </c>
      <c r="X276" s="1">
        <v>299741.28000000003</v>
      </c>
      <c r="Y276" s="1">
        <v>39381.939999999944</v>
      </c>
      <c r="Z276" s="1">
        <v>236322.09</v>
      </c>
    </row>
    <row r="277" spans="1:26" x14ac:dyDescent="0.25">
      <c r="A277" t="s">
        <v>583</v>
      </c>
      <c r="B277" t="s">
        <v>584</v>
      </c>
      <c r="C277" s="1"/>
      <c r="D277" s="1"/>
      <c r="E277" s="1"/>
      <c r="F277" s="1"/>
      <c r="G277" s="2"/>
      <c r="H277" s="2">
        <f>VLOOKUP(A277,VAL!$A$3:$F$298,3,FALSE)</f>
        <v>1200000</v>
      </c>
      <c r="I277" s="2">
        <v>1200000</v>
      </c>
      <c r="J277" s="2">
        <v>741649783</v>
      </c>
      <c r="K277" s="2">
        <v>777938209</v>
      </c>
      <c r="L277" s="2">
        <v>823172829</v>
      </c>
      <c r="M277" s="2">
        <v>885285381</v>
      </c>
      <c r="N277" s="2">
        <v>1000257432</v>
      </c>
      <c r="O277" s="2">
        <v>1035909085</v>
      </c>
      <c r="P277" s="2">
        <v>1108734798</v>
      </c>
      <c r="Q277" s="2">
        <v>1176663337</v>
      </c>
      <c r="R277" s="2">
        <v>1248062244</v>
      </c>
      <c r="S277" s="2">
        <v>1324890310</v>
      </c>
      <c r="T277" s="2">
        <v>1498402954</v>
      </c>
      <c r="U277" s="2">
        <v>1121827.4099999999</v>
      </c>
      <c r="V277" t="str">
        <f t="shared" si="8"/>
        <v>39207</v>
      </c>
      <c r="W277" s="2">
        <v>639630</v>
      </c>
      <c r="X277" s="1">
        <v>317522.53999999998</v>
      </c>
      <c r="Y277" s="1">
        <v>41718.160000000033</v>
      </c>
      <c r="Z277" s="1">
        <v>0</v>
      </c>
    </row>
    <row r="278" spans="1:26" x14ac:dyDescent="0.25">
      <c r="A278" t="s">
        <v>120</v>
      </c>
      <c r="B278" t="s">
        <v>121</v>
      </c>
      <c r="C278" s="1"/>
      <c r="D278" s="1"/>
      <c r="E278" s="1"/>
      <c r="F278" s="1"/>
      <c r="G278" s="2"/>
      <c r="H278" s="2">
        <f>VLOOKUP(A278,VAL!$A$3:$F$298,3,FALSE)</f>
        <v>787147</v>
      </c>
      <c r="I278" s="2">
        <v>787147</v>
      </c>
      <c r="J278" s="2">
        <v>482283100</v>
      </c>
      <c r="K278" s="2">
        <v>501072307</v>
      </c>
      <c r="L278" s="2">
        <v>527964286</v>
      </c>
      <c r="M278" s="2">
        <v>541502684</v>
      </c>
      <c r="N278" s="2">
        <v>586942476</v>
      </c>
      <c r="O278" s="2">
        <v>624001104</v>
      </c>
      <c r="P278" s="2">
        <v>658886565</v>
      </c>
      <c r="Q278" s="2">
        <v>706626270</v>
      </c>
      <c r="R278" s="2">
        <v>734169006</v>
      </c>
      <c r="S278" s="2">
        <v>783448939</v>
      </c>
      <c r="T278" s="2">
        <v>823942405</v>
      </c>
      <c r="U278" s="2">
        <v>185756.45</v>
      </c>
      <c r="V278" t="str">
        <f t="shared" si="8"/>
        <v>13146</v>
      </c>
      <c r="W278" s="2">
        <v>553825.29</v>
      </c>
      <c r="X278" s="1">
        <v>26362.51</v>
      </c>
      <c r="Y278" s="1">
        <v>3463.6800000000003</v>
      </c>
      <c r="Z278" s="1">
        <v>0</v>
      </c>
    </row>
    <row r="279" spans="1:26" x14ac:dyDescent="0.25">
      <c r="A279" t="s">
        <v>58</v>
      </c>
      <c r="B279" t="s">
        <v>59</v>
      </c>
      <c r="C279" s="1"/>
      <c r="D279" s="1"/>
      <c r="E279" s="1"/>
      <c r="F279" s="1"/>
      <c r="G279" s="2"/>
      <c r="H279" s="2">
        <f>VLOOKUP(A279,VAL!$A$3:$F$298,3,FALSE)</f>
        <v>7750000</v>
      </c>
      <c r="I279" s="2">
        <v>7750000</v>
      </c>
      <c r="J279" s="2">
        <v>3036045193</v>
      </c>
      <c r="K279" s="2">
        <v>3222894215</v>
      </c>
      <c r="L279" s="2">
        <v>3382251190</v>
      </c>
      <c r="M279" s="2">
        <v>3714953697</v>
      </c>
      <c r="N279" s="2">
        <v>4416968748</v>
      </c>
      <c r="O279" s="2">
        <v>4604650232</v>
      </c>
      <c r="P279" s="2">
        <v>4901921094</v>
      </c>
      <c r="Q279" s="2">
        <v>5165211080</v>
      </c>
      <c r="R279" s="2">
        <v>5386487417</v>
      </c>
      <c r="S279" s="2">
        <v>5651897094</v>
      </c>
      <c r="T279" s="2">
        <v>5830241637</v>
      </c>
      <c r="U279" s="2">
        <v>0</v>
      </c>
      <c r="V279" t="str">
        <f t="shared" si="8"/>
        <v>06112</v>
      </c>
      <c r="W279" s="2">
        <v>3782851.42</v>
      </c>
      <c r="X279" s="1">
        <v>0</v>
      </c>
      <c r="Y279" s="1">
        <v>0</v>
      </c>
      <c r="Z279" s="1">
        <v>0</v>
      </c>
    </row>
    <row r="280" spans="1:26" x14ac:dyDescent="0.25">
      <c r="A280" t="s">
        <v>0</v>
      </c>
      <c r="B280" t="s">
        <v>1</v>
      </c>
      <c r="C280" s="1"/>
      <c r="D280" s="1"/>
      <c r="E280" s="1"/>
      <c r="F280" s="1"/>
      <c r="G280" s="2"/>
      <c r="H280" s="2">
        <f>VLOOKUP(A280,VAL!$A$3:$F$298,3,FALSE)</f>
        <v>79075</v>
      </c>
      <c r="I280" s="2">
        <v>79075</v>
      </c>
      <c r="J280" s="2">
        <v>53633014</v>
      </c>
      <c r="K280" s="2">
        <v>54868762</v>
      </c>
      <c r="L280" s="2">
        <v>58496350</v>
      </c>
      <c r="M280" s="2">
        <v>92503040</v>
      </c>
      <c r="N280" s="2">
        <v>92735856</v>
      </c>
      <c r="O280" s="2">
        <v>120243087</v>
      </c>
      <c r="P280" s="2">
        <v>132568431</v>
      </c>
      <c r="Q280" s="2">
        <v>148764957</v>
      </c>
      <c r="R280" s="2">
        <v>166440098</v>
      </c>
      <c r="S280" s="2">
        <v>191399268</v>
      </c>
      <c r="T280" s="2">
        <v>210848768</v>
      </c>
      <c r="U280" s="2">
        <v>0</v>
      </c>
      <c r="V280" t="str">
        <f t="shared" si="8"/>
        <v>01109</v>
      </c>
      <c r="W280" s="2">
        <v>71070</v>
      </c>
      <c r="X280" s="1">
        <v>0</v>
      </c>
      <c r="Y280" s="1">
        <v>0</v>
      </c>
      <c r="Z280" s="1">
        <v>14964.69</v>
      </c>
    </row>
    <row r="281" spans="1:26" x14ac:dyDescent="0.25">
      <c r="A281" t="s">
        <v>94</v>
      </c>
      <c r="B281" t="s">
        <v>95</v>
      </c>
      <c r="C281" s="1"/>
      <c r="D281" s="1"/>
      <c r="E281" s="1"/>
      <c r="F281" s="1"/>
      <c r="G281" s="2"/>
      <c r="H281" s="2">
        <f>VLOOKUP(A281,VAL!$A$3:$F$298,3,FALSE)</f>
        <v>298300</v>
      </c>
      <c r="I281" s="2">
        <v>298300</v>
      </c>
      <c r="J281" s="2">
        <v>211429460</v>
      </c>
      <c r="K281" s="2">
        <v>211698333</v>
      </c>
      <c r="L281" s="2">
        <v>212771775</v>
      </c>
      <c r="M281" s="2">
        <v>222163941</v>
      </c>
      <c r="N281" s="2">
        <v>252685924</v>
      </c>
      <c r="O281" s="2">
        <v>256480663</v>
      </c>
      <c r="P281" s="2">
        <v>270027770</v>
      </c>
      <c r="Q281" s="2">
        <v>281710604</v>
      </c>
      <c r="R281" s="2">
        <v>293715108</v>
      </c>
      <c r="S281" s="2">
        <v>325423545</v>
      </c>
      <c r="T281" s="2">
        <v>339956673</v>
      </c>
      <c r="U281" s="2">
        <v>22973.87</v>
      </c>
      <c r="V281" t="str">
        <f t="shared" si="8"/>
        <v>09209</v>
      </c>
      <c r="W281" s="2">
        <v>263153.19</v>
      </c>
      <c r="X281" s="1">
        <v>6024.78</v>
      </c>
      <c r="Y281" s="1">
        <v>791.57999999999993</v>
      </c>
      <c r="Z281" s="1">
        <v>0</v>
      </c>
    </row>
    <row r="282" spans="1:26" x14ac:dyDescent="0.25">
      <c r="A282" t="s">
        <v>467</v>
      </c>
      <c r="B282" t="s">
        <v>468</v>
      </c>
      <c r="C282" s="1"/>
      <c r="D282" s="1"/>
      <c r="E282" s="1"/>
      <c r="F282" s="1"/>
      <c r="G282" s="2"/>
      <c r="H282" s="2">
        <f>VLOOKUP(A282,VAL!$A$3:$F$298,3,FALSE)</f>
        <v>50000</v>
      </c>
      <c r="I282" s="2">
        <v>50000</v>
      </c>
      <c r="J282" s="2">
        <v>39168284.049999997</v>
      </c>
      <c r="K282" s="2">
        <v>42970354</v>
      </c>
      <c r="L282" s="2">
        <v>44576452</v>
      </c>
      <c r="M282" s="2">
        <v>45001704</v>
      </c>
      <c r="N282" s="2">
        <v>43328710</v>
      </c>
      <c r="O282" s="2">
        <v>51310393</v>
      </c>
      <c r="P282" s="2">
        <v>55549662</v>
      </c>
      <c r="Q282" s="2">
        <v>58355960</v>
      </c>
      <c r="R282" s="2">
        <v>62657467</v>
      </c>
      <c r="S282" s="2">
        <v>66102557</v>
      </c>
      <c r="T282" s="2">
        <v>65853012</v>
      </c>
      <c r="U282" s="2">
        <v>136887.9</v>
      </c>
      <c r="V282" t="str">
        <f t="shared" si="8"/>
        <v>33049</v>
      </c>
      <c r="W282" s="2">
        <v>23690</v>
      </c>
      <c r="X282" s="1">
        <v>84347.01</v>
      </c>
      <c r="Y282" s="1">
        <v>11082.060000000012</v>
      </c>
      <c r="Z282" s="1">
        <v>0</v>
      </c>
    </row>
    <row r="283" spans="1:26" x14ac:dyDescent="0.25">
      <c r="A283" t="s">
        <v>38</v>
      </c>
      <c r="B283" t="s">
        <v>39</v>
      </c>
      <c r="C283" s="1"/>
      <c r="D283" s="1"/>
      <c r="E283" s="1"/>
      <c r="F283" s="1"/>
      <c r="G283" s="2"/>
      <c r="H283" s="2">
        <f>VLOOKUP(A283,VAL!$A$3:$F$298,3,FALSE)</f>
        <v>12903727</v>
      </c>
      <c r="I283" s="2">
        <v>12903727</v>
      </c>
      <c r="J283" s="2">
        <v>4842735717</v>
      </c>
      <c r="K283" s="2">
        <v>5260885317</v>
      </c>
      <c r="L283" s="2">
        <v>5548879085</v>
      </c>
      <c r="M283" s="2">
        <v>6197484284</v>
      </c>
      <c r="N283" s="2">
        <v>7292143490</v>
      </c>
      <c r="O283" s="2">
        <v>7673124687</v>
      </c>
      <c r="P283" s="2">
        <v>8793091435</v>
      </c>
      <c r="Q283" s="2">
        <v>9757370776</v>
      </c>
      <c r="R283" s="2">
        <v>11070710556</v>
      </c>
      <c r="S283" s="2">
        <v>12361337501</v>
      </c>
      <c r="T283" s="2">
        <v>13669733597</v>
      </c>
      <c r="U283" s="2">
        <v>867254.34</v>
      </c>
      <c r="V283" t="str">
        <f t="shared" si="8"/>
        <v>04246</v>
      </c>
      <c r="W283" s="2">
        <v>5716349.0800000001</v>
      </c>
      <c r="X283" s="1">
        <v>657711.30000000005</v>
      </c>
      <c r="Y283" s="1">
        <v>86414.359999999986</v>
      </c>
      <c r="Z283" s="1">
        <v>516283.71</v>
      </c>
    </row>
    <row r="284" spans="1:26" x14ac:dyDescent="0.25">
      <c r="A284" t="s">
        <v>457</v>
      </c>
      <c r="B284" t="s">
        <v>458</v>
      </c>
      <c r="C284" s="1"/>
      <c r="D284" s="1"/>
      <c r="E284" s="1"/>
      <c r="F284" s="1"/>
      <c r="G284" s="2"/>
      <c r="H284" s="2">
        <f>VLOOKUP(A284,VAL!$A$3:$F$298,3,FALSE)</f>
        <v>3446815</v>
      </c>
      <c r="I284" s="2">
        <v>3446815</v>
      </c>
      <c r="J284" s="2">
        <v>2155606012</v>
      </c>
      <c r="K284" s="2">
        <v>2341539268</v>
      </c>
      <c r="L284" s="2">
        <v>2634746731</v>
      </c>
      <c r="M284" s="2">
        <v>2899968049</v>
      </c>
      <c r="N284" s="2">
        <v>3656265883</v>
      </c>
      <c r="O284" s="2">
        <v>3925849927</v>
      </c>
      <c r="P284" s="2">
        <v>3995647875</v>
      </c>
      <c r="Q284" s="2">
        <v>4220519182</v>
      </c>
      <c r="R284" s="2">
        <v>4480374632</v>
      </c>
      <c r="S284" s="2">
        <v>4698948507</v>
      </c>
      <c r="T284" s="2">
        <v>4930437700</v>
      </c>
      <c r="U284" s="2">
        <v>362087.61</v>
      </c>
      <c r="V284" t="str">
        <f t="shared" si="8"/>
        <v>32363</v>
      </c>
      <c r="W284" s="2">
        <v>3435012.15</v>
      </c>
      <c r="X284" s="1">
        <v>365818.53</v>
      </c>
      <c r="Y284" s="1">
        <v>48063.599999999977</v>
      </c>
      <c r="Z284" s="1">
        <v>189687.64</v>
      </c>
    </row>
    <row r="285" spans="1:26" x14ac:dyDescent="0.25">
      <c r="A285" t="s">
        <v>585</v>
      </c>
      <c r="B285" t="s">
        <v>586</v>
      </c>
      <c r="C285" s="1"/>
      <c r="D285" s="1"/>
      <c r="E285" s="1"/>
      <c r="F285" s="1"/>
      <c r="G285" s="2"/>
      <c r="H285" s="2">
        <f>VLOOKUP(A285,VAL!$A$3:$F$298,3,FALSE)</f>
        <v>5965626</v>
      </c>
      <c r="I285" s="2">
        <v>5965626</v>
      </c>
      <c r="J285" s="2">
        <v>3052158879</v>
      </c>
      <c r="K285" s="2">
        <v>3392018283</v>
      </c>
      <c r="L285" s="2">
        <v>3701803193</v>
      </c>
      <c r="M285" s="2">
        <v>4145707402</v>
      </c>
      <c r="N285" s="2">
        <v>4739934198</v>
      </c>
      <c r="O285" s="2">
        <v>5059421859</v>
      </c>
      <c r="P285" s="2">
        <v>5474996323</v>
      </c>
      <c r="Q285" s="2">
        <v>6151458609</v>
      </c>
      <c r="R285" s="2">
        <v>6655033946</v>
      </c>
      <c r="S285" s="2">
        <v>7488874806</v>
      </c>
      <c r="T285" s="2">
        <v>8478730083</v>
      </c>
      <c r="U285" s="2">
        <v>658759.35</v>
      </c>
      <c r="V285" t="str">
        <f t="shared" si="8"/>
        <v>39208</v>
      </c>
      <c r="W285" s="2">
        <v>2826513.6</v>
      </c>
      <c r="X285" s="1">
        <v>186146.37</v>
      </c>
      <c r="Y285" s="1">
        <v>24457.110000000015</v>
      </c>
      <c r="Z285" s="1">
        <v>0</v>
      </c>
    </row>
    <row r="286" spans="1:26" x14ac:dyDescent="0.25">
      <c r="A286" t="s">
        <v>279</v>
      </c>
      <c r="B286" t="s">
        <v>280</v>
      </c>
      <c r="C286" s="1"/>
      <c r="D286" s="1"/>
      <c r="E286" s="1"/>
      <c r="F286" s="1"/>
      <c r="G286" s="2"/>
      <c r="H286" s="2">
        <f>VLOOKUP(A286,VAL!$A$3:$F$298,3,FALSE)</f>
        <v>1188000</v>
      </c>
      <c r="I286" s="2">
        <v>1188000</v>
      </c>
      <c r="J286" s="2">
        <v>675861681.85000002</v>
      </c>
      <c r="K286" s="2">
        <v>809289830.86000001</v>
      </c>
      <c r="L286" s="2">
        <v>864174270</v>
      </c>
      <c r="M286" s="2">
        <v>974082013</v>
      </c>
      <c r="N286" s="2">
        <v>1428980177</v>
      </c>
      <c r="O286" s="2">
        <v>1251793309</v>
      </c>
      <c r="P286" s="2">
        <v>1356468009</v>
      </c>
      <c r="Q286" s="2">
        <v>1528055037</v>
      </c>
      <c r="R286" s="2">
        <v>1775252039</v>
      </c>
      <c r="S286" s="2">
        <v>1975594679</v>
      </c>
      <c r="T286" s="2">
        <v>2276083421</v>
      </c>
      <c r="U286" s="2">
        <v>0</v>
      </c>
      <c r="V286" t="str">
        <f t="shared" si="8"/>
        <v>21303</v>
      </c>
      <c r="W286" s="2">
        <v>448928.34</v>
      </c>
      <c r="X286" s="1">
        <v>0</v>
      </c>
      <c r="Y286" s="1">
        <v>0</v>
      </c>
      <c r="Z286" s="1">
        <v>0</v>
      </c>
    </row>
    <row r="287" spans="1:26" x14ac:dyDescent="0.25">
      <c r="A287" t="s">
        <v>373</v>
      </c>
      <c r="B287" t="s">
        <v>374</v>
      </c>
      <c r="C287" s="1"/>
      <c r="D287" s="1"/>
      <c r="E287" s="1"/>
      <c r="F287" s="1"/>
      <c r="G287" s="2"/>
      <c r="H287" s="2">
        <f>VLOOKUP(A287,VAL!$A$3:$F$298,3,FALSE)</f>
        <v>4750000</v>
      </c>
      <c r="I287" s="2">
        <v>4750000</v>
      </c>
      <c r="J287" s="2">
        <v>3343345029</v>
      </c>
      <c r="K287" s="2">
        <v>3747342714</v>
      </c>
      <c r="L287" s="2">
        <v>4136882752</v>
      </c>
      <c r="M287" s="2">
        <v>4817063937</v>
      </c>
      <c r="N287" s="2">
        <v>5833000574</v>
      </c>
      <c r="O287" s="2">
        <v>6111994232</v>
      </c>
      <c r="P287" s="2">
        <v>6517504232</v>
      </c>
      <c r="Q287" s="2">
        <v>6939130932</v>
      </c>
      <c r="R287" s="2">
        <v>7338046297</v>
      </c>
      <c r="S287" s="2">
        <v>7985325063</v>
      </c>
      <c r="T287" s="2">
        <v>8596259315</v>
      </c>
      <c r="U287" s="2">
        <v>0</v>
      </c>
      <c r="V287" t="str">
        <f t="shared" si="8"/>
        <v>27416</v>
      </c>
      <c r="W287" s="2">
        <v>4619550</v>
      </c>
      <c r="X287" s="1">
        <v>0</v>
      </c>
      <c r="Y287" s="1">
        <v>0</v>
      </c>
      <c r="Z287" s="1">
        <v>0</v>
      </c>
    </row>
    <row r="288" spans="1:26" x14ac:dyDescent="0.25">
      <c r="A288" t="s">
        <v>253</v>
      </c>
      <c r="B288" t="s">
        <v>254</v>
      </c>
      <c r="C288" s="1"/>
      <c r="D288" s="1"/>
      <c r="E288" s="1"/>
      <c r="F288" s="1"/>
      <c r="G288" s="2"/>
      <c r="H288" s="2">
        <f>VLOOKUP(A288,VAL!$A$3:$F$298,3,FALSE)</f>
        <v>2830000</v>
      </c>
      <c r="I288" s="2">
        <v>2830000</v>
      </c>
      <c r="J288" s="2">
        <v>1280750002.1700001</v>
      </c>
      <c r="K288" s="2">
        <v>1402354937</v>
      </c>
      <c r="L288" s="2">
        <v>1498682227</v>
      </c>
      <c r="M288" s="2">
        <v>1623621905</v>
      </c>
      <c r="N288" s="2">
        <v>1956188826</v>
      </c>
      <c r="O288" s="2">
        <v>1943715053</v>
      </c>
      <c r="P288" s="2">
        <v>2096709144</v>
      </c>
      <c r="Q288" s="2">
        <v>2317388739</v>
      </c>
      <c r="R288" s="2">
        <v>2470493642</v>
      </c>
      <c r="S288" s="2">
        <v>2667524583</v>
      </c>
      <c r="T288" s="2">
        <v>2924141421</v>
      </c>
      <c r="U288" s="2">
        <v>0</v>
      </c>
      <c r="V288" t="str">
        <f t="shared" si="8"/>
        <v>20405</v>
      </c>
      <c r="W288" s="2">
        <v>1581798.83</v>
      </c>
      <c r="X288" s="1">
        <v>0</v>
      </c>
      <c r="Y288" s="1">
        <v>0</v>
      </c>
      <c r="Z288" s="1">
        <v>0</v>
      </c>
    </row>
    <row r="289" spans="1:26" x14ac:dyDescent="0.25">
      <c r="A289" t="s">
        <v>293</v>
      </c>
      <c r="B289" t="s">
        <v>294</v>
      </c>
      <c r="C289" s="1"/>
      <c r="D289" s="1"/>
      <c r="E289" s="1"/>
      <c r="F289" s="1"/>
      <c r="G289" s="2"/>
      <c r="H289" s="2">
        <f>VLOOKUP(A289,VAL!$A$3:$F$298,3,FALSE)</f>
        <v>305000</v>
      </c>
      <c r="I289" s="2">
        <v>305000</v>
      </c>
      <c r="J289" s="2">
        <v>183599604</v>
      </c>
      <c r="K289" s="2">
        <v>186551125</v>
      </c>
      <c r="L289" s="2">
        <v>189762148</v>
      </c>
      <c r="M289" s="2">
        <v>191715201</v>
      </c>
      <c r="N289" s="2">
        <v>199247666</v>
      </c>
      <c r="O289" s="2">
        <v>205071302</v>
      </c>
      <c r="P289" s="2">
        <v>216759746</v>
      </c>
      <c r="Q289" s="2">
        <v>231048135</v>
      </c>
      <c r="R289" s="2">
        <v>239027012</v>
      </c>
      <c r="S289" s="2">
        <v>247788755</v>
      </c>
      <c r="T289" s="2">
        <v>260822453</v>
      </c>
      <c r="U289" s="2">
        <v>15010.59</v>
      </c>
      <c r="V289" t="str">
        <f t="shared" si="8"/>
        <v>22200</v>
      </c>
      <c r="W289" s="2">
        <v>220317</v>
      </c>
      <c r="X289" s="1">
        <v>23838.62</v>
      </c>
      <c r="Y289" s="1">
        <v>3132.0699999999997</v>
      </c>
      <c r="Z289" s="1">
        <v>0</v>
      </c>
    </row>
    <row r="290" spans="1:26" x14ac:dyDescent="0.25">
      <c r="A290" t="s">
        <v>337</v>
      </c>
      <c r="B290" t="s">
        <v>338</v>
      </c>
      <c r="C290" s="1"/>
      <c r="D290" s="1"/>
      <c r="E290" s="1"/>
      <c r="F290" s="1"/>
      <c r="G290" s="2"/>
      <c r="H290" s="2">
        <f>VLOOKUP(A290,VAL!$A$3:$F$298,3,FALSE)</f>
        <v>724500</v>
      </c>
      <c r="I290" s="2">
        <v>724500</v>
      </c>
      <c r="J290" s="2">
        <v>251466103</v>
      </c>
      <c r="K290" s="2">
        <v>307145191</v>
      </c>
      <c r="L290" s="2">
        <v>318229204</v>
      </c>
      <c r="M290" s="2">
        <v>352511101</v>
      </c>
      <c r="N290" s="2">
        <v>444439618</v>
      </c>
      <c r="O290" s="2">
        <v>419815837</v>
      </c>
      <c r="P290" s="2">
        <v>464471490</v>
      </c>
      <c r="Q290" s="2">
        <v>498842000</v>
      </c>
      <c r="R290" s="2">
        <v>544585594</v>
      </c>
      <c r="S290" s="2">
        <v>606626657</v>
      </c>
      <c r="T290" s="2">
        <v>647000666</v>
      </c>
      <c r="U290" s="2">
        <v>15562.5</v>
      </c>
      <c r="V290" t="str">
        <f t="shared" si="8"/>
        <v>25160</v>
      </c>
      <c r="W290" s="2">
        <v>257806.43</v>
      </c>
      <c r="X290" s="1">
        <v>0</v>
      </c>
      <c r="Y290" s="1">
        <v>0</v>
      </c>
      <c r="Z290" s="1">
        <v>34693.81</v>
      </c>
    </row>
    <row r="291" spans="1:26" x14ac:dyDescent="0.25">
      <c r="A291" t="s">
        <v>132</v>
      </c>
      <c r="B291" t="s">
        <v>133</v>
      </c>
      <c r="C291" s="1"/>
      <c r="D291" s="1"/>
      <c r="E291" s="1"/>
      <c r="F291" s="1"/>
      <c r="G291" s="2"/>
      <c r="H291" s="2">
        <f>VLOOKUP(A291,VAL!$A$3:$F$298,3,FALSE)</f>
        <v>263500</v>
      </c>
      <c r="I291" s="2">
        <v>263500</v>
      </c>
      <c r="J291" s="2">
        <v>84950307</v>
      </c>
      <c r="K291" s="2">
        <v>92398349</v>
      </c>
      <c r="L291" s="2">
        <v>96032187</v>
      </c>
      <c r="M291" s="2">
        <v>114965899</v>
      </c>
      <c r="N291" s="2">
        <v>134771971</v>
      </c>
      <c r="O291" s="2">
        <v>140060271</v>
      </c>
      <c r="P291" s="2">
        <v>157503518</v>
      </c>
      <c r="Q291" s="2">
        <v>173476851</v>
      </c>
      <c r="R291" s="2">
        <v>190837229</v>
      </c>
      <c r="S291" s="2">
        <v>210643677</v>
      </c>
      <c r="T291" s="2">
        <v>228731317</v>
      </c>
      <c r="U291" s="2">
        <v>14528.5</v>
      </c>
      <c r="V291" t="str">
        <f t="shared" si="8"/>
        <v>13167</v>
      </c>
      <c r="W291" s="2">
        <v>101166.95</v>
      </c>
      <c r="X291" s="1">
        <v>46374.57</v>
      </c>
      <c r="Y291" s="1">
        <v>6092.989999999998</v>
      </c>
      <c r="Z291" s="1">
        <v>14418.68</v>
      </c>
    </row>
    <row r="292" spans="1:26" x14ac:dyDescent="0.25">
      <c r="A292" t="s">
        <v>267</v>
      </c>
      <c r="B292" t="s">
        <v>268</v>
      </c>
      <c r="C292" s="1"/>
      <c r="D292" s="1"/>
      <c r="E292" s="1"/>
      <c r="F292" s="1"/>
      <c r="G292" s="2"/>
      <c r="H292" s="2">
        <f>VLOOKUP(A292,VAL!$A$3:$F$298,3,FALSE)</f>
        <v>560000</v>
      </c>
      <c r="I292" s="2">
        <v>560000</v>
      </c>
      <c r="J292" s="2">
        <v>399091980.05000001</v>
      </c>
      <c r="K292" s="2">
        <v>444913402.27999997</v>
      </c>
      <c r="L292" s="2">
        <v>509554940</v>
      </c>
      <c r="M292" s="2">
        <v>745461690</v>
      </c>
      <c r="N292" s="2">
        <v>965136595</v>
      </c>
      <c r="O292" s="2">
        <v>948460604</v>
      </c>
      <c r="P292" s="2">
        <v>1065698834</v>
      </c>
      <c r="Q292" s="2">
        <v>1164683076</v>
      </c>
      <c r="R292" s="2">
        <v>1310235183</v>
      </c>
      <c r="S292" s="2">
        <v>1458327204</v>
      </c>
      <c r="T292" s="2">
        <v>1667955904</v>
      </c>
      <c r="U292" s="2">
        <v>6469.27</v>
      </c>
      <c r="V292" t="str">
        <f t="shared" si="8"/>
        <v>21232</v>
      </c>
      <c r="W292" s="2">
        <v>322794.25</v>
      </c>
      <c r="X292" s="1">
        <v>0</v>
      </c>
      <c r="Y292" s="1">
        <v>0</v>
      </c>
      <c r="Z292" s="1">
        <v>151518.45000000001</v>
      </c>
    </row>
    <row r="293" spans="1:26" x14ac:dyDescent="0.25">
      <c r="A293" t="s">
        <v>156</v>
      </c>
      <c r="B293" t="s">
        <v>157</v>
      </c>
      <c r="C293" s="1"/>
      <c r="D293" s="1"/>
      <c r="E293" s="1"/>
      <c r="F293" s="1"/>
      <c r="G293" s="2"/>
      <c r="H293" s="2">
        <f>VLOOKUP(A293,VAL!$A$3:$F$298,3,FALSE)</f>
        <v>500000</v>
      </c>
      <c r="I293" s="2">
        <v>500000</v>
      </c>
      <c r="J293" s="2">
        <v>96340482</v>
      </c>
      <c r="K293" s="2">
        <v>113283936</v>
      </c>
      <c r="L293" s="2">
        <v>110613550</v>
      </c>
      <c r="M293" s="2">
        <v>122031569</v>
      </c>
      <c r="N293" s="2">
        <v>161780083</v>
      </c>
      <c r="O293" s="2">
        <v>146872331</v>
      </c>
      <c r="P293" s="2">
        <v>159696090</v>
      </c>
      <c r="Q293" s="2">
        <v>173246021</v>
      </c>
      <c r="R293" s="2">
        <v>190675538</v>
      </c>
      <c r="S293" s="2">
        <v>202818469</v>
      </c>
      <c r="T293" s="2">
        <v>223237787</v>
      </c>
      <c r="U293" s="2">
        <v>18661.32</v>
      </c>
      <c r="V293" t="str">
        <f t="shared" si="8"/>
        <v>14117</v>
      </c>
      <c r="W293" s="2">
        <v>144546.39000000001</v>
      </c>
      <c r="X293" s="1">
        <v>0</v>
      </c>
      <c r="Y293" s="1">
        <v>0</v>
      </c>
      <c r="Z293" s="1">
        <v>0</v>
      </c>
    </row>
    <row r="294" spans="1:26" x14ac:dyDescent="0.25">
      <c r="A294" t="s">
        <v>237</v>
      </c>
      <c r="B294" t="s">
        <v>238</v>
      </c>
      <c r="C294" s="1"/>
      <c r="D294" s="1"/>
      <c r="E294" s="1"/>
      <c r="F294" s="1"/>
      <c r="G294" s="2"/>
      <c r="H294" s="2">
        <f>VLOOKUP(A294,VAL!$A$3:$F$298,3,FALSE)</f>
        <v>75000</v>
      </c>
      <c r="I294" s="2">
        <v>75000</v>
      </c>
      <c r="J294" s="2">
        <v>51035246</v>
      </c>
      <c r="K294" s="2">
        <v>54450807</v>
      </c>
      <c r="L294" s="2">
        <v>54604969</v>
      </c>
      <c r="M294" s="2">
        <v>58317816</v>
      </c>
      <c r="N294" s="2">
        <v>62783933</v>
      </c>
      <c r="O294" s="2">
        <v>69424013</v>
      </c>
      <c r="P294" s="2">
        <v>74506785</v>
      </c>
      <c r="Q294" s="2">
        <v>81311721</v>
      </c>
      <c r="R294" s="2">
        <v>85859557</v>
      </c>
      <c r="S294" s="2">
        <v>90438475</v>
      </c>
      <c r="T294" s="2">
        <v>97887595</v>
      </c>
      <c r="U294" s="2">
        <v>6175.86</v>
      </c>
      <c r="V294" t="str">
        <f t="shared" si="8"/>
        <v>20094</v>
      </c>
      <c r="W294" s="2">
        <v>35535</v>
      </c>
      <c r="X294" s="1">
        <v>10050.209999999999</v>
      </c>
      <c r="Y294" s="1">
        <v>1320.4600000000009</v>
      </c>
      <c r="Z294" s="1">
        <v>996.02</v>
      </c>
    </row>
    <row r="295" spans="1:26" x14ac:dyDescent="0.25">
      <c r="A295" t="s">
        <v>80</v>
      </c>
      <c r="B295" t="s">
        <v>81</v>
      </c>
      <c r="C295" s="1"/>
      <c r="D295" s="1"/>
      <c r="E295" s="1"/>
      <c r="F295" s="1"/>
      <c r="G295" s="2"/>
      <c r="H295" s="2">
        <f>VLOOKUP(A295,VAL!$A$3:$F$298,3,FALSE)</f>
        <v>4750000</v>
      </c>
      <c r="I295" s="2">
        <v>4750000</v>
      </c>
      <c r="J295" s="2">
        <v>1928689220</v>
      </c>
      <c r="K295" s="2">
        <v>2109676574</v>
      </c>
      <c r="L295" s="2">
        <v>2304640847</v>
      </c>
      <c r="M295" s="2">
        <v>2474151706</v>
      </c>
      <c r="N295" s="2">
        <v>2909063223</v>
      </c>
      <c r="O295" s="2">
        <v>3064953699</v>
      </c>
      <c r="P295" s="2">
        <v>3288657217</v>
      </c>
      <c r="Q295" s="2">
        <v>3607137582</v>
      </c>
      <c r="R295" s="2">
        <v>3959136441</v>
      </c>
      <c r="S295" s="2">
        <v>4373251276</v>
      </c>
      <c r="T295" s="2">
        <v>4771699815</v>
      </c>
      <c r="U295" s="2">
        <v>71972.289999999994</v>
      </c>
      <c r="V295" t="str">
        <f t="shared" si="8"/>
        <v>08404</v>
      </c>
      <c r="W295" s="2">
        <v>2724350</v>
      </c>
      <c r="X295" s="1">
        <v>146191.19</v>
      </c>
      <c r="Y295" s="1">
        <v>19207.540000000008</v>
      </c>
      <c r="Z295" s="1">
        <v>95357.49</v>
      </c>
    </row>
    <row r="296" spans="1:26" x14ac:dyDescent="0.25">
      <c r="A296" t="s">
        <v>563</v>
      </c>
      <c r="B296" t="s">
        <v>564</v>
      </c>
      <c r="C296" s="1"/>
      <c r="D296" s="1"/>
      <c r="E296" s="1"/>
      <c r="F296" s="1"/>
      <c r="G296" s="2"/>
      <c r="H296" s="2">
        <f>VLOOKUP(A296,VAL!$A$3:$F$298,3,FALSE)</f>
        <v>14400000</v>
      </c>
      <c r="I296" s="2">
        <v>14400000</v>
      </c>
      <c r="J296" s="2">
        <v>5331897156</v>
      </c>
      <c r="K296" s="2">
        <v>5679962162</v>
      </c>
      <c r="L296" s="2">
        <v>6027254715</v>
      </c>
      <c r="M296" s="2">
        <v>6642587751</v>
      </c>
      <c r="N296" s="2">
        <v>7777477986</v>
      </c>
      <c r="O296" s="2">
        <v>7752792813</v>
      </c>
      <c r="P296" s="2">
        <v>8366538444</v>
      </c>
      <c r="Q296" s="2">
        <v>8900473776</v>
      </c>
      <c r="R296" s="2">
        <v>9518402404</v>
      </c>
      <c r="S296" s="2">
        <v>10154492542</v>
      </c>
      <c r="T296" s="2">
        <v>11212393087</v>
      </c>
      <c r="U296" s="2">
        <v>4555506.3499999996</v>
      </c>
      <c r="V296" t="str">
        <f t="shared" si="8"/>
        <v>39007</v>
      </c>
      <c r="W296" s="2">
        <v>7240847.0800000001</v>
      </c>
      <c r="X296" s="1">
        <v>904369.33</v>
      </c>
      <c r="Y296" s="1">
        <v>118821.88</v>
      </c>
      <c r="Z296" s="1">
        <v>515776.05</v>
      </c>
    </row>
    <row r="297" spans="1:26" x14ac:dyDescent="0.25">
      <c r="A297" t="s">
        <v>487</v>
      </c>
      <c r="B297" t="s">
        <v>488</v>
      </c>
      <c r="C297" s="1"/>
      <c r="D297" s="1"/>
      <c r="E297" s="1"/>
      <c r="F297" s="1"/>
      <c r="G297" s="2"/>
      <c r="H297" s="2">
        <f>VLOOKUP(A297,VAL!$A$3:$F$298,3,FALSE)</f>
        <v>11700000</v>
      </c>
      <c r="I297" s="2">
        <v>11700000</v>
      </c>
      <c r="J297" s="2">
        <v>3361517539</v>
      </c>
      <c r="K297" s="2">
        <v>3635546669</v>
      </c>
      <c r="L297" s="2">
        <v>3890582033</v>
      </c>
      <c r="M297" s="2">
        <v>4753229766</v>
      </c>
      <c r="N297" s="2">
        <v>5846523175</v>
      </c>
      <c r="O297" s="2">
        <v>6008432762</v>
      </c>
      <c r="P297" s="2">
        <v>6656199061</v>
      </c>
      <c r="Q297" s="2">
        <v>7374060211</v>
      </c>
      <c r="R297" s="2">
        <v>8052627101</v>
      </c>
      <c r="S297" s="2">
        <v>9106522295</v>
      </c>
      <c r="T297" s="2">
        <v>10277158900</v>
      </c>
      <c r="U297" s="2">
        <v>541746.35</v>
      </c>
      <c r="V297" t="str">
        <f t="shared" si="8"/>
        <v>34002</v>
      </c>
      <c r="W297" s="2">
        <v>5184603.41</v>
      </c>
      <c r="X297" s="1">
        <v>580594.04</v>
      </c>
      <c r="Y297" s="1">
        <v>76282.189999999944</v>
      </c>
      <c r="Z297" s="1">
        <v>529845.63</v>
      </c>
    </row>
    <row r="298" spans="1:26" x14ac:dyDescent="0.25">
      <c r="A298" t="s">
        <v>581</v>
      </c>
      <c r="B298" t="s">
        <v>582</v>
      </c>
      <c r="C298" s="1"/>
      <c r="D298" s="1"/>
      <c r="E298" s="1"/>
      <c r="F298" s="1"/>
      <c r="G298" s="2"/>
      <c r="H298" s="2">
        <f>VLOOKUP(A298,VAL!$A$3:$F$298,3,FALSE)</f>
        <v>900000</v>
      </c>
      <c r="I298" s="2">
        <v>900000</v>
      </c>
      <c r="J298" s="2">
        <v>479971758</v>
      </c>
      <c r="K298" s="2">
        <v>515770322</v>
      </c>
      <c r="L298" s="2">
        <v>534601399</v>
      </c>
      <c r="M298" s="2">
        <v>586870654</v>
      </c>
      <c r="N298" s="2">
        <v>700625895</v>
      </c>
      <c r="O298" s="2">
        <v>689130970</v>
      </c>
      <c r="P298" s="2">
        <v>719488837</v>
      </c>
      <c r="Q298" s="2">
        <v>771328134</v>
      </c>
      <c r="R298" s="2">
        <v>830803396</v>
      </c>
      <c r="S298" s="2">
        <v>887421956</v>
      </c>
      <c r="T298" s="2">
        <v>954244255</v>
      </c>
      <c r="U298" s="2">
        <v>333336.38</v>
      </c>
      <c r="V298" t="str">
        <f t="shared" si="8"/>
        <v>39205</v>
      </c>
      <c r="W298" s="2">
        <v>521180</v>
      </c>
      <c r="X298" s="1">
        <v>11154</v>
      </c>
      <c r="Y298" s="1">
        <v>1465.4799999999996</v>
      </c>
      <c r="Z298" s="1">
        <v>39530.639999999999</v>
      </c>
    </row>
    <row r="299" spans="1:26" x14ac:dyDescent="0.25">
      <c r="A299" t="s">
        <v>679</v>
      </c>
      <c r="B299" t="s">
        <v>993</v>
      </c>
      <c r="U299" s="2">
        <v>9248.0400000000009</v>
      </c>
      <c r="V299" t="str">
        <f>A299</f>
        <v>05903</v>
      </c>
      <c r="X299" s="1">
        <v>0</v>
      </c>
      <c r="Y299" s="1">
        <v>0</v>
      </c>
      <c r="Z299" s="1">
        <v>0</v>
      </c>
    </row>
    <row r="300" spans="1:26" x14ac:dyDescent="0.25">
      <c r="A300" t="s">
        <v>763</v>
      </c>
      <c r="B300" t="s">
        <v>985</v>
      </c>
      <c r="U300" s="2">
        <v>264117</v>
      </c>
      <c r="V300" t="str">
        <f t="shared" ref="V300:V305" si="9">A300</f>
        <v>17903</v>
      </c>
      <c r="X300" s="1">
        <v>0</v>
      </c>
      <c r="Y300" s="1">
        <v>0</v>
      </c>
      <c r="Z300" s="1">
        <v>0</v>
      </c>
    </row>
    <row r="301" spans="1:26" x14ac:dyDescent="0.25">
      <c r="A301" t="s">
        <v>770</v>
      </c>
      <c r="B301" t="s">
        <v>987</v>
      </c>
      <c r="U301" s="2">
        <v>41749.800000000003</v>
      </c>
      <c r="V301" t="str">
        <f t="shared" si="9"/>
        <v>18902</v>
      </c>
      <c r="X301" s="1">
        <v>0</v>
      </c>
      <c r="Y301" s="1">
        <v>0</v>
      </c>
      <c r="Z301" s="1">
        <v>0</v>
      </c>
    </row>
    <row r="302" spans="1:26" x14ac:dyDescent="0.25">
      <c r="A302" t="s">
        <v>961</v>
      </c>
      <c r="B302" t="s">
        <v>992</v>
      </c>
      <c r="U302" s="2">
        <v>237687.17</v>
      </c>
      <c r="V302" t="str">
        <f t="shared" si="9"/>
        <v>27901</v>
      </c>
      <c r="X302" s="1">
        <v>0</v>
      </c>
      <c r="Y302" s="1">
        <v>0</v>
      </c>
      <c r="Z302" s="1">
        <v>0</v>
      </c>
    </row>
    <row r="303" spans="1:26" x14ac:dyDescent="0.25">
      <c r="A303" t="s">
        <v>910</v>
      </c>
      <c r="B303" t="s">
        <v>982</v>
      </c>
      <c r="U303" s="2">
        <v>66125.17</v>
      </c>
      <c r="V303" t="str">
        <f t="shared" si="9"/>
        <v>34901</v>
      </c>
      <c r="X303" s="1">
        <v>11528.51</v>
      </c>
      <c r="Y303" s="1">
        <v>1514.6900000000005</v>
      </c>
      <c r="Z303" s="1">
        <v>0</v>
      </c>
    </row>
    <row r="304" spans="1:26" x14ac:dyDescent="0.25">
      <c r="A304" t="s">
        <v>927</v>
      </c>
      <c r="B304" t="s">
        <v>989</v>
      </c>
      <c r="U304" s="2">
        <v>188035.16</v>
      </c>
      <c r="V304" t="str">
        <f t="shared" si="9"/>
        <v>37903</v>
      </c>
      <c r="X304" s="1">
        <v>0</v>
      </c>
      <c r="Y304" s="1">
        <v>0</v>
      </c>
      <c r="Z304" s="1">
        <v>0</v>
      </c>
    </row>
    <row r="305" spans="1:26" x14ac:dyDescent="0.25">
      <c r="A305" t="s">
        <v>966</v>
      </c>
      <c r="B305" t="s">
        <v>991</v>
      </c>
      <c r="U305" s="2">
        <v>9506.5</v>
      </c>
      <c r="V305" t="str">
        <f t="shared" si="9"/>
        <v>39901</v>
      </c>
      <c r="X305" s="1">
        <v>3068.81</v>
      </c>
      <c r="Y305" s="1">
        <v>403.20000000000027</v>
      </c>
      <c r="Z305" s="1">
        <v>0</v>
      </c>
    </row>
  </sheetData>
  <autoFilter ref="A2:W2" xr:uid="{00000000-0009-0000-0000-000004000000}">
    <sortState xmlns:xlrd2="http://schemas.microsoft.com/office/spreadsheetml/2017/richdata2" ref="A3:O298">
      <sortCondition ref="B2"/>
    </sortState>
  </autoFilter>
  <conditionalFormatting sqref="A3">
    <cfRule type="duplicateValues" dxfId="5"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D317"/>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140625" defaultRowHeight="15" x14ac:dyDescent="0.25"/>
  <cols>
    <col min="1" max="1" width="9.140625" style="8"/>
    <col min="2" max="2" width="23.5703125" style="8" bestFit="1" customWidth="1"/>
    <col min="3" max="3" width="17.85546875" style="8" bestFit="1" customWidth="1"/>
    <col min="4" max="4" width="11.28515625" style="8" bestFit="1" customWidth="1"/>
    <col min="5" max="5" width="15.7109375" style="10" bestFit="1" customWidth="1"/>
    <col min="6" max="6" width="11" style="8" customWidth="1"/>
    <col min="7" max="7" width="9.85546875" style="8" customWidth="1"/>
    <col min="8" max="11" width="13.85546875" style="8" bestFit="1" customWidth="1"/>
    <col min="12" max="12" width="16.140625" style="8" customWidth="1"/>
    <col min="13" max="13" width="10.7109375" style="8" bestFit="1" customWidth="1"/>
    <col min="14" max="14" width="13.28515625" style="8" bestFit="1" customWidth="1"/>
    <col min="15" max="17" width="10.7109375" style="8" bestFit="1" customWidth="1"/>
    <col min="18" max="19" width="13.42578125" style="8" bestFit="1" customWidth="1"/>
    <col min="20" max="22" width="13.85546875" style="8" bestFit="1" customWidth="1"/>
    <col min="23" max="23" width="13.42578125" style="8" bestFit="1" customWidth="1"/>
    <col min="24" max="24" width="4.28515625" style="8" customWidth="1"/>
    <col min="25" max="28" width="13.42578125" style="8" bestFit="1" customWidth="1"/>
    <col min="29" max="29" width="13.28515625" style="8" bestFit="1" customWidth="1"/>
    <col min="30" max="16384" width="9.140625" style="8"/>
  </cols>
  <sheetData>
    <row r="1" spans="1:30" customFormat="1" x14ac:dyDescent="0.25">
      <c r="A1" s="4">
        <v>1</v>
      </c>
      <c r="B1" s="4">
        <f>1+A1</f>
        <v>2</v>
      </c>
      <c r="C1" s="4">
        <f t="shared" ref="C1:V1" si="0">1+B1</f>
        <v>3</v>
      </c>
      <c r="D1" s="4">
        <f t="shared" si="0"/>
        <v>4</v>
      </c>
      <c r="E1" s="4">
        <f t="shared" si="0"/>
        <v>5</v>
      </c>
      <c r="F1" s="4">
        <f t="shared" si="0"/>
        <v>6</v>
      </c>
      <c r="G1" s="4">
        <f t="shared" si="0"/>
        <v>7</v>
      </c>
      <c r="H1" s="4">
        <f t="shared" si="0"/>
        <v>8</v>
      </c>
      <c r="I1" s="4">
        <f t="shared" si="0"/>
        <v>9</v>
      </c>
      <c r="J1" s="4">
        <f t="shared" si="0"/>
        <v>10</v>
      </c>
      <c r="K1" s="4">
        <f t="shared" si="0"/>
        <v>11</v>
      </c>
      <c r="L1" s="4">
        <f t="shared" si="0"/>
        <v>12</v>
      </c>
      <c r="M1" s="4">
        <f t="shared" si="0"/>
        <v>13</v>
      </c>
      <c r="N1" s="4">
        <f t="shared" si="0"/>
        <v>14</v>
      </c>
      <c r="O1" s="4">
        <f t="shared" si="0"/>
        <v>15</v>
      </c>
      <c r="P1" s="4">
        <f t="shared" si="0"/>
        <v>16</v>
      </c>
      <c r="Q1" s="4">
        <f>1+P1</f>
        <v>17</v>
      </c>
      <c r="R1" s="4">
        <f t="shared" ref="R1:S1" si="1">1+Q1</f>
        <v>18</v>
      </c>
      <c r="S1" s="4">
        <f t="shared" si="1"/>
        <v>19</v>
      </c>
      <c r="T1" s="4">
        <f t="shared" si="0"/>
        <v>20</v>
      </c>
      <c r="U1" s="4">
        <f t="shared" si="0"/>
        <v>21</v>
      </c>
      <c r="V1" s="4">
        <f t="shared" si="0"/>
        <v>22</v>
      </c>
      <c r="W1" s="4">
        <f t="shared" ref="W1" si="2">1+V1</f>
        <v>23</v>
      </c>
      <c r="X1" s="4">
        <f t="shared" ref="X1" si="3">1+W1</f>
        <v>24</v>
      </c>
      <c r="Y1" s="4">
        <f t="shared" ref="Y1" si="4">1+X1</f>
        <v>25</v>
      </c>
      <c r="Z1" s="4">
        <f t="shared" ref="Z1:AA1" si="5">1+Y1</f>
        <v>26</v>
      </c>
      <c r="AA1" s="4">
        <f t="shared" si="5"/>
        <v>27</v>
      </c>
      <c r="AB1" s="4">
        <f>1+AA1</f>
        <v>28</v>
      </c>
      <c r="AC1" s="4">
        <f>1+AB1</f>
        <v>29</v>
      </c>
      <c r="AD1" s="4">
        <f>1+AC1</f>
        <v>30</v>
      </c>
    </row>
    <row r="2" spans="1:30" x14ac:dyDescent="0.25">
      <c r="F2" s="9"/>
      <c r="G2" s="35" t="s">
        <v>608</v>
      </c>
      <c r="H2" s="28">
        <v>2023</v>
      </c>
      <c r="I2" s="28">
        <v>2024</v>
      </c>
      <c r="J2" s="28">
        <v>2025</v>
      </c>
      <c r="K2" s="28">
        <v>2026</v>
      </c>
      <c r="L2" s="28">
        <v>2027</v>
      </c>
      <c r="M2" s="10"/>
      <c r="N2" s="10"/>
      <c r="O2" s="10"/>
      <c r="P2" s="10"/>
      <c r="Q2" s="10"/>
      <c r="R2" s="10"/>
      <c r="S2" s="132">
        <f>H2</f>
        <v>2023</v>
      </c>
      <c r="T2" s="132">
        <f t="shared" ref="T2:W3" si="6">I2</f>
        <v>2024</v>
      </c>
      <c r="U2" s="132">
        <f t="shared" si="6"/>
        <v>2025</v>
      </c>
      <c r="V2" s="132">
        <f t="shared" si="6"/>
        <v>2026</v>
      </c>
      <c r="W2" s="132">
        <f t="shared" si="6"/>
        <v>2027</v>
      </c>
      <c r="Y2" s="10"/>
    </row>
    <row r="3" spans="1:30" x14ac:dyDescent="0.25">
      <c r="F3" s="9"/>
      <c r="G3" s="35" t="s">
        <v>619</v>
      </c>
      <c r="H3" s="28" t="s">
        <v>617</v>
      </c>
      <c r="I3" s="28" t="s">
        <v>962</v>
      </c>
      <c r="J3" s="28" t="s">
        <v>972</v>
      </c>
      <c r="K3" s="28" t="s">
        <v>979</v>
      </c>
      <c r="L3" s="28" t="s">
        <v>1070</v>
      </c>
      <c r="M3" s="10"/>
      <c r="N3" s="10"/>
      <c r="O3" s="10"/>
      <c r="P3" s="10"/>
      <c r="Q3" s="10"/>
      <c r="R3" s="10"/>
      <c r="S3" s="132" t="str">
        <f>H3</f>
        <v>2021-22</v>
      </c>
      <c r="T3" s="132" t="str">
        <f t="shared" si="6"/>
        <v>2022-23</v>
      </c>
      <c r="U3" s="132" t="str">
        <f t="shared" si="6"/>
        <v>2023-24</v>
      </c>
      <c r="V3" s="132" t="str">
        <f t="shared" si="6"/>
        <v>2024-25</v>
      </c>
      <c r="W3" s="132" t="str">
        <f t="shared" si="6"/>
        <v>2025-26</v>
      </c>
      <c r="Y3" s="10"/>
    </row>
    <row r="4" spans="1:30" x14ac:dyDescent="0.25">
      <c r="C4" s="11"/>
      <c r="F4" s="12"/>
      <c r="G4" s="35" t="s">
        <v>644</v>
      </c>
      <c r="H4" s="13">
        <v>0</v>
      </c>
      <c r="I4" s="13">
        <v>1.3376230137235212E-2</v>
      </c>
      <c r="J4" s="13">
        <v>1.7237824797060406E-2</v>
      </c>
      <c r="K4" s="47">
        <v>1.7237824797060406E-2</v>
      </c>
      <c r="L4" s="47">
        <v>1.7237824797060406E-2</v>
      </c>
      <c r="M4" s="13"/>
      <c r="N4" s="13"/>
      <c r="O4" s="13"/>
      <c r="P4" s="13"/>
      <c r="Q4" s="13"/>
      <c r="R4" s="13"/>
      <c r="Y4" s="13"/>
    </row>
    <row r="5" spans="1:30" ht="15.75" thickBot="1" x14ac:dyDescent="0.3">
      <c r="A5" s="44" t="s">
        <v>1177</v>
      </c>
      <c r="B5" s="14"/>
      <c r="H5" s="8" t="s">
        <v>973</v>
      </c>
      <c r="I5" s="8" t="s">
        <v>973</v>
      </c>
      <c r="J5" s="8" t="s">
        <v>973</v>
      </c>
      <c r="K5" s="8" t="s">
        <v>973</v>
      </c>
      <c r="L5" s="8" t="s">
        <v>973</v>
      </c>
      <c r="M5" s="180" t="s">
        <v>645</v>
      </c>
      <c r="N5" s="180"/>
      <c r="O5" s="180"/>
      <c r="P5" s="180"/>
      <c r="Q5" s="10"/>
      <c r="R5" s="39" t="s">
        <v>973</v>
      </c>
      <c r="S5" s="8" t="s">
        <v>973</v>
      </c>
      <c r="T5" s="8" t="s">
        <v>973</v>
      </c>
      <c r="U5" s="8" t="s">
        <v>973</v>
      </c>
      <c r="V5" s="8" t="s">
        <v>973</v>
      </c>
      <c r="W5" s="8" t="s">
        <v>973</v>
      </c>
      <c r="Y5" s="41" t="s">
        <v>998</v>
      </c>
      <c r="Z5" s="45">
        <v>2023</v>
      </c>
      <c r="AA5" s="45">
        <v>2024</v>
      </c>
    </row>
    <row r="6" spans="1:30" ht="30.75" thickBot="1" x14ac:dyDescent="0.3">
      <c r="A6" s="15" t="s">
        <v>595</v>
      </c>
      <c r="B6" s="16" t="s">
        <v>596</v>
      </c>
      <c r="C6" s="140" t="s">
        <v>1178</v>
      </c>
      <c r="D6" s="17" t="s">
        <v>646</v>
      </c>
      <c r="E6" s="18" t="s">
        <v>647</v>
      </c>
      <c r="F6" s="19" t="s">
        <v>648</v>
      </c>
      <c r="G6" s="19" t="s">
        <v>649</v>
      </c>
      <c r="H6" s="36" t="s">
        <v>963</v>
      </c>
      <c r="I6" s="36" t="s">
        <v>969</v>
      </c>
      <c r="J6" s="36" t="s">
        <v>975</v>
      </c>
      <c r="K6" s="36" t="s">
        <v>1088</v>
      </c>
      <c r="L6" s="36" t="s">
        <v>1179</v>
      </c>
      <c r="M6" s="19" t="s">
        <v>964</v>
      </c>
      <c r="N6" s="19" t="s">
        <v>970</v>
      </c>
      <c r="O6" s="19" t="s">
        <v>976</v>
      </c>
      <c r="P6" s="19" t="s">
        <v>1087</v>
      </c>
      <c r="Q6" s="19" t="s">
        <v>1180</v>
      </c>
      <c r="R6" s="40" t="s">
        <v>997</v>
      </c>
      <c r="S6" s="36" t="s">
        <v>963</v>
      </c>
      <c r="T6" s="36" t="s">
        <v>969</v>
      </c>
      <c r="U6" s="36" t="s">
        <v>975</v>
      </c>
      <c r="V6" s="36" t="s">
        <v>1088</v>
      </c>
      <c r="W6" s="36" t="s">
        <v>1179</v>
      </c>
      <c r="Y6" s="42" t="s">
        <v>997</v>
      </c>
      <c r="Z6" s="42" t="s">
        <v>1089</v>
      </c>
      <c r="AA6" s="42" t="s">
        <v>1143</v>
      </c>
      <c r="AC6" s="136" t="s">
        <v>1183</v>
      </c>
      <c r="AD6" s="136" t="s">
        <v>1161</v>
      </c>
    </row>
    <row r="7" spans="1:30" x14ac:dyDescent="0.25">
      <c r="A7" s="20" t="s">
        <v>634</v>
      </c>
      <c r="B7" s="20" t="s">
        <v>650</v>
      </c>
      <c r="C7" s="24">
        <f>SUM(C9:C317)</f>
        <v>1055936.58</v>
      </c>
      <c r="D7" s="22" t="s">
        <v>651</v>
      </c>
      <c r="E7" s="10">
        <f>COUNTIF(E9:E310,"Yes")</f>
        <v>44</v>
      </c>
      <c r="F7" s="21">
        <f>SUM(F9:F310)</f>
        <v>2694.8230000000008</v>
      </c>
      <c r="G7" s="23">
        <f>SUM(G9:G314)</f>
        <v>2694.8229999999994</v>
      </c>
      <c r="H7" s="24">
        <f>SUM(H9:H317)</f>
        <v>1055936.58</v>
      </c>
      <c r="I7" s="24">
        <f>SUM(I9:I317)</f>
        <v>1070030.929906202</v>
      </c>
      <c r="J7" s="24">
        <f>SUM(J9:J317)</f>
        <v>1088437.1449814639</v>
      </c>
      <c r="K7" s="24">
        <f>SUM(K9:K317)</f>
        <v>1107160.6431673707</v>
      </c>
      <c r="L7" s="24">
        <f>SUM(L9:L317)</f>
        <v>1126206.8937345925</v>
      </c>
      <c r="M7" s="24">
        <f>SUM(M9:M314)</f>
        <v>1.4210854715202004E-13</v>
      </c>
      <c r="N7" s="24">
        <f>SUM(N9:N314)</f>
        <v>1.4210854715202004E-13</v>
      </c>
      <c r="O7" s="24">
        <f>SUM(O9:O314)</f>
        <v>1.4210854715202004E-13</v>
      </c>
      <c r="P7" s="24">
        <f>SUM(P9:P314)</f>
        <v>1.4210854715202004E-13</v>
      </c>
      <c r="Q7" s="24">
        <f>SUM(Q9:Q314)</f>
        <v>1.4210854715202004E-13</v>
      </c>
      <c r="R7" s="24">
        <f t="shared" ref="R7:W7" si="7">SUM(R9:R317)</f>
        <v>1100312.4299999995</v>
      </c>
      <c r="S7" s="24">
        <f t="shared" si="7"/>
        <v>1055936.5800000003</v>
      </c>
      <c r="T7" s="24">
        <f t="shared" si="7"/>
        <v>1070030.9699999997</v>
      </c>
      <c r="U7" s="24">
        <f t="shared" si="7"/>
        <v>1088437.1500000004</v>
      </c>
      <c r="V7" s="24">
        <f t="shared" si="7"/>
        <v>1107160.5899999996</v>
      </c>
      <c r="W7" s="24">
        <f t="shared" si="7"/>
        <v>1126206.9100000004</v>
      </c>
      <c r="Y7" s="24">
        <f>SUM(Y9:Y317)</f>
        <v>1100312.4299999995</v>
      </c>
      <c r="Z7" s="24">
        <f>SUM(Z9:Z319)</f>
        <v>1105555.4899999995</v>
      </c>
      <c r="AA7" s="24">
        <f>SUM(AA9:AA319)</f>
        <v>1070030.9699999997</v>
      </c>
      <c r="AC7" s="24">
        <f>SUM(AC9:AC319)</f>
        <v>1100308.4299999995</v>
      </c>
      <c r="AD7" s="24">
        <f>SUM(AD9:AD319)</f>
        <v>3.9999999999999658</v>
      </c>
    </row>
    <row r="8" spans="1:30" ht="8.25" customHeight="1" x14ac:dyDescent="0.25">
      <c r="A8" s="20"/>
      <c r="B8" s="20"/>
      <c r="C8" s="21"/>
      <c r="D8" s="22"/>
      <c r="F8" s="21"/>
      <c r="G8" s="23"/>
      <c r="H8" s="24"/>
      <c r="I8" s="24"/>
      <c r="J8" s="24"/>
      <c r="K8" s="24"/>
      <c r="L8" s="24"/>
      <c r="M8" s="24"/>
      <c r="N8" s="24"/>
      <c r="O8" s="24"/>
      <c r="P8" s="24"/>
      <c r="Q8" s="24"/>
      <c r="S8" s="24"/>
      <c r="T8" s="24"/>
      <c r="U8" s="24"/>
      <c r="V8" s="24"/>
      <c r="W8" s="24"/>
    </row>
    <row r="9" spans="1:30" x14ac:dyDescent="0.25">
      <c r="A9" s="30" t="s">
        <v>0</v>
      </c>
      <c r="B9" s="30" t="s">
        <v>652</v>
      </c>
      <c r="C9" s="27">
        <v>80.3</v>
      </c>
      <c r="D9" s="28" t="str">
        <f t="shared" ref="D9:D72" si="8">IF(C9&gt;100,"Yes","No")</f>
        <v>No</v>
      </c>
      <c r="E9" s="28" t="s">
        <v>653</v>
      </c>
      <c r="F9" s="11">
        <v>0</v>
      </c>
      <c r="G9" s="11">
        <v>0</v>
      </c>
      <c r="H9" s="37">
        <f t="shared" ref="H9:H72" si="9">(IF(D9="Yes",(C9*(1+SY202021Growth)),C9))</f>
        <v>80.3</v>
      </c>
      <c r="I9" s="37">
        <f t="shared" ref="I9:I72" si="10">(IF(D9="Yes",((C9*(1+SY202021Growth))*(1+SY202122Growth)),C9))</f>
        <v>80.3</v>
      </c>
      <c r="J9" s="37">
        <f t="shared" ref="J9:J72" si="11">(IF(D9="Yes",(((C9*(1+SY202021Growth))*(1+SY202122Growth))*(1+SY202223growth)),C9))</f>
        <v>80.3</v>
      </c>
      <c r="K9" s="37">
        <f>(IF($D9="Yes",(((($C9*(1+SY202021Growth))*(1+SY202122Growth))*(1+SY202223growth))*(1+SY202324growth)),$C9))</f>
        <v>80.3</v>
      </c>
      <c r="L9" s="37">
        <f t="shared" ref="L9:L72" si="12">(IF($D9="Yes",((((($C9*(1+SY202021Growth))*(1+SY202122Growth))*(1+SY202223growth))*(1+SY202324growth))*(1+SY202425Growth)),$C9))</f>
        <v>80.3</v>
      </c>
      <c r="M9" s="25">
        <f>-$F9+$G9</f>
        <v>0</v>
      </c>
      <c r="N9" s="25">
        <f>-$F9+$G9</f>
        <v>0</v>
      </c>
      <c r="O9" s="25">
        <f>-$F9+$G9</f>
        <v>0</v>
      </c>
      <c r="P9" s="25">
        <f>-$F9+$G9</f>
        <v>0</v>
      </c>
      <c r="Q9" s="25">
        <f>-$F9+$G9</f>
        <v>0</v>
      </c>
      <c r="R9" s="38">
        <v>56.48</v>
      </c>
      <c r="S9" s="37">
        <f>ROUND(SUM(H9,M9),2)</f>
        <v>80.3</v>
      </c>
      <c r="T9" s="37">
        <f>ROUND(SUM(I9,N9),2)</f>
        <v>80.3</v>
      </c>
      <c r="U9" s="37">
        <f>ROUND(SUM(J9,O9),2)</f>
        <v>80.3</v>
      </c>
      <c r="V9" s="37">
        <f>ROUND(SUM(K9,P9),2)</f>
        <v>80.3</v>
      </c>
      <c r="W9" s="37">
        <f>ROUND(SUM(L9,Q9),2)</f>
        <v>80.3</v>
      </c>
      <c r="X9" s="25"/>
      <c r="Y9" s="38">
        <v>56.48</v>
      </c>
      <c r="Z9" s="25">
        <f>MAX(S9,R9)</f>
        <v>80.3</v>
      </c>
      <c r="AA9" s="25">
        <f>MAX(T9,S9)</f>
        <v>80.3</v>
      </c>
      <c r="AC9" s="25">
        <f>R9-AD9</f>
        <v>56.48</v>
      </c>
      <c r="AD9" s="25">
        <v>0</v>
      </c>
    </row>
    <row r="10" spans="1:30" x14ac:dyDescent="0.25">
      <c r="A10" s="30" t="s">
        <v>2</v>
      </c>
      <c r="B10" s="30" t="s">
        <v>654</v>
      </c>
      <c r="C10" s="27">
        <v>11.4</v>
      </c>
      <c r="D10" s="28" t="str">
        <f t="shared" si="8"/>
        <v>No</v>
      </c>
      <c r="E10" s="28" t="s">
        <v>655</v>
      </c>
      <c r="F10" s="11">
        <v>0</v>
      </c>
      <c r="G10" s="11">
        <v>0</v>
      </c>
      <c r="H10" s="37">
        <f t="shared" si="9"/>
        <v>11.4</v>
      </c>
      <c r="I10" s="37">
        <f t="shared" si="10"/>
        <v>11.4</v>
      </c>
      <c r="J10" s="37">
        <f t="shared" si="11"/>
        <v>11.4</v>
      </c>
      <c r="K10" s="37">
        <f t="shared" ref="K10:K72" si="13">(IF(D10="Yes",((((C10*(1+SY202021Growth))*(1+SY202122Growth))*(1+SY202223growth))*(1+SY202324growth)),C10))</f>
        <v>11.4</v>
      </c>
      <c r="L10" s="37">
        <f t="shared" si="12"/>
        <v>11.4</v>
      </c>
      <c r="M10" s="25">
        <f t="shared" ref="M10:Q25" si="14">-$F10+$G10</f>
        <v>0</v>
      </c>
      <c r="N10" s="25">
        <f t="shared" si="14"/>
        <v>0</v>
      </c>
      <c r="O10" s="25">
        <f t="shared" si="14"/>
        <v>0</v>
      </c>
      <c r="P10" s="25">
        <f t="shared" si="14"/>
        <v>0</v>
      </c>
      <c r="Q10" s="25">
        <f t="shared" si="14"/>
        <v>0</v>
      </c>
      <c r="R10" s="38">
        <v>18.8</v>
      </c>
      <c r="S10" s="37">
        <f t="shared" ref="S10:S73" si="15">ROUND(SUM(H10,M10),2)</f>
        <v>11.4</v>
      </c>
      <c r="T10" s="37">
        <f t="shared" ref="T10:T73" si="16">ROUND(SUM(I10,N10),2)</f>
        <v>11.4</v>
      </c>
      <c r="U10" s="37">
        <f t="shared" ref="U10:U73" si="17">ROUND(SUM(J10,O10),2)</f>
        <v>11.4</v>
      </c>
      <c r="V10" s="37">
        <f t="shared" ref="V10:V73" si="18">ROUND(SUM(K10,P10),2)</f>
        <v>11.4</v>
      </c>
      <c r="W10" s="37">
        <f t="shared" ref="W10:W73" si="19">ROUND(SUM(L10,Q10),2)</f>
        <v>11.4</v>
      </c>
      <c r="X10" s="25"/>
      <c r="Y10" s="38">
        <v>18.8</v>
      </c>
      <c r="Z10" s="25">
        <f t="shared" ref="Z10:AA73" si="20">MAX(S10,R10)</f>
        <v>18.8</v>
      </c>
      <c r="AA10" s="25">
        <f t="shared" si="20"/>
        <v>11.4</v>
      </c>
      <c r="AC10" s="25">
        <f t="shared" ref="AC10:AC73" si="21">R10-AD10</f>
        <v>18.8</v>
      </c>
      <c r="AD10" s="25">
        <v>0</v>
      </c>
    </row>
    <row r="11" spans="1:30" x14ac:dyDescent="0.25">
      <c r="A11" s="30" t="s">
        <v>4</v>
      </c>
      <c r="B11" s="30" t="s">
        <v>656</v>
      </c>
      <c r="C11" s="27">
        <v>4450.3</v>
      </c>
      <c r="D11" s="28" t="str">
        <f t="shared" si="8"/>
        <v>Yes</v>
      </c>
      <c r="E11" s="28" t="s">
        <v>653</v>
      </c>
      <c r="F11" s="11">
        <v>0</v>
      </c>
      <c r="G11" s="11">
        <v>0</v>
      </c>
      <c r="H11" s="37">
        <f t="shared" si="9"/>
        <v>4450.3</v>
      </c>
      <c r="I11" s="37">
        <f t="shared" si="10"/>
        <v>4509.828236979738</v>
      </c>
      <c r="J11" s="37">
        <f t="shared" si="11"/>
        <v>4587.5678659936302</v>
      </c>
      <c r="K11" s="37">
        <f t="shared" si="13"/>
        <v>4666.6475571122528</v>
      </c>
      <c r="L11" s="37">
        <f t="shared" si="12"/>
        <v>4747.090410091384</v>
      </c>
      <c r="M11" s="25">
        <f t="shared" si="14"/>
        <v>0</v>
      </c>
      <c r="N11" s="25">
        <f t="shared" si="14"/>
        <v>0</v>
      </c>
      <c r="O11" s="25">
        <f t="shared" si="14"/>
        <v>0</v>
      </c>
      <c r="P11" s="25">
        <f t="shared" si="14"/>
        <v>0</v>
      </c>
      <c r="Q11" s="25">
        <f t="shared" si="14"/>
        <v>0</v>
      </c>
      <c r="R11" s="38">
        <v>4520.51</v>
      </c>
      <c r="S11" s="37">
        <f t="shared" si="15"/>
        <v>4450.3</v>
      </c>
      <c r="T11" s="37">
        <f t="shared" si="16"/>
        <v>4509.83</v>
      </c>
      <c r="U11" s="37">
        <f t="shared" si="17"/>
        <v>4587.57</v>
      </c>
      <c r="V11" s="37">
        <f t="shared" si="18"/>
        <v>4666.6499999999996</v>
      </c>
      <c r="W11" s="37">
        <f t="shared" si="19"/>
        <v>4747.09</v>
      </c>
      <c r="X11" s="25"/>
      <c r="Y11" s="38">
        <v>4520.51</v>
      </c>
      <c r="Z11" s="25">
        <f t="shared" si="20"/>
        <v>4520.51</v>
      </c>
      <c r="AA11" s="25">
        <f t="shared" si="20"/>
        <v>4509.83</v>
      </c>
      <c r="AC11" s="25">
        <f t="shared" si="21"/>
        <v>4520.51</v>
      </c>
      <c r="AD11" s="25">
        <v>0</v>
      </c>
    </row>
    <row r="12" spans="1:30" x14ac:dyDescent="0.25">
      <c r="A12" s="30" t="s">
        <v>6</v>
      </c>
      <c r="B12" s="30" t="s">
        <v>657</v>
      </c>
      <c r="C12" s="27">
        <v>192.69</v>
      </c>
      <c r="D12" s="28" t="str">
        <f t="shared" si="8"/>
        <v>Yes</v>
      </c>
      <c r="E12" s="28" t="s">
        <v>653</v>
      </c>
      <c r="F12" s="11">
        <v>0</v>
      </c>
      <c r="G12" s="11">
        <v>0</v>
      </c>
      <c r="H12" s="37">
        <f t="shared" si="9"/>
        <v>192.69</v>
      </c>
      <c r="I12" s="37">
        <f t="shared" si="10"/>
        <v>195.26746578514383</v>
      </c>
      <c r="J12" s="37">
        <f t="shared" si="11"/>
        <v>198.63345214891413</v>
      </c>
      <c r="K12" s="37">
        <f t="shared" si="13"/>
        <v>202.05746079589238</v>
      </c>
      <c r="L12" s="37">
        <f t="shared" si="12"/>
        <v>205.54049190403086</v>
      </c>
      <c r="M12" s="25">
        <f t="shared" si="14"/>
        <v>0</v>
      </c>
      <c r="N12" s="25">
        <f t="shared" si="14"/>
        <v>0</v>
      </c>
      <c r="O12" s="25">
        <f t="shared" si="14"/>
        <v>0</v>
      </c>
      <c r="P12" s="25">
        <f t="shared" si="14"/>
        <v>0</v>
      </c>
      <c r="Q12" s="25">
        <f t="shared" si="14"/>
        <v>0</v>
      </c>
      <c r="R12" s="38">
        <v>189.99</v>
      </c>
      <c r="S12" s="37">
        <f t="shared" si="15"/>
        <v>192.69</v>
      </c>
      <c r="T12" s="37">
        <f t="shared" si="16"/>
        <v>195.27</v>
      </c>
      <c r="U12" s="37">
        <f t="shared" si="17"/>
        <v>198.63</v>
      </c>
      <c r="V12" s="37">
        <f t="shared" si="18"/>
        <v>202.06</v>
      </c>
      <c r="W12" s="37">
        <f t="shared" si="19"/>
        <v>205.54</v>
      </c>
      <c r="X12" s="25"/>
      <c r="Y12" s="38">
        <v>189.99</v>
      </c>
      <c r="Z12" s="25">
        <f t="shared" si="20"/>
        <v>192.69</v>
      </c>
      <c r="AA12" s="25">
        <f t="shared" si="20"/>
        <v>195.27</v>
      </c>
      <c r="AC12" s="25">
        <f t="shared" si="21"/>
        <v>189.99</v>
      </c>
      <c r="AD12" s="25">
        <v>0</v>
      </c>
    </row>
    <row r="13" spans="1:30" x14ac:dyDescent="0.25">
      <c r="A13" s="30" t="s">
        <v>8</v>
      </c>
      <c r="B13" s="30" t="s">
        <v>658</v>
      </c>
      <c r="C13" s="27">
        <v>346.23</v>
      </c>
      <c r="D13" s="28" t="str">
        <f t="shared" si="8"/>
        <v>Yes</v>
      </c>
      <c r="E13" s="28" t="s">
        <v>653</v>
      </c>
      <c r="F13" s="11">
        <v>0</v>
      </c>
      <c r="G13" s="11">
        <v>0</v>
      </c>
      <c r="H13" s="37">
        <f t="shared" si="9"/>
        <v>346.23</v>
      </c>
      <c r="I13" s="37">
        <f t="shared" si="10"/>
        <v>350.86125216041495</v>
      </c>
      <c r="J13" s="37">
        <f t="shared" si="11"/>
        <v>356.90933695323338</v>
      </c>
      <c r="K13" s="37">
        <f t="shared" si="13"/>
        <v>363.06167757206822</v>
      </c>
      <c r="L13" s="37">
        <f t="shared" si="12"/>
        <v>369.32007116058236</v>
      </c>
      <c r="M13" s="25">
        <f t="shared" si="14"/>
        <v>0</v>
      </c>
      <c r="N13" s="25">
        <f t="shared" si="14"/>
        <v>0</v>
      </c>
      <c r="O13" s="25">
        <f t="shared" si="14"/>
        <v>0</v>
      </c>
      <c r="P13" s="25">
        <f t="shared" si="14"/>
        <v>0</v>
      </c>
      <c r="Q13" s="25">
        <f t="shared" si="14"/>
        <v>0</v>
      </c>
      <c r="R13" s="38">
        <v>349</v>
      </c>
      <c r="S13" s="37">
        <f t="shared" si="15"/>
        <v>346.23</v>
      </c>
      <c r="T13" s="37">
        <f t="shared" si="16"/>
        <v>350.86</v>
      </c>
      <c r="U13" s="37">
        <f t="shared" si="17"/>
        <v>356.91</v>
      </c>
      <c r="V13" s="37">
        <f t="shared" si="18"/>
        <v>363.06</v>
      </c>
      <c r="W13" s="37">
        <f t="shared" si="19"/>
        <v>369.32</v>
      </c>
      <c r="X13" s="25"/>
      <c r="Y13" s="38">
        <v>349</v>
      </c>
      <c r="Z13" s="25">
        <f t="shared" si="20"/>
        <v>349</v>
      </c>
      <c r="AA13" s="25">
        <f t="shared" si="20"/>
        <v>350.86</v>
      </c>
      <c r="AC13" s="25">
        <f t="shared" si="21"/>
        <v>349</v>
      </c>
      <c r="AD13" s="25">
        <v>0</v>
      </c>
    </row>
    <row r="14" spans="1:30" x14ac:dyDescent="0.25">
      <c r="A14" s="30" t="s">
        <v>10</v>
      </c>
      <c r="B14" s="30" t="s">
        <v>659</v>
      </c>
      <c r="C14" s="27">
        <v>2424.2199999999998</v>
      </c>
      <c r="D14" s="28" t="str">
        <f t="shared" si="8"/>
        <v>Yes</v>
      </c>
      <c r="E14" s="28" t="s">
        <v>653</v>
      </c>
      <c r="F14" s="11">
        <v>0</v>
      </c>
      <c r="G14" s="11">
        <v>0</v>
      </c>
      <c r="H14" s="37">
        <f t="shared" si="9"/>
        <v>2424.2199999999998</v>
      </c>
      <c r="I14" s="37">
        <f t="shared" si="10"/>
        <v>2456.6469246232878</v>
      </c>
      <c r="J14" s="37">
        <f t="shared" si="11"/>
        <v>2498.9941738981811</v>
      </c>
      <c r="K14" s="37">
        <f t="shared" si="13"/>
        <v>2542.0713976367124</v>
      </c>
      <c r="L14" s="37">
        <f t="shared" si="12"/>
        <v>2585.8911790107923</v>
      </c>
      <c r="M14" s="25">
        <f t="shared" si="14"/>
        <v>0</v>
      </c>
      <c r="N14" s="25">
        <f t="shared" si="14"/>
        <v>0</v>
      </c>
      <c r="O14" s="25">
        <f t="shared" si="14"/>
        <v>0</v>
      </c>
      <c r="P14" s="25">
        <f t="shared" si="14"/>
        <v>0</v>
      </c>
      <c r="Q14" s="25">
        <f t="shared" si="14"/>
        <v>0</v>
      </c>
      <c r="R14" s="38">
        <v>2587.13</v>
      </c>
      <c r="S14" s="37">
        <f t="shared" si="15"/>
        <v>2424.2199999999998</v>
      </c>
      <c r="T14" s="37">
        <f t="shared" si="16"/>
        <v>2456.65</v>
      </c>
      <c r="U14" s="37">
        <f t="shared" si="17"/>
        <v>2498.9899999999998</v>
      </c>
      <c r="V14" s="37">
        <f t="shared" si="18"/>
        <v>2542.0700000000002</v>
      </c>
      <c r="W14" s="37">
        <f t="shared" si="19"/>
        <v>2585.89</v>
      </c>
      <c r="X14" s="25"/>
      <c r="Y14" s="38">
        <v>2587.13</v>
      </c>
      <c r="Z14" s="25">
        <f t="shared" si="20"/>
        <v>2587.13</v>
      </c>
      <c r="AA14" s="25">
        <f t="shared" si="20"/>
        <v>2456.65</v>
      </c>
      <c r="AC14" s="25">
        <f t="shared" si="21"/>
        <v>2587.13</v>
      </c>
      <c r="AD14" s="25">
        <v>0</v>
      </c>
    </row>
    <row r="15" spans="1:30" x14ac:dyDescent="0.25">
      <c r="A15" s="30" t="s">
        <v>12</v>
      </c>
      <c r="B15" s="30" t="s">
        <v>660</v>
      </c>
      <c r="C15" s="27">
        <v>606.03</v>
      </c>
      <c r="D15" s="28" t="str">
        <f t="shared" si="8"/>
        <v>Yes</v>
      </c>
      <c r="E15" s="28" t="s">
        <v>653</v>
      </c>
      <c r="F15" s="11">
        <v>0</v>
      </c>
      <c r="G15" s="11">
        <v>0</v>
      </c>
      <c r="H15" s="37">
        <f t="shared" si="9"/>
        <v>606.03</v>
      </c>
      <c r="I15" s="37">
        <f t="shared" si="10"/>
        <v>614.13639675006857</v>
      </c>
      <c r="J15" s="37">
        <f t="shared" si="11"/>
        <v>624.72277235874424</v>
      </c>
      <c r="K15" s="37">
        <f t="shared" si="13"/>
        <v>635.49163405539809</v>
      </c>
      <c r="L15" s="37">
        <f t="shared" si="12"/>
        <v>646.44612750324268</v>
      </c>
      <c r="M15" s="25">
        <f t="shared" si="14"/>
        <v>0</v>
      </c>
      <c r="N15" s="25">
        <f t="shared" si="14"/>
        <v>0</v>
      </c>
      <c r="O15" s="25">
        <f t="shared" si="14"/>
        <v>0</v>
      </c>
      <c r="P15" s="25">
        <f t="shared" si="14"/>
        <v>0</v>
      </c>
      <c r="Q15" s="25">
        <f t="shared" si="14"/>
        <v>0</v>
      </c>
      <c r="R15" s="38">
        <v>615.19000000000005</v>
      </c>
      <c r="S15" s="37">
        <f t="shared" si="15"/>
        <v>606.03</v>
      </c>
      <c r="T15" s="37">
        <f t="shared" si="16"/>
        <v>614.14</v>
      </c>
      <c r="U15" s="37">
        <f t="shared" si="17"/>
        <v>624.72</v>
      </c>
      <c r="V15" s="37">
        <f t="shared" si="18"/>
        <v>635.49</v>
      </c>
      <c r="W15" s="37">
        <f t="shared" si="19"/>
        <v>646.45000000000005</v>
      </c>
      <c r="X15" s="25"/>
      <c r="Y15" s="38">
        <v>615.19000000000005</v>
      </c>
      <c r="Z15" s="25">
        <f t="shared" si="20"/>
        <v>615.19000000000005</v>
      </c>
      <c r="AA15" s="25">
        <f t="shared" si="20"/>
        <v>614.14</v>
      </c>
      <c r="AC15" s="25">
        <f t="shared" si="21"/>
        <v>615.19000000000005</v>
      </c>
      <c r="AD15" s="25">
        <v>0</v>
      </c>
    </row>
    <row r="16" spans="1:30" x14ac:dyDescent="0.25">
      <c r="A16" s="30" t="s">
        <v>14</v>
      </c>
      <c r="B16" s="30" t="s">
        <v>661</v>
      </c>
      <c r="C16" s="27">
        <v>18334.47</v>
      </c>
      <c r="D16" s="28" t="str">
        <f t="shared" si="8"/>
        <v>Yes</v>
      </c>
      <c r="E16" s="28" t="s">
        <v>653</v>
      </c>
      <c r="F16" s="11">
        <v>0</v>
      </c>
      <c r="G16" s="11">
        <v>0</v>
      </c>
      <c r="H16" s="37">
        <f t="shared" si="9"/>
        <v>18334.47</v>
      </c>
      <c r="I16" s="37">
        <f t="shared" si="10"/>
        <v>18579.716090164235</v>
      </c>
      <c r="J16" s="37">
        <f t="shared" si="11"/>
        <v>18899.989980905608</v>
      </c>
      <c r="K16" s="37">
        <f t="shared" si="13"/>
        <v>19225.784696862655</v>
      </c>
      <c r="L16" s="37">
        <f t="shared" si="12"/>
        <v>19557.195405053179</v>
      </c>
      <c r="M16" s="25">
        <f t="shared" si="14"/>
        <v>0</v>
      </c>
      <c r="N16" s="25">
        <f t="shared" si="14"/>
        <v>0</v>
      </c>
      <c r="O16" s="25">
        <f t="shared" si="14"/>
        <v>0</v>
      </c>
      <c r="P16" s="25">
        <f t="shared" si="14"/>
        <v>0</v>
      </c>
      <c r="Q16" s="25">
        <f t="shared" si="14"/>
        <v>0</v>
      </c>
      <c r="R16" s="38">
        <v>18810.18</v>
      </c>
      <c r="S16" s="37">
        <f t="shared" si="15"/>
        <v>18334.47</v>
      </c>
      <c r="T16" s="37">
        <f t="shared" si="16"/>
        <v>18579.72</v>
      </c>
      <c r="U16" s="37">
        <f t="shared" si="17"/>
        <v>18899.990000000002</v>
      </c>
      <c r="V16" s="37">
        <f t="shared" si="18"/>
        <v>19225.78</v>
      </c>
      <c r="W16" s="37">
        <f t="shared" si="19"/>
        <v>19557.2</v>
      </c>
      <c r="X16" s="25"/>
      <c r="Y16" s="38">
        <v>18810.18</v>
      </c>
      <c r="Z16" s="25">
        <f t="shared" si="20"/>
        <v>18810.18</v>
      </c>
      <c r="AA16" s="25">
        <f t="shared" si="20"/>
        <v>18579.72</v>
      </c>
      <c r="AC16" s="25">
        <f t="shared" si="21"/>
        <v>18810.18</v>
      </c>
      <c r="AD16" s="25">
        <v>0</v>
      </c>
    </row>
    <row r="17" spans="1:30" x14ac:dyDescent="0.25">
      <c r="A17" s="30" t="s">
        <v>16</v>
      </c>
      <c r="B17" s="30" t="s">
        <v>662</v>
      </c>
      <c r="C17" s="27">
        <v>140.69999999999999</v>
      </c>
      <c r="D17" s="28" t="str">
        <f t="shared" si="8"/>
        <v>Yes</v>
      </c>
      <c r="E17" s="28" t="s">
        <v>655</v>
      </c>
      <c r="F17" s="11">
        <v>0</v>
      </c>
      <c r="G17" s="11">
        <v>19</v>
      </c>
      <c r="H17" s="37">
        <f t="shared" si="9"/>
        <v>140.69999999999999</v>
      </c>
      <c r="I17" s="37">
        <f t="shared" si="10"/>
        <v>142.58203558030897</v>
      </c>
      <c r="J17" s="37">
        <f t="shared" si="11"/>
        <v>145.03983972885055</v>
      </c>
      <c r="K17" s="37">
        <f t="shared" si="13"/>
        <v>147.5400110746902</v>
      </c>
      <c r="L17" s="37">
        <f t="shared" si="12"/>
        <v>150.08327993615205</v>
      </c>
      <c r="M17" s="25">
        <f t="shared" si="14"/>
        <v>19</v>
      </c>
      <c r="N17" s="25">
        <f t="shared" si="14"/>
        <v>19</v>
      </c>
      <c r="O17" s="25">
        <f t="shared" si="14"/>
        <v>19</v>
      </c>
      <c r="P17" s="25">
        <f t="shared" si="14"/>
        <v>19</v>
      </c>
      <c r="Q17" s="25">
        <f t="shared" si="14"/>
        <v>19</v>
      </c>
      <c r="R17" s="38">
        <v>140.72999999999999</v>
      </c>
      <c r="S17" s="37">
        <f t="shared" si="15"/>
        <v>159.69999999999999</v>
      </c>
      <c r="T17" s="37">
        <f t="shared" si="16"/>
        <v>161.58000000000001</v>
      </c>
      <c r="U17" s="37">
        <f t="shared" si="17"/>
        <v>164.04</v>
      </c>
      <c r="V17" s="37">
        <f t="shared" si="18"/>
        <v>166.54</v>
      </c>
      <c r="W17" s="37">
        <f t="shared" si="19"/>
        <v>169.08</v>
      </c>
      <c r="X17" s="25"/>
      <c r="Y17" s="38">
        <v>140.72999999999999</v>
      </c>
      <c r="Z17" s="25">
        <f t="shared" si="20"/>
        <v>159.69999999999999</v>
      </c>
      <c r="AA17" s="25">
        <f t="shared" si="20"/>
        <v>161.58000000000001</v>
      </c>
      <c r="AC17" s="25">
        <f t="shared" si="21"/>
        <v>119.72999999999999</v>
      </c>
      <c r="AD17" s="25">
        <v>21</v>
      </c>
    </row>
    <row r="18" spans="1:30" x14ac:dyDescent="0.25">
      <c r="A18" s="30" t="s">
        <v>18</v>
      </c>
      <c r="B18" s="30" t="s">
        <v>663</v>
      </c>
      <c r="C18" s="27">
        <v>1398.69</v>
      </c>
      <c r="D18" s="28" t="str">
        <f t="shared" si="8"/>
        <v>Yes</v>
      </c>
      <c r="E18" s="28" t="s">
        <v>653</v>
      </c>
      <c r="F18" s="11">
        <v>0</v>
      </c>
      <c r="G18" s="11">
        <v>0</v>
      </c>
      <c r="H18" s="37">
        <f t="shared" si="9"/>
        <v>1398.69</v>
      </c>
      <c r="I18" s="37">
        <f t="shared" si="10"/>
        <v>1417.3991993306495</v>
      </c>
      <c r="J18" s="37">
        <f t="shared" si="11"/>
        <v>1441.8320783962049</v>
      </c>
      <c r="K18" s="37">
        <f t="shared" si="13"/>
        <v>1466.6861271503801</v>
      </c>
      <c r="L18" s="37">
        <f t="shared" si="12"/>
        <v>1491.9686056424773</v>
      </c>
      <c r="M18" s="25">
        <f t="shared" si="14"/>
        <v>0</v>
      </c>
      <c r="N18" s="25">
        <f t="shared" si="14"/>
        <v>0</v>
      </c>
      <c r="O18" s="25">
        <f t="shared" si="14"/>
        <v>0</v>
      </c>
      <c r="P18" s="25">
        <f t="shared" si="14"/>
        <v>0</v>
      </c>
      <c r="Q18" s="25">
        <f t="shared" si="14"/>
        <v>0</v>
      </c>
      <c r="R18" s="38">
        <v>1362.91</v>
      </c>
      <c r="S18" s="37">
        <f t="shared" si="15"/>
        <v>1398.69</v>
      </c>
      <c r="T18" s="37">
        <f t="shared" si="16"/>
        <v>1417.4</v>
      </c>
      <c r="U18" s="37">
        <f t="shared" si="17"/>
        <v>1441.83</v>
      </c>
      <c r="V18" s="37">
        <f t="shared" si="18"/>
        <v>1466.69</v>
      </c>
      <c r="W18" s="37">
        <f t="shared" si="19"/>
        <v>1491.97</v>
      </c>
      <c r="X18" s="25"/>
      <c r="Y18" s="38">
        <v>1362.91</v>
      </c>
      <c r="Z18" s="25">
        <f t="shared" si="20"/>
        <v>1398.69</v>
      </c>
      <c r="AA18" s="25">
        <f t="shared" si="20"/>
        <v>1417.4</v>
      </c>
      <c r="AC18" s="25">
        <f t="shared" si="21"/>
        <v>1362.91</v>
      </c>
      <c r="AD18" s="25">
        <v>0</v>
      </c>
    </row>
    <row r="19" spans="1:30" x14ac:dyDescent="0.25">
      <c r="A19" s="30" t="s">
        <v>20</v>
      </c>
      <c r="B19" s="30" t="s">
        <v>664</v>
      </c>
      <c r="C19" s="27">
        <v>840.66</v>
      </c>
      <c r="D19" s="28" t="str">
        <f t="shared" si="8"/>
        <v>Yes</v>
      </c>
      <c r="E19" s="28" t="s">
        <v>653</v>
      </c>
      <c r="F19" s="11">
        <v>0</v>
      </c>
      <c r="G19" s="11">
        <v>0</v>
      </c>
      <c r="H19" s="37">
        <f t="shared" si="9"/>
        <v>840.66</v>
      </c>
      <c r="I19" s="37">
        <f t="shared" si="10"/>
        <v>851.90486162716797</v>
      </c>
      <c r="J19" s="37">
        <f t="shared" si="11"/>
        <v>866.58984837566106</v>
      </c>
      <c r="K19" s="37">
        <f t="shared" si="13"/>
        <v>881.52797235287187</v>
      </c>
      <c r="L19" s="37">
        <f t="shared" si="12"/>
        <v>896.72359709399859</v>
      </c>
      <c r="M19" s="25">
        <f t="shared" si="14"/>
        <v>0</v>
      </c>
      <c r="N19" s="25">
        <f t="shared" si="14"/>
        <v>0</v>
      </c>
      <c r="O19" s="25">
        <f t="shared" si="14"/>
        <v>0</v>
      </c>
      <c r="P19" s="25">
        <f t="shared" si="14"/>
        <v>0</v>
      </c>
      <c r="Q19" s="25">
        <f t="shared" si="14"/>
        <v>0</v>
      </c>
      <c r="R19" s="38">
        <v>857.87</v>
      </c>
      <c r="S19" s="37">
        <f t="shared" si="15"/>
        <v>840.66</v>
      </c>
      <c r="T19" s="37">
        <f t="shared" si="16"/>
        <v>851.9</v>
      </c>
      <c r="U19" s="37">
        <f t="shared" si="17"/>
        <v>866.59</v>
      </c>
      <c r="V19" s="37">
        <f t="shared" si="18"/>
        <v>881.53</v>
      </c>
      <c r="W19" s="37">
        <f t="shared" si="19"/>
        <v>896.72</v>
      </c>
      <c r="X19" s="25"/>
      <c r="Y19" s="38">
        <v>857.87</v>
      </c>
      <c r="Z19" s="25">
        <f t="shared" si="20"/>
        <v>857.87</v>
      </c>
      <c r="AA19" s="25">
        <f t="shared" si="20"/>
        <v>851.9</v>
      </c>
      <c r="AC19" s="25">
        <f t="shared" si="21"/>
        <v>857.87</v>
      </c>
      <c r="AD19" s="25">
        <v>0</v>
      </c>
    </row>
    <row r="20" spans="1:30" x14ac:dyDescent="0.25">
      <c r="A20" s="30" t="s">
        <v>22</v>
      </c>
      <c r="B20" s="30" t="s">
        <v>665</v>
      </c>
      <c r="C20" s="27">
        <v>2442.87</v>
      </c>
      <c r="D20" s="28" t="str">
        <f t="shared" si="8"/>
        <v>Yes</v>
      </c>
      <c r="E20" s="28" t="s">
        <v>653</v>
      </c>
      <c r="F20" s="11">
        <v>19</v>
      </c>
      <c r="G20" s="11">
        <v>0</v>
      </c>
      <c r="H20" s="37">
        <f t="shared" si="9"/>
        <v>2442.87</v>
      </c>
      <c r="I20" s="37">
        <f t="shared" si="10"/>
        <v>2475.5463913153476</v>
      </c>
      <c r="J20" s="37">
        <f t="shared" si="11"/>
        <v>2518.2194262858366</v>
      </c>
      <c r="K20" s="37">
        <f t="shared" si="13"/>
        <v>2561.6280515567055</v>
      </c>
      <c r="L20" s="37">
        <f t="shared" si="12"/>
        <v>2605.7849471046752</v>
      </c>
      <c r="M20" s="25">
        <f t="shared" si="14"/>
        <v>-19</v>
      </c>
      <c r="N20" s="25">
        <f t="shared" si="14"/>
        <v>-19</v>
      </c>
      <c r="O20" s="25">
        <f t="shared" si="14"/>
        <v>-19</v>
      </c>
      <c r="P20" s="25">
        <f t="shared" si="14"/>
        <v>-19</v>
      </c>
      <c r="Q20" s="25">
        <f t="shared" si="14"/>
        <v>-19</v>
      </c>
      <c r="R20" s="38">
        <v>2596.02</v>
      </c>
      <c r="S20" s="37">
        <f t="shared" si="15"/>
        <v>2423.87</v>
      </c>
      <c r="T20" s="37">
        <f t="shared" si="16"/>
        <v>2456.5500000000002</v>
      </c>
      <c r="U20" s="37">
        <f t="shared" si="17"/>
        <v>2499.2199999999998</v>
      </c>
      <c r="V20" s="37">
        <f t="shared" si="18"/>
        <v>2542.63</v>
      </c>
      <c r="W20" s="37">
        <f t="shared" si="19"/>
        <v>2586.7800000000002</v>
      </c>
      <c r="X20" s="25"/>
      <c r="Y20" s="38">
        <v>2596.02</v>
      </c>
      <c r="Z20" s="25">
        <f t="shared" si="20"/>
        <v>2596.02</v>
      </c>
      <c r="AA20" s="25">
        <f t="shared" si="20"/>
        <v>2456.5500000000002</v>
      </c>
      <c r="AC20" s="25">
        <f t="shared" si="21"/>
        <v>2617.02</v>
      </c>
      <c r="AD20" s="25">
        <v>-21</v>
      </c>
    </row>
    <row r="21" spans="1:30" x14ac:dyDescent="0.25">
      <c r="A21" s="30" t="s">
        <v>24</v>
      </c>
      <c r="B21" s="30" t="s">
        <v>666</v>
      </c>
      <c r="C21" s="27">
        <v>13385.02</v>
      </c>
      <c r="D21" s="28" t="str">
        <f t="shared" si="8"/>
        <v>Yes</v>
      </c>
      <c r="E21" s="28" t="s">
        <v>653</v>
      </c>
      <c r="F21" s="11">
        <v>0</v>
      </c>
      <c r="G21" s="11">
        <v>0</v>
      </c>
      <c r="H21" s="37">
        <f t="shared" si="9"/>
        <v>13385.02</v>
      </c>
      <c r="I21" s="37">
        <f t="shared" si="10"/>
        <v>13564.061107911495</v>
      </c>
      <c r="J21" s="37">
        <f t="shared" si="11"/>
        <v>13797.876016826294</v>
      </c>
      <c r="K21" s="37">
        <f t="shared" si="13"/>
        <v>14035.721386175906</v>
      </c>
      <c r="L21" s="37">
        <f t="shared" si="12"/>
        <v>14277.66669233116</v>
      </c>
      <c r="M21" s="25">
        <f t="shared" si="14"/>
        <v>0</v>
      </c>
      <c r="N21" s="25">
        <f t="shared" si="14"/>
        <v>0</v>
      </c>
      <c r="O21" s="25">
        <f t="shared" si="14"/>
        <v>0</v>
      </c>
      <c r="P21" s="25">
        <f t="shared" si="14"/>
        <v>0</v>
      </c>
      <c r="Q21" s="25">
        <f t="shared" si="14"/>
        <v>0</v>
      </c>
      <c r="R21" s="38">
        <v>13669.59</v>
      </c>
      <c r="S21" s="37">
        <f t="shared" si="15"/>
        <v>13385.02</v>
      </c>
      <c r="T21" s="37">
        <f t="shared" si="16"/>
        <v>13564.06</v>
      </c>
      <c r="U21" s="37">
        <f t="shared" si="17"/>
        <v>13797.88</v>
      </c>
      <c r="V21" s="37">
        <f t="shared" si="18"/>
        <v>14035.72</v>
      </c>
      <c r="W21" s="37">
        <f t="shared" si="19"/>
        <v>14277.67</v>
      </c>
      <c r="X21" s="25"/>
      <c r="Y21" s="38">
        <v>13669.59</v>
      </c>
      <c r="Z21" s="25">
        <f t="shared" si="20"/>
        <v>13669.59</v>
      </c>
      <c r="AA21" s="25">
        <f t="shared" si="20"/>
        <v>13564.06</v>
      </c>
      <c r="AC21" s="25">
        <f t="shared" si="21"/>
        <v>13669.59</v>
      </c>
      <c r="AD21" s="25">
        <v>0</v>
      </c>
    </row>
    <row r="22" spans="1:30" x14ac:dyDescent="0.25">
      <c r="A22" s="30" t="s">
        <v>26</v>
      </c>
      <c r="B22" s="30" t="s">
        <v>667</v>
      </c>
      <c r="C22" s="27">
        <v>598.94000000000005</v>
      </c>
      <c r="D22" s="28" t="str">
        <f t="shared" si="8"/>
        <v>Yes</v>
      </c>
      <c r="E22" s="28" t="s">
        <v>653</v>
      </c>
      <c r="F22" s="11">
        <v>0</v>
      </c>
      <c r="G22" s="11">
        <v>0</v>
      </c>
      <c r="H22" s="37">
        <f t="shared" si="9"/>
        <v>598.94000000000005</v>
      </c>
      <c r="I22" s="37">
        <f t="shared" si="10"/>
        <v>606.95155927839562</v>
      </c>
      <c r="J22" s="37">
        <f t="shared" si="11"/>
        <v>617.41408391753919</v>
      </c>
      <c r="K22" s="37">
        <f t="shared" si="13"/>
        <v>628.05695972334729</v>
      </c>
      <c r="L22" s="37">
        <f t="shared" si="12"/>
        <v>638.88329555763278</v>
      </c>
      <c r="M22" s="25">
        <f t="shared" si="14"/>
        <v>0</v>
      </c>
      <c r="N22" s="25">
        <f t="shared" si="14"/>
        <v>0</v>
      </c>
      <c r="O22" s="25">
        <f t="shared" si="14"/>
        <v>0</v>
      </c>
      <c r="P22" s="25">
        <f t="shared" si="14"/>
        <v>0</v>
      </c>
      <c r="Q22" s="25">
        <f t="shared" si="14"/>
        <v>0</v>
      </c>
      <c r="R22" s="38">
        <v>626.65</v>
      </c>
      <c r="S22" s="37">
        <f t="shared" si="15"/>
        <v>598.94000000000005</v>
      </c>
      <c r="T22" s="37">
        <f t="shared" si="16"/>
        <v>606.95000000000005</v>
      </c>
      <c r="U22" s="37">
        <f t="shared" si="17"/>
        <v>617.41</v>
      </c>
      <c r="V22" s="37">
        <f t="shared" si="18"/>
        <v>628.05999999999995</v>
      </c>
      <c r="W22" s="37">
        <f t="shared" si="19"/>
        <v>638.88</v>
      </c>
      <c r="X22" s="25"/>
      <c r="Y22" s="38">
        <v>626.65</v>
      </c>
      <c r="Z22" s="25">
        <f t="shared" si="20"/>
        <v>626.65</v>
      </c>
      <c r="AA22" s="25">
        <f t="shared" si="20"/>
        <v>606.95000000000005</v>
      </c>
      <c r="AC22" s="25">
        <f t="shared" si="21"/>
        <v>626.65</v>
      </c>
      <c r="AD22" s="25">
        <v>0</v>
      </c>
    </row>
    <row r="23" spans="1:30" x14ac:dyDescent="0.25">
      <c r="A23" s="30" t="s">
        <v>28</v>
      </c>
      <c r="B23" s="30" t="s">
        <v>668</v>
      </c>
      <c r="C23" s="27">
        <v>11</v>
      </c>
      <c r="D23" s="28" t="str">
        <f t="shared" si="8"/>
        <v>No</v>
      </c>
      <c r="E23" s="28" t="s">
        <v>655</v>
      </c>
      <c r="F23" s="11">
        <v>0</v>
      </c>
      <c r="G23" s="11">
        <v>0</v>
      </c>
      <c r="H23" s="37">
        <f t="shared" si="9"/>
        <v>11</v>
      </c>
      <c r="I23" s="37">
        <f t="shared" si="10"/>
        <v>11</v>
      </c>
      <c r="J23" s="37">
        <f t="shared" si="11"/>
        <v>11</v>
      </c>
      <c r="K23" s="37">
        <f t="shared" si="13"/>
        <v>11</v>
      </c>
      <c r="L23" s="37">
        <f t="shared" si="12"/>
        <v>11</v>
      </c>
      <c r="M23" s="25">
        <f t="shared" si="14"/>
        <v>0</v>
      </c>
      <c r="N23" s="25">
        <f t="shared" si="14"/>
        <v>0</v>
      </c>
      <c r="O23" s="25">
        <f t="shared" si="14"/>
        <v>0</v>
      </c>
      <c r="P23" s="25">
        <f t="shared" si="14"/>
        <v>0</v>
      </c>
      <c r="Q23" s="25">
        <f t="shared" si="14"/>
        <v>0</v>
      </c>
      <c r="R23" s="38">
        <v>9.6999999999999993</v>
      </c>
      <c r="S23" s="37">
        <f t="shared" si="15"/>
        <v>11</v>
      </c>
      <c r="T23" s="37">
        <f t="shared" si="16"/>
        <v>11</v>
      </c>
      <c r="U23" s="37">
        <f t="shared" si="17"/>
        <v>11</v>
      </c>
      <c r="V23" s="37">
        <f t="shared" si="18"/>
        <v>11</v>
      </c>
      <c r="W23" s="37">
        <f t="shared" si="19"/>
        <v>11</v>
      </c>
      <c r="X23" s="25"/>
      <c r="Y23" s="38">
        <v>9.6999999999999993</v>
      </c>
      <c r="Z23" s="25">
        <f t="shared" si="20"/>
        <v>11</v>
      </c>
      <c r="AA23" s="25">
        <f t="shared" si="20"/>
        <v>11</v>
      </c>
      <c r="AC23" s="25">
        <f t="shared" si="21"/>
        <v>9.6999999999999993</v>
      </c>
      <c r="AD23" s="25">
        <v>0</v>
      </c>
    </row>
    <row r="24" spans="1:30" x14ac:dyDescent="0.25">
      <c r="A24" s="30" t="s">
        <v>30</v>
      </c>
      <c r="B24" s="30" t="s">
        <v>669</v>
      </c>
      <c r="C24" s="27">
        <v>310</v>
      </c>
      <c r="D24" s="28" t="str">
        <f t="shared" si="8"/>
        <v>Yes</v>
      </c>
      <c r="E24" s="28" t="s">
        <v>653</v>
      </c>
      <c r="F24" s="11">
        <v>0</v>
      </c>
      <c r="G24" s="11">
        <v>0</v>
      </c>
      <c r="H24" s="37">
        <f t="shared" si="9"/>
        <v>310</v>
      </c>
      <c r="I24" s="37">
        <f t="shared" si="10"/>
        <v>314.14663134254289</v>
      </c>
      <c r="J24" s="37">
        <f t="shared" si="11"/>
        <v>319.56183593421235</v>
      </c>
      <c r="K24" s="37">
        <f t="shared" si="13"/>
        <v>325.07038687387325</v>
      </c>
      <c r="L24" s="37">
        <f t="shared" si="12"/>
        <v>330.67389324951773</v>
      </c>
      <c r="M24" s="25">
        <f t="shared" si="14"/>
        <v>0</v>
      </c>
      <c r="N24" s="25">
        <f t="shared" si="14"/>
        <v>0</v>
      </c>
      <c r="O24" s="25">
        <f t="shared" si="14"/>
        <v>0</v>
      </c>
      <c r="P24" s="25">
        <f t="shared" si="14"/>
        <v>0</v>
      </c>
      <c r="Q24" s="25">
        <f t="shared" si="14"/>
        <v>0</v>
      </c>
      <c r="R24" s="38">
        <v>306.45999999999998</v>
      </c>
      <c r="S24" s="37">
        <f t="shared" si="15"/>
        <v>310</v>
      </c>
      <c r="T24" s="37">
        <f t="shared" si="16"/>
        <v>314.14999999999998</v>
      </c>
      <c r="U24" s="37">
        <f t="shared" si="17"/>
        <v>319.56</v>
      </c>
      <c r="V24" s="37">
        <f t="shared" si="18"/>
        <v>325.07</v>
      </c>
      <c r="W24" s="37">
        <f t="shared" si="19"/>
        <v>330.67</v>
      </c>
      <c r="X24" s="25"/>
      <c r="Y24" s="38">
        <v>306.45999999999998</v>
      </c>
      <c r="Z24" s="25">
        <f t="shared" si="20"/>
        <v>310</v>
      </c>
      <c r="AA24" s="25">
        <f t="shared" si="20"/>
        <v>314.14999999999998</v>
      </c>
      <c r="AC24" s="25">
        <f t="shared" si="21"/>
        <v>306.45999999999998</v>
      </c>
      <c r="AD24" s="25">
        <v>0</v>
      </c>
    </row>
    <row r="25" spans="1:30" x14ac:dyDescent="0.25">
      <c r="A25" s="30" t="s">
        <v>32</v>
      </c>
      <c r="B25" s="30" t="s">
        <v>670</v>
      </c>
      <c r="C25" s="27">
        <v>1256.07</v>
      </c>
      <c r="D25" s="28" t="str">
        <f t="shared" si="8"/>
        <v>Yes</v>
      </c>
      <c r="E25" s="28" t="s">
        <v>653</v>
      </c>
      <c r="F25" s="11">
        <v>25.74</v>
      </c>
      <c r="G25" s="11">
        <v>0</v>
      </c>
      <c r="H25" s="37">
        <f t="shared" si="9"/>
        <v>1256.07</v>
      </c>
      <c r="I25" s="37">
        <f t="shared" si="10"/>
        <v>1272.8714813884769</v>
      </c>
      <c r="J25" s="37">
        <f t="shared" si="11"/>
        <v>1294.8130169738263</v>
      </c>
      <c r="K25" s="37">
        <f t="shared" si="13"/>
        <v>1317.1327769053742</v>
      </c>
      <c r="L25" s="37">
        <f t="shared" si="12"/>
        <v>1339.8372809481345</v>
      </c>
      <c r="M25" s="25">
        <f t="shared" ref="M25:O73" si="22">-$F25+$G25</f>
        <v>-25.74</v>
      </c>
      <c r="N25" s="25">
        <f t="shared" si="22"/>
        <v>-25.74</v>
      </c>
      <c r="O25" s="25">
        <f t="shared" si="22"/>
        <v>-25.74</v>
      </c>
      <c r="P25" s="25">
        <f t="shared" si="14"/>
        <v>-25.74</v>
      </c>
      <c r="Q25" s="25">
        <f t="shared" si="14"/>
        <v>-25.74</v>
      </c>
      <c r="R25" s="38">
        <v>1338.95</v>
      </c>
      <c r="S25" s="37">
        <f t="shared" si="15"/>
        <v>1230.33</v>
      </c>
      <c r="T25" s="37">
        <f t="shared" si="16"/>
        <v>1247.1300000000001</v>
      </c>
      <c r="U25" s="37">
        <f t="shared" si="17"/>
        <v>1269.07</v>
      </c>
      <c r="V25" s="37">
        <f t="shared" si="18"/>
        <v>1291.3900000000001</v>
      </c>
      <c r="W25" s="37">
        <f t="shared" si="19"/>
        <v>1314.1</v>
      </c>
      <c r="X25" s="25"/>
      <c r="Y25" s="38">
        <v>1338.95</v>
      </c>
      <c r="Z25" s="25">
        <f t="shared" si="20"/>
        <v>1338.95</v>
      </c>
      <c r="AA25" s="25">
        <f t="shared" si="20"/>
        <v>1247.1300000000001</v>
      </c>
      <c r="AC25" s="25">
        <f t="shared" si="21"/>
        <v>1372.07</v>
      </c>
      <c r="AD25" s="25">
        <v>-33.119999999999997</v>
      </c>
    </row>
    <row r="26" spans="1:30" x14ac:dyDescent="0.25">
      <c r="A26" s="30" t="s">
        <v>34</v>
      </c>
      <c r="B26" s="30" t="s">
        <v>671</v>
      </c>
      <c r="C26" s="27">
        <v>1558.89</v>
      </c>
      <c r="D26" s="28" t="str">
        <f t="shared" si="8"/>
        <v>Yes</v>
      </c>
      <c r="E26" s="28" t="s">
        <v>653</v>
      </c>
      <c r="F26" s="11">
        <v>0</v>
      </c>
      <c r="G26" s="11">
        <v>0</v>
      </c>
      <c r="H26" s="37">
        <f t="shared" si="9"/>
        <v>1558.89</v>
      </c>
      <c r="I26" s="37">
        <f t="shared" si="10"/>
        <v>1579.7420713986346</v>
      </c>
      <c r="J26" s="37">
        <f t="shared" si="11"/>
        <v>1606.9733884499494</v>
      </c>
      <c r="K26" s="37">
        <f t="shared" si="13"/>
        <v>1634.6741141735881</v>
      </c>
      <c r="L26" s="37">
        <f t="shared" si="12"/>
        <v>1662.8523401540024</v>
      </c>
      <c r="M26" s="25">
        <f t="shared" si="22"/>
        <v>0</v>
      </c>
      <c r="N26" s="25">
        <f t="shared" si="22"/>
        <v>0</v>
      </c>
      <c r="O26" s="25">
        <f t="shared" si="22"/>
        <v>0</v>
      </c>
      <c r="P26" s="25">
        <f t="shared" ref="P26:Q68" si="23">-$F26+$G26</f>
        <v>0</v>
      </c>
      <c r="Q26" s="25">
        <f t="shared" si="23"/>
        <v>0</v>
      </c>
      <c r="R26" s="38">
        <v>1577.73</v>
      </c>
      <c r="S26" s="37">
        <f t="shared" si="15"/>
        <v>1558.89</v>
      </c>
      <c r="T26" s="37">
        <f t="shared" si="16"/>
        <v>1579.74</v>
      </c>
      <c r="U26" s="37">
        <f t="shared" si="17"/>
        <v>1606.97</v>
      </c>
      <c r="V26" s="37">
        <f t="shared" si="18"/>
        <v>1634.67</v>
      </c>
      <c r="W26" s="37">
        <f t="shared" si="19"/>
        <v>1662.85</v>
      </c>
      <c r="X26" s="25"/>
      <c r="Y26" s="38">
        <v>1577.73</v>
      </c>
      <c r="Z26" s="25">
        <f t="shared" si="20"/>
        <v>1577.73</v>
      </c>
      <c r="AA26" s="25">
        <f t="shared" si="20"/>
        <v>1579.74</v>
      </c>
      <c r="AC26" s="25">
        <f t="shared" si="21"/>
        <v>1577.73</v>
      </c>
      <c r="AD26" s="25">
        <v>0</v>
      </c>
    </row>
    <row r="27" spans="1:30" x14ac:dyDescent="0.25">
      <c r="A27" s="30" t="s">
        <v>36</v>
      </c>
      <c r="B27" s="30" t="s">
        <v>672</v>
      </c>
      <c r="C27" s="27">
        <v>1232.26</v>
      </c>
      <c r="D27" s="28" t="str">
        <f t="shared" si="8"/>
        <v>Yes</v>
      </c>
      <c r="E27" s="28" t="s">
        <v>653</v>
      </c>
      <c r="F27" s="11">
        <v>0</v>
      </c>
      <c r="G27" s="11">
        <v>0</v>
      </c>
      <c r="H27" s="37">
        <f t="shared" si="9"/>
        <v>1232.26</v>
      </c>
      <c r="I27" s="37">
        <f t="shared" si="10"/>
        <v>1248.7429933489093</v>
      </c>
      <c r="J27" s="37">
        <f t="shared" si="11"/>
        <v>1270.2686062848145</v>
      </c>
      <c r="K27" s="37">
        <f t="shared" si="13"/>
        <v>1292.1652739651581</v>
      </c>
      <c r="L27" s="37">
        <f t="shared" si="12"/>
        <v>1314.439392566615</v>
      </c>
      <c r="M27" s="25">
        <f t="shared" si="22"/>
        <v>0</v>
      </c>
      <c r="N27" s="25">
        <f t="shared" si="22"/>
        <v>0</v>
      </c>
      <c r="O27" s="25">
        <f t="shared" si="22"/>
        <v>0</v>
      </c>
      <c r="P27" s="25">
        <f t="shared" si="23"/>
        <v>0</v>
      </c>
      <c r="Q27" s="25">
        <f t="shared" si="23"/>
        <v>0</v>
      </c>
      <c r="R27" s="38">
        <v>1307.68</v>
      </c>
      <c r="S27" s="37">
        <f t="shared" si="15"/>
        <v>1232.26</v>
      </c>
      <c r="T27" s="37">
        <f t="shared" si="16"/>
        <v>1248.74</v>
      </c>
      <c r="U27" s="37">
        <f t="shared" si="17"/>
        <v>1270.27</v>
      </c>
      <c r="V27" s="37">
        <f t="shared" si="18"/>
        <v>1292.17</v>
      </c>
      <c r="W27" s="37">
        <f t="shared" si="19"/>
        <v>1314.44</v>
      </c>
      <c r="X27" s="25"/>
      <c r="Y27" s="38">
        <v>1307.68</v>
      </c>
      <c r="Z27" s="25">
        <f t="shared" si="20"/>
        <v>1307.68</v>
      </c>
      <c r="AA27" s="25">
        <f t="shared" si="20"/>
        <v>1248.74</v>
      </c>
      <c r="AC27" s="25">
        <f t="shared" si="21"/>
        <v>1307.68</v>
      </c>
      <c r="AD27" s="25">
        <v>0</v>
      </c>
    </row>
    <row r="28" spans="1:30" x14ac:dyDescent="0.25">
      <c r="A28" s="30" t="s">
        <v>38</v>
      </c>
      <c r="B28" s="30" t="s">
        <v>673</v>
      </c>
      <c r="C28" s="27">
        <v>7289.41</v>
      </c>
      <c r="D28" s="28" t="str">
        <f t="shared" si="8"/>
        <v>Yes</v>
      </c>
      <c r="E28" s="28" t="s">
        <v>653</v>
      </c>
      <c r="F28" s="11">
        <v>3.3</v>
      </c>
      <c r="G28" s="11">
        <v>0</v>
      </c>
      <c r="H28" s="37">
        <f t="shared" si="9"/>
        <v>7289.41</v>
      </c>
      <c r="I28" s="37">
        <f t="shared" si="10"/>
        <v>7386.9148257246625</v>
      </c>
      <c r="J28" s="37">
        <f t="shared" si="11"/>
        <v>7514.2491692813119</v>
      </c>
      <c r="K28" s="37">
        <f t="shared" si="13"/>
        <v>7643.77847994284</v>
      </c>
      <c r="L28" s="37">
        <f t="shared" si="12"/>
        <v>7775.5405941676354</v>
      </c>
      <c r="M28" s="25">
        <f t="shared" si="22"/>
        <v>-3.3</v>
      </c>
      <c r="N28" s="25">
        <f t="shared" si="22"/>
        <v>-3.3</v>
      </c>
      <c r="O28" s="25">
        <f t="shared" si="22"/>
        <v>-3.3</v>
      </c>
      <c r="P28" s="25">
        <f t="shared" si="23"/>
        <v>-3.3</v>
      </c>
      <c r="Q28" s="25">
        <f t="shared" si="23"/>
        <v>-3.3</v>
      </c>
      <c r="R28" s="38">
        <v>7690.03</v>
      </c>
      <c r="S28" s="37">
        <f t="shared" si="15"/>
        <v>7286.11</v>
      </c>
      <c r="T28" s="37">
        <f t="shared" si="16"/>
        <v>7383.61</v>
      </c>
      <c r="U28" s="37">
        <f t="shared" si="17"/>
        <v>7510.95</v>
      </c>
      <c r="V28" s="37">
        <f t="shared" si="18"/>
        <v>7640.48</v>
      </c>
      <c r="W28" s="37">
        <f t="shared" si="19"/>
        <v>7772.24</v>
      </c>
      <c r="X28" s="25"/>
      <c r="Y28" s="38">
        <v>7690.03</v>
      </c>
      <c r="Z28" s="25">
        <f t="shared" si="20"/>
        <v>7690.03</v>
      </c>
      <c r="AA28" s="25">
        <f t="shared" si="20"/>
        <v>7383.61</v>
      </c>
      <c r="AC28" s="25">
        <f t="shared" si="21"/>
        <v>7692.0099999999993</v>
      </c>
      <c r="AD28" s="25">
        <v>-1.98</v>
      </c>
    </row>
    <row r="29" spans="1:30" x14ac:dyDescent="0.25">
      <c r="A29" s="30" t="s">
        <v>40</v>
      </c>
      <c r="B29" s="30" t="s">
        <v>674</v>
      </c>
      <c r="C29" s="27">
        <v>3486.99</v>
      </c>
      <c r="D29" s="28" t="str">
        <f t="shared" si="8"/>
        <v>Yes</v>
      </c>
      <c r="E29" s="28" t="s">
        <v>653</v>
      </c>
      <c r="F29" s="11">
        <v>0</v>
      </c>
      <c r="G29" s="11">
        <v>0</v>
      </c>
      <c r="H29" s="37">
        <f t="shared" si="9"/>
        <v>3486.99</v>
      </c>
      <c r="I29" s="37">
        <f t="shared" si="10"/>
        <v>3533.6327807262373</v>
      </c>
      <c r="J29" s="37">
        <f t="shared" si="11"/>
        <v>3594.5449234975454</v>
      </c>
      <c r="K29" s="37">
        <f t="shared" si="13"/>
        <v>3656.5070591139588</v>
      </c>
      <c r="L29" s="37">
        <f t="shared" si="12"/>
        <v>3719.5372871681798</v>
      </c>
      <c r="M29" s="25">
        <f t="shared" si="22"/>
        <v>0</v>
      </c>
      <c r="N29" s="25">
        <f t="shared" si="22"/>
        <v>0</v>
      </c>
      <c r="O29" s="25">
        <f t="shared" si="22"/>
        <v>0</v>
      </c>
      <c r="P29" s="25">
        <f t="shared" si="23"/>
        <v>0</v>
      </c>
      <c r="Q29" s="25">
        <f t="shared" si="23"/>
        <v>0</v>
      </c>
      <c r="R29" s="38">
        <v>3650.03</v>
      </c>
      <c r="S29" s="37">
        <f t="shared" si="15"/>
        <v>3486.99</v>
      </c>
      <c r="T29" s="37">
        <f t="shared" si="16"/>
        <v>3533.63</v>
      </c>
      <c r="U29" s="37">
        <f t="shared" si="17"/>
        <v>3594.54</v>
      </c>
      <c r="V29" s="37">
        <f t="shared" si="18"/>
        <v>3656.51</v>
      </c>
      <c r="W29" s="37">
        <f t="shared" si="19"/>
        <v>3719.54</v>
      </c>
      <c r="X29" s="25"/>
      <c r="Y29" s="38">
        <v>3650.03</v>
      </c>
      <c r="Z29" s="25">
        <f t="shared" si="20"/>
        <v>3650.03</v>
      </c>
      <c r="AA29" s="25">
        <f t="shared" si="20"/>
        <v>3533.63</v>
      </c>
      <c r="AC29" s="25">
        <f t="shared" si="21"/>
        <v>3650.03</v>
      </c>
      <c r="AD29" s="25">
        <v>0</v>
      </c>
    </row>
    <row r="30" spans="1:30" x14ac:dyDescent="0.25">
      <c r="A30" s="30" t="s">
        <v>42</v>
      </c>
      <c r="B30" s="30" t="s">
        <v>675</v>
      </c>
      <c r="C30" s="27">
        <v>308.01</v>
      </c>
      <c r="D30" s="28" t="str">
        <f t="shared" si="8"/>
        <v>Yes</v>
      </c>
      <c r="E30" s="28" t="s">
        <v>653</v>
      </c>
      <c r="F30" s="11">
        <v>0</v>
      </c>
      <c r="G30" s="11">
        <v>0</v>
      </c>
      <c r="H30" s="37">
        <f t="shared" si="9"/>
        <v>308.01</v>
      </c>
      <c r="I30" s="37">
        <f t="shared" si="10"/>
        <v>312.13001264456977</v>
      </c>
      <c r="J30" s="37">
        <f t="shared" si="11"/>
        <v>317.51045511644111</v>
      </c>
      <c r="K30" s="37">
        <f t="shared" si="13"/>
        <v>322.98364471297322</v>
      </c>
      <c r="L30" s="37">
        <f t="shared" si="12"/>
        <v>328.55118019285146</v>
      </c>
      <c r="M30" s="25">
        <f t="shared" si="22"/>
        <v>0</v>
      </c>
      <c r="N30" s="25">
        <f t="shared" si="22"/>
        <v>0</v>
      </c>
      <c r="O30" s="25">
        <f t="shared" si="22"/>
        <v>0</v>
      </c>
      <c r="P30" s="25">
        <f t="shared" si="23"/>
        <v>0</v>
      </c>
      <c r="Q30" s="25">
        <f t="shared" si="23"/>
        <v>0</v>
      </c>
      <c r="R30" s="38">
        <v>366.95</v>
      </c>
      <c r="S30" s="37">
        <f t="shared" si="15"/>
        <v>308.01</v>
      </c>
      <c r="T30" s="37">
        <f t="shared" si="16"/>
        <v>312.13</v>
      </c>
      <c r="U30" s="37">
        <f t="shared" si="17"/>
        <v>317.51</v>
      </c>
      <c r="V30" s="37">
        <f t="shared" si="18"/>
        <v>322.98</v>
      </c>
      <c r="W30" s="37">
        <f t="shared" si="19"/>
        <v>328.55</v>
      </c>
      <c r="X30" s="25"/>
      <c r="Y30" s="38">
        <v>366.95</v>
      </c>
      <c r="Z30" s="25">
        <f t="shared" si="20"/>
        <v>366.95</v>
      </c>
      <c r="AA30" s="25">
        <f t="shared" si="20"/>
        <v>312.13</v>
      </c>
      <c r="AC30" s="25">
        <f t="shared" si="21"/>
        <v>366.95</v>
      </c>
      <c r="AD30" s="25">
        <v>0</v>
      </c>
    </row>
    <row r="31" spans="1:30" x14ac:dyDescent="0.25">
      <c r="A31" s="30" t="s">
        <v>44</v>
      </c>
      <c r="B31" s="30" t="s">
        <v>676</v>
      </c>
      <c r="C31" s="27">
        <v>2521.27</v>
      </c>
      <c r="D31" s="28" t="str">
        <f t="shared" si="8"/>
        <v>Yes</v>
      </c>
      <c r="E31" s="28" t="s">
        <v>653</v>
      </c>
      <c r="F31" s="11">
        <v>0</v>
      </c>
      <c r="G31" s="11">
        <v>0</v>
      </c>
      <c r="H31" s="37">
        <f t="shared" si="9"/>
        <v>2521.27</v>
      </c>
      <c r="I31" s="37">
        <f t="shared" si="10"/>
        <v>2554.9950877581068</v>
      </c>
      <c r="J31" s="37">
        <f t="shared" si="11"/>
        <v>2599.0376454382308</v>
      </c>
      <c r="K31" s="37">
        <f t="shared" si="13"/>
        <v>2643.8394010112593</v>
      </c>
      <c r="L31" s="37">
        <f t="shared" si="12"/>
        <v>2689.4134413974566</v>
      </c>
      <c r="M31" s="25">
        <f t="shared" si="22"/>
        <v>0</v>
      </c>
      <c r="N31" s="25">
        <f t="shared" si="22"/>
        <v>0</v>
      </c>
      <c r="O31" s="25">
        <f t="shared" si="22"/>
        <v>0</v>
      </c>
      <c r="P31" s="25">
        <f t="shared" si="23"/>
        <v>0</v>
      </c>
      <c r="Q31" s="25">
        <f t="shared" si="23"/>
        <v>0</v>
      </c>
      <c r="R31" s="38">
        <v>2704.06</v>
      </c>
      <c r="S31" s="37">
        <f t="shared" si="15"/>
        <v>2521.27</v>
      </c>
      <c r="T31" s="37">
        <f t="shared" si="16"/>
        <v>2555</v>
      </c>
      <c r="U31" s="37">
        <f t="shared" si="17"/>
        <v>2599.04</v>
      </c>
      <c r="V31" s="37">
        <f t="shared" si="18"/>
        <v>2643.84</v>
      </c>
      <c r="W31" s="37">
        <f t="shared" si="19"/>
        <v>2689.41</v>
      </c>
      <c r="X31" s="25"/>
      <c r="Y31" s="38">
        <v>2704.06</v>
      </c>
      <c r="Z31" s="25">
        <f t="shared" si="20"/>
        <v>2704.06</v>
      </c>
      <c r="AA31" s="25">
        <f t="shared" si="20"/>
        <v>2555</v>
      </c>
      <c r="AC31" s="25">
        <f t="shared" si="21"/>
        <v>2704.06</v>
      </c>
      <c r="AD31" s="25">
        <v>0</v>
      </c>
    </row>
    <row r="32" spans="1:30" x14ac:dyDescent="0.25">
      <c r="A32" s="30" t="s">
        <v>46</v>
      </c>
      <c r="B32" s="30" t="s">
        <v>677</v>
      </c>
      <c r="C32" s="27">
        <v>478</v>
      </c>
      <c r="D32" s="28" t="str">
        <f t="shared" si="8"/>
        <v>Yes</v>
      </c>
      <c r="E32" s="28" t="s">
        <v>653</v>
      </c>
      <c r="F32" s="11">
        <v>0</v>
      </c>
      <c r="G32" s="11">
        <v>0</v>
      </c>
      <c r="H32" s="37">
        <f t="shared" si="9"/>
        <v>478</v>
      </c>
      <c r="I32" s="37">
        <f t="shared" si="10"/>
        <v>484.39383800559835</v>
      </c>
      <c r="J32" s="37">
        <f t="shared" si="11"/>
        <v>492.74373411791453</v>
      </c>
      <c r="K32" s="37">
        <f t="shared" si="13"/>
        <v>501.23756427648846</v>
      </c>
      <c r="L32" s="37">
        <f t="shared" si="12"/>
        <v>509.87780959119186</v>
      </c>
      <c r="M32" s="25">
        <f t="shared" si="22"/>
        <v>0</v>
      </c>
      <c r="N32" s="25">
        <f t="shared" si="22"/>
        <v>0</v>
      </c>
      <c r="O32" s="25">
        <f t="shared" si="22"/>
        <v>0</v>
      </c>
      <c r="P32" s="25">
        <f t="shared" si="23"/>
        <v>0</v>
      </c>
      <c r="Q32" s="25">
        <f t="shared" si="23"/>
        <v>0</v>
      </c>
      <c r="R32" s="38">
        <v>512.48</v>
      </c>
      <c r="S32" s="37">
        <f t="shared" si="15"/>
        <v>478</v>
      </c>
      <c r="T32" s="37">
        <f t="shared" si="16"/>
        <v>484.39</v>
      </c>
      <c r="U32" s="37">
        <f t="shared" si="17"/>
        <v>492.74</v>
      </c>
      <c r="V32" s="37">
        <f t="shared" si="18"/>
        <v>501.24</v>
      </c>
      <c r="W32" s="37">
        <f t="shared" si="19"/>
        <v>509.88</v>
      </c>
      <c r="X32" s="25"/>
      <c r="Y32" s="38">
        <v>512.48</v>
      </c>
      <c r="Z32" s="25">
        <f t="shared" si="20"/>
        <v>512.48</v>
      </c>
      <c r="AA32" s="25">
        <f t="shared" si="20"/>
        <v>484.39</v>
      </c>
      <c r="AC32" s="25">
        <f t="shared" si="21"/>
        <v>512.48</v>
      </c>
      <c r="AD32" s="25">
        <v>0</v>
      </c>
    </row>
    <row r="33" spans="1:30" x14ac:dyDescent="0.25">
      <c r="A33" s="30" t="s">
        <v>48</v>
      </c>
      <c r="B33" s="30" t="s">
        <v>678</v>
      </c>
      <c r="C33" s="27">
        <v>3507.35</v>
      </c>
      <c r="D33" s="28" t="str">
        <f t="shared" si="8"/>
        <v>Yes</v>
      </c>
      <c r="E33" s="28" t="s">
        <v>653</v>
      </c>
      <c r="F33" s="11">
        <v>0</v>
      </c>
      <c r="G33" s="11">
        <v>0</v>
      </c>
      <c r="H33" s="37">
        <f t="shared" si="9"/>
        <v>3507.35</v>
      </c>
      <c r="I33" s="37">
        <f t="shared" si="10"/>
        <v>3554.2651207718313</v>
      </c>
      <c r="J33" s="37">
        <f t="shared" si="11"/>
        <v>3615.5329202059988</v>
      </c>
      <c r="K33" s="37">
        <f t="shared" si="13"/>
        <v>3677.8568432325137</v>
      </c>
      <c r="L33" s="37">
        <f t="shared" si="12"/>
        <v>3741.2550951248254</v>
      </c>
      <c r="M33" s="25">
        <f t="shared" si="22"/>
        <v>0</v>
      </c>
      <c r="N33" s="25">
        <f t="shared" si="22"/>
        <v>0</v>
      </c>
      <c r="O33" s="25">
        <f t="shared" si="22"/>
        <v>0</v>
      </c>
      <c r="P33" s="25">
        <f t="shared" si="23"/>
        <v>0</v>
      </c>
      <c r="Q33" s="25">
        <f t="shared" si="23"/>
        <v>0</v>
      </c>
      <c r="R33" s="43">
        <v>3332.61</v>
      </c>
      <c r="S33" s="37">
        <f t="shared" si="15"/>
        <v>3507.35</v>
      </c>
      <c r="T33" s="37">
        <f t="shared" si="16"/>
        <v>3554.27</v>
      </c>
      <c r="U33" s="37">
        <f t="shared" si="17"/>
        <v>3615.53</v>
      </c>
      <c r="V33" s="37">
        <f t="shared" si="18"/>
        <v>3677.86</v>
      </c>
      <c r="W33" s="37">
        <f t="shared" si="19"/>
        <v>3741.26</v>
      </c>
      <c r="X33" s="25"/>
      <c r="Y33" s="38">
        <v>3446.97</v>
      </c>
      <c r="Z33" s="25">
        <f t="shared" si="20"/>
        <v>3507.35</v>
      </c>
      <c r="AA33" s="25">
        <f t="shared" si="20"/>
        <v>3554.27</v>
      </c>
      <c r="AC33" s="25">
        <f t="shared" si="21"/>
        <v>3332.61</v>
      </c>
      <c r="AD33" s="25">
        <v>0</v>
      </c>
    </row>
    <row r="34" spans="1:30" x14ac:dyDescent="0.25">
      <c r="A34" s="31" t="s">
        <v>679</v>
      </c>
      <c r="B34" s="32" t="s">
        <v>680</v>
      </c>
      <c r="C34" s="27">
        <v>115.75</v>
      </c>
      <c r="D34" s="28" t="str">
        <f t="shared" si="8"/>
        <v>Yes</v>
      </c>
      <c r="E34" s="28" t="s">
        <v>653</v>
      </c>
      <c r="F34" s="11">
        <v>0</v>
      </c>
      <c r="G34" s="11">
        <v>0</v>
      </c>
      <c r="H34" s="37">
        <f t="shared" si="9"/>
        <v>115.75</v>
      </c>
      <c r="I34" s="37">
        <f t="shared" si="10"/>
        <v>117.29829863838496</v>
      </c>
      <c r="J34" s="37">
        <f t="shared" si="11"/>
        <v>119.32026615930671</v>
      </c>
      <c r="K34" s="37">
        <f t="shared" si="13"/>
        <v>121.37708800209946</v>
      </c>
      <c r="L34" s="37">
        <f t="shared" si="12"/>
        <v>123.46936497945703</v>
      </c>
      <c r="M34" s="25">
        <f t="shared" si="22"/>
        <v>0</v>
      </c>
      <c r="N34" s="25">
        <f t="shared" si="22"/>
        <v>0</v>
      </c>
      <c r="O34" s="25">
        <f t="shared" si="22"/>
        <v>0</v>
      </c>
      <c r="P34" s="25">
        <f t="shared" si="23"/>
        <v>0</v>
      </c>
      <c r="Q34" s="25">
        <f t="shared" si="23"/>
        <v>0</v>
      </c>
      <c r="R34" s="43">
        <v>114.36</v>
      </c>
      <c r="S34" s="37">
        <f t="shared" si="15"/>
        <v>115.75</v>
      </c>
      <c r="T34" s="37">
        <f t="shared" si="16"/>
        <v>117.3</v>
      </c>
      <c r="U34" s="37">
        <f t="shared" si="17"/>
        <v>119.32</v>
      </c>
      <c r="V34" s="37">
        <f t="shared" si="18"/>
        <v>121.38</v>
      </c>
      <c r="W34" s="37">
        <f t="shared" si="19"/>
        <v>123.47</v>
      </c>
      <c r="X34" s="25"/>
      <c r="Y34" s="38">
        <v>0</v>
      </c>
      <c r="Z34" s="25">
        <f t="shared" si="20"/>
        <v>115.75</v>
      </c>
      <c r="AA34" s="25">
        <f t="shared" si="20"/>
        <v>117.3</v>
      </c>
      <c r="AC34" s="25">
        <f t="shared" si="21"/>
        <v>114.36</v>
      </c>
      <c r="AD34" s="25">
        <v>0</v>
      </c>
    </row>
    <row r="35" spans="1:30" x14ac:dyDescent="0.25">
      <c r="A35" s="30" t="s">
        <v>50</v>
      </c>
      <c r="B35" s="30" t="s">
        <v>681</v>
      </c>
      <c r="C35" s="27">
        <v>21391.61</v>
      </c>
      <c r="D35" s="28" t="str">
        <f t="shared" si="8"/>
        <v>Yes</v>
      </c>
      <c r="E35" s="28" t="s">
        <v>653</v>
      </c>
      <c r="F35" s="11">
        <v>0</v>
      </c>
      <c r="G35" s="11">
        <v>0</v>
      </c>
      <c r="H35" s="37">
        <f t="shared" si="9"/>
        <v>21391.61</v>
      </c>
      <c r="I35" s="37">
        <f t="shared" si="10"/>
        <v>21677.749098365981</v>
      </c>
      <c r="J35" s="37">
        <f t="shared" si="11"/>
        <v>22051.426339318248</v>
      </c>
      <c r="K35" s="37">
        <f t="shared" si="13"/>
        <v>22431.544963080698</v>
      </c>
      <c r="L35" s="37">
        <f t="shared" si="12"/>
        <v>22818.216005081664</v>
      </c>
      <c r="M35" s="25">
        <f t="shared" si="22"/>
        <v>0</v>
      </c>
      <c r="N35" s="25">
        <f t="shared" si="22"/>
        <v>0</v>
      </c>
      <c r="O35" s="25">
        <f t="shared" si="22"/>
        <v>0</v>
      </c>
      <c r="P35" s="25">
        <f t="shared" si="23"/>
        <v>0</v>
      </c>
      <c r="Q35" s="25">
        <f t="shared" si="23"/>
        <v>0</v>
      </c>
      <c r="R35" s="38">
        <v>22734.16</v>
      </c>
      <c r="S35" s="37">
        <f t="shared" si="15"/>
        <v>21391.61</v>
      </c>
      <c r="T35" s="37">
        <f t="shared" si="16"/>
        <v>21677.75</v>
      </c>
      <c r="U35" s="37">
        <f t="shared" si="17"/>
        <v>22051.43</v>
      </c>
      <c r="V35" s="37">
        <f t="shared" si="18"/>
        <v>22431.54</v>
      </c>
      <c r="W35" s="37">
        <f t="shared" si="19"/>
        <v>22818.22</v>
      </c>
      <c r="X35" s="25"/>
      <c r="Y35" s="38">
        <v>22734.16</v>
      </c>
      <c r="Z35" s="25">
        <f t="shared" si="20"/>
        <v>22734.16</v>
      </c>
      <c r="AA35" s="25">
        <f t="shared" si="20"/>
        <v>21677.75</v>
      </c>
      <c r="AC35" s="25">
        <f t="shared" si="21"/>
        <v>22734.16</v>
      </c>
      <c r="AD35" s="25">
        <v>0</v>
      </c>
    </row>
    <row r="36" spans="1:30" x14ac:dyDescent="0.25">
      <c r="A36" s="30" t="s">
        <v>52</v>
      </c>
      <c r="B36" s="30" t="s">
        <v>682</v>
      </c>
      <c r="C36" s="27">
        <v>1913.95</v>
      </c>
      <c r="D36" s="28" t="str">
        <f t="shared" si="8"/>
        <v>Yes</v>
      </c>
      <c r="E36" s="28" t="s">
        <v>653</v>
      </c>
      <c r="F36" s="11">
        <v>0</v>
      </c>
      <c r="G36" s="11">
        <v>0</v>
      </c>
      <c r="H36" s="37">
        <f t="shared" si="9"/>
        <v>1913.95</v>
      </c>
      <c r="I36" s="37">
        <f t="shared" si="10"/>
        <v>1939.5514356711612</v>
      </c>
      <c r="J36" s="37">
        <f t="shared" si="11"/>
        <v>1972.9850835041477</v>
      </c>
      <c r="K36" s="37">
        <f t="shared" si="13"/>
        <v>2006.9950547008057</v>
      </c>
      <c r="L36" s="37">
        <f t="shared" si="12"/>
        <v>2041.5912838223048</v>
      </c>
      <c r="M36" s="25">
        <f t="shared" si="22"/>
        <v>0</v>
      </c>
      <c r="N36" s="25">
        <f t="shared" si="22"/>
        <v>0</v>
      </c>
      <c r="O36" s="25">
        <f t="shared" si="22"/>
        <v>0</v>
      </c>
      <c r="P36" s="25">
        <f t="shared" si="23"/>
        <v>0</v>
      </c>
      <c r="Q36" s="25">
        <f t="shared" si="23"/>
        <v>0</v>
      </c>
      <c r="R36" s="38">
        <v>2013.15</v>
      </c>
      <c r="S36" s="37">
        <f t="shared" si="15"/>
        <v>1913.95</v>
      </c>
      <c r="T36" s="37">
        <f t="shared" si="16"/>
        <v>1939.55</v>
      </c>
      <c r="U36" s="37">
        <f t="shared" si="17"/>
        <v>1972.99</v>
      </c>
      <c r="V36" s="37">
        <f t="shared" si="18"/>
        <v>2007</v>
      </c>
      <c r="W36" s="37">
        <f t="shared" si="19"/>
        <v>2041.59</v>
      </c>
      <c r="X36" s="25"/>
      <c r="Y36" s="38">
        <v>2013.15</v>
      </c>
      <c r="Z36" s="25">
        <f t="shared" si="20"/>
        <v>2013.15</v>
      </c>
      <c r="AA36" s="25">
        <f t="shared" si="20"/>
        <v>1939.55</v>
      </c>
      <c r="AC36" s="25">
        <f t="shared" si="21"/>
        <v>2013.15</v>
      </c>
      <c r="AD36" s="25">
        <v>0</v>
      </c>
    </row>
    <row r="37" spans="1:30" x14ac:dyDescent="0.25">
      <c r="A37" s="30" t="s">
        <v>54</v>
      </c>
      <c r="B37" s="30" t="s">
        <v>957</v>
      </c>
      <c r="C37" s="27">
        <v>1669.41</v>
      </c>
      <c r="D37" s="28" t="str">
        <f t="shared" si="8"/>
        <v>Yes</v>
      </c>
      <c r="E37" s="28" t="s">
        <v>653</v>
      </c>
      <c r="F37" s="11">
        <v>25.21</v>
      </c>
      <c r="G37" s="11">
        <v>0</v>
      </c>
      <c r="H37" s="37">
        <f t="shared" si="9"/>
        <v>1669.41</v>
      </c>
      <c r="I37" s="37">
        <f t="shared" si="10"/>
        <v>1691.7404123534018</v>
      </c>
      <c r="J37" s="37">
        <f t="shared" si="11"/>
        <v>1720.9023371836563</v>
      </c>
      <c r="K37" s="37">
        <f t="shared" si="13"/>
        <v>1750.5669501648799</v>
      </c>
      <c r="L37" s="37">
        <f t="shared" si="12"/>
        <v>1780.7429165473463</v>
      </c>
      <c r="M37" s="25">
        <f t="shared" si="22"/>
        <v>-25.21</v>
      </c>
      <c r="N37" s="25">
        <f t="shared" si="22"/>
        <v>-25.21</v>
      </c>
      <c r="O37" s="25">
        <f t="shared" si="22"/>
        <v>-25.21</v>
      </c>
      <c r="P37" s="25">
        <f t="shared" si="23"/>
        <v>-25.21</v>
      </c>
      <c r="Q37" s="25">
        <f t="shared" si="23"/>
        <v>-25.21</v>
      </c>
      <c r="R37" s="38">
        <v>1658.46</v>
      </c>
      <c r="S37" s="37">
        <f t="shared" si="15"/>
        <v>1644.2</v>
      </c>
      <c r="T37" s="37">
        <f t="shared" si="16"/>
        <v>1666.53</v>
      </c>
      <c r="U37" s="37">
        <f t="shared" si="17"/>
        <v>1695.69</v>
      </c>
      <c r="V37" s="37">
        <f t="shared" si="18"/>
        <v>1725.36</v>
      </c>
      <c r="W37" s="37">
        <f t="shared" si="19"/>
        <v>1755.53</v>
      </c>
      <c r="X37" s="25"/>
      <c r="Y37" s="38">
        <v>1658.46</v>
      </c>
      <c r="Z37" s="25">
        <f t="shared" si="20"/>
        <v>1658.46</v>
      </c>
      <c r="AA37" s="25">
        <f t="shared" si="20"/>
        <v>1666.53</v>
      </c>
      <c r="AC37" s="25">
        <f t="shared" si="21"/>
        <v>1672.46</v>
      </c>
      <c r="AD37" s="25">
        <v>-14</v>
      </c>
    </row>
    <row r="38" spans="1:30" x14ac:dyDescent="0.25">
      <c r="A38" s="30" t="s">
        <v>56</v>
      </c>
      <c r="B38" s="30" t="s">
        <v>683</v>
      </c>
      <c r="C38" s="27">
        <v>155.31</v>
      </c>
      <c r="D38" s="28" t="str">
        <f t="shared" si="8"/>
        <v>Yes</v>
      </c>
      <c r="E38" s="28" t="s">
        <v>655</v>
      </c>
      <c r="F38" s="11">
        <v>0</v>
      </c>
      <c r="G38" s="11">
        <v>37.410000000000004</v>
      </c>
      <c r="H38" s="37">
        <f t="shared" si="9"/>
        <v>155.31</v>
      </c>
      <c r="I38" s="37">
        <f t="shared" si="10"/>
        <v>157.38746230261398</v>
      </c>
      <c r="J38" s="37">
        <f t="shared" si="11"/>
        <v>160.1004798030404</v>
      </c>
      <c r="K38" s="37">
        <f t="shared" si="13"/>
        <v>162.86026382381053</v>
      </c>
      <c r="L38" s="37">
        <f t="shared" si="12"/>
        <v>165.66762051800839</v>
      </c>
      <c r="M38" s="25">
        <f t="shared" si="22"/>
        <v>37.410000000000004</v>
      </c>
      <c r="N38" s="25">
        <f t="shared" si="22"/>
        <v>37.410000000000004</v>
      </c>
      <c r="O38" s="25">
        <f t="shared" si="22"/>
        <v>37.410000000000004</v>
      </c>
      <c r="P38" s="25">
        <f t="shared" si="23"/>
        <v>37.410000000000004</v>
      </c>
      <c r="Q38" s="25">
        <f t="shared" si="23"/>
        <v>37.410000000000004</v>
      </c>
      <c r="R38" s="38">
        <v>204.58</v>
      </c>
      <c r="S38" s="37">
        <f t="shared" si="15"/>
        <v>192.72</v>
      </c>
      <c r="T38" s="37">
        <f t="shared" si="16"/>
        <v>194.8</v>
      </c>
      <c r="U38" s="37">
        <f t="shared" si="17"/>
        <v>197.51</v>
      </c>
      <c r="V38" s="37">
        <f t="shared" si="18"/>
        <v>200.27</v>
      </c>
      <c r="W38" s="37">
        <f t="shared" si="19"/>
        <v>203.08</v>
      </c>
      <c r="X38" s="25"/>
      <c r="Y38" s="38">
        <v>204.58</v>
      </c>
      <c r="Z38" s="25">
        <f t="shared" si="20"/>
        <v>204.58</v>
      </c>
      <c r="AA38" s="25">
        <f t="shared" si="20"/>
        <v>194.8</v>
      </c>
      <c r="AC38" s="25">
        <f t="shared" si="21"/>
        <v>160.78000000000003</v>
      </c>
      <c r="AD38" s="25">
        <v>43.8</v>
      </c>
    </row>
    <row r="39" spans="1:30" x14ac:dyDescent="0.25">
      <c r="A39" s="30" t="s">
        <v>58</v>
      </c>
      <c r="B39" s="30" t="s">
        <v>684</v>
      </c>
      <c r="C39" s="27">
        <v>2890.46</v>
      </c>
      <c r="D39" s="28" t="str">
        <f t="shared" si="8"/>
        <v>Yes</v>
      </c>
      <c r="E39" s="28" t="s">
        <v>653</v>
      </c>
      <c r="F39" s="11">
        <v>10.440000000000001</v>
      </c>
      <c r="G39" s="11">
        <v>0</v>
      </c>
      <c r="H39" s="37">
        <f t="shared" si="9"/>
        <v>2890.46</v>
      </c>
      <c r="I39" s="37">
        <f t="shared" si="10"/>
        <v>2929.1234581624726</v>
      </c>
      <c r="J39" s="37">
        <f t="shared" si="11"/>
        <v>2979.6151751432371</v>
      </c>
      <c r="K39" s="37">
        <f t="shared" si="13"/>
        <v>3030.9772594950186</v>
      </c>
      <c r="L39" s="37">
        <f t="shared" si="12"/>
        <v>3083.2247144580679</v>
      </c>
      <c r="M39" s="25">
        <f t="shared" si="22"/>
        <v>-10.440000000000001</v>
      </c>
      <c r="N39" s="25">
        <f t="shared" si="22"/>
        <v>-10.440000000000001</v>
      </c>
      <c r="O39" s="25">
        <f t="shared" si="22"/>
        <v>-10.440000000000001</v>
      </c>
      <c r="P39" s="25">
        <f t="shared" si="23"/>
        <v>-10.440000000000001</v>
      </c>
      <c r="Q39" s="25">
        <f t="shared" si="23"/>
        <v>-10.440000000000001</v>
      </c>
      <c r="R39" s="38">
        <v>3136.85</v>
      </c>
      <c r="S39" s="37">
        <f t="shared" si="15"/>
        <v>2880.02</v>
      </c>
      <c r="T39" s="37">
        <f t="shared" si="16"/>
        <v>2918.68</v>
      </c>
      <c r="U39" s="37">
        <f t="shared" si="17"/>
        <v>2969.18</v>
      </c>
      <c r="V39" s="37">
        <f t="shared" si="18"/>
        <v>3020.54</v>
      </c>
      <c r="W39" s="37">
        <f t="shared" si="19"/>
        <v>3072.78</v>
      </c>
      <c r="X39" s="25"/>
      <c r="Y39" s="38">
        <v>3136.85</v>
      </c>
      <c r="Z39" s="25">
        <f t="shared" si="20"/>
        <v>3136.85</v>
      </c>
      <c r="AA39" s="25">
        <f t="shared" si="20"/>
        <v>2918.68</v>
      </c>
      <c r="AC39" s="25">
        <f t="shared" si="21"/>
        <v>3161.9</v>
      </c>
      <c r="AD39" s="25">
        <v>-25.049999999999997</v>
      </c>
    </row>
    <row r="40" spans="1:30" x14ac:dyDescent="0.25">
      <c r="A40" s="30" t="s">
        <v>60</v>
      </c>
      <c r="B40" s="30" t="s">
        <v>685</v>
      </c>
      <c r="C40" s="27">
        <v>23023.66</v>
      </c>
      <c r="D40" s="28" t="str">
        <f t="shared" si="8"/>
        <v>Yes</v>
      </c>
      <c r="E40" s="28" t="s">
        <v>653</v>
      </c>
      <c r="F40" s="11">
        <v>0</v>
      </c>
      <c r="G40" s="11">
        <v>0</v>
      </c>
      <c r="H40" s="37">
        <f t="shared" si="9"/>
        <v>23023.66</v>
      </c>
      <c r="I40" s="37">
        <f t="shared" si="10"/>
        <v>23331.629774761455</v>
      </c>
      <c r="J40" s="37">
        <f t="shared" si="11"/>
        <v>23733.816321048671</v>
      </c>
      <c r="K40" s="37">
        <f t="shared" si="13"/>
        <v>24142.935688556521</v>
      </c>
      <c r="L40" s="37">
        <f t="shared" si="12"/>
        <v>24559.107384042556</v>
      </c>
      <c r="M40" s="25">
        <f t="shared" si="22"/>
        <v>0</v>
      </c>
      <c r="N40" s="25">
        <f t="shared" si="22"/>
        <v>0</v>
      </c>
      <c r="O40" s="25">
        <f t="shared" si="22"/>
        <v>0</v>
      </c>
      <c r="P40" s="25">
        <f t="shared" si="23"/>
        <v>0</v>
      </c>
      <c r="Q40" s="25">
        <f t="shared" si="23"/>
        <v>0</v>
      </c>
      <c r="R40" s="38">
        <v>25157.24</v>
      </c>
      <c r="S40" s="37">
        <f t="shared" si="15"/>
        <v>23023.66</v>
      </c>
      <c r="T40" s="37">
        <f t="shared" si="16"/>
        <v>23331.63</v>
      </c>
      <c r="U40" s="37">
        <f t="shared" si="17"/>
        <v>23733.82</v>
      </c>
      <c r="V40" s="37">
        <f t="shared" si="18"/>
        <v>24142.94</v>
      </c>
      <c r="W40" s="37">
        <f t="shared" si="19"/>
        <v>24559.11</v>
      </c>
      <c r="X40" s="25"/>
      <c r="Y40" s="38">
        <v>25157.24</v>
      </c>
      <c r="Z40" s="25">
        <f t="shared" si="20"/>
        <v>25157.24</v>
      </c>
      <c r="AA40" s="25">
        <f t="shared" si="20"/>
        <v>23331.63</v>
      </c>
      <c r="AC40" s="25">
        <f t="shared" si="21"/>
        <v>25159.24</v>
      </c>
      <c r="AD40" s="25">
        <v>-2</v>
      </c>
    </row>
    <row r="41" spans="1:30" x14ac:dyDescent="0.25">
      <c r="A41" s="30" t="s">
        <v>62</v>
      </c>
      <c r="B41" s="30" t="s">
        <v>686</v>
      </c>
      <c r="C41" s="27">
        <v>7038.95</v>
      </c>
      <c r="D41" s="28" t="str">
        <f t="shared" si="8"/>
        <v>Yes</v>
      </c>
      <c r="E41" s="28" t="s">
        <v>653</v>
      </c>
      <c r="F41" s="11">
        <v>0</v>
      </c>
      <c r="G41" s="11">
        <v>0</v>
      </c>
      <c r="H41" s="37">
        <f t="shared" si="9"/>
        <v>7038.95</v>
      </c>
      <c r="I41" s="37">
        <f t="shared" si="10"/>
        <v>7133.1046151244909</v>
      </c>
      <c r="J41" s="37">
        <f t="shared" si="11"/>
        <v>7256.06382273911</v>
      </c>
      <c r="K41" s="37">
        <f t="shared" si="13"/>
        <v>7381.1425796317753</v>
      </c>
      <c r="L41" s="37">
        <f t="shared" si="12"/>
        <v>7508.3774222215898</v>
      </c>
      <c r="M41" s="25">
        <f t="shared" si="22"/>
        <v>0</v>
      </c>
      <c r="N41" s="25">
        <f t="shared" si="22"/>
        <v>0</v>
      </c>
      <c r="O41" s="25">
        <f t="shared" si="22"/>
        <v>0</v>
      </c>
      <c r="P41" s="25">
        <f t="shared" si="23"/>
        <v>0</v>
      </c>
      <c r="Q41" s="25">
        <f t="shared" si="23"/>
        <v>0</v>
      </c>
      <c r="R41" s="38">
        <v>7424.26</v>
      </c>
      <c r="S41" s="37">
        <f t="shared" si="15"/>
        <v>7038.95</v>
      </c>
      <c r="T41" s="37">
        <f t="shared" si="16"/>
        <v>7133.1</v>
      </c>
      <c r="U41" s="37">
        <f t="shared" si="17"/>
        <v>7256.06</v>
      </c>
      <c r="V41" s="37">
        <f t="shared" si="18"/>
        <v>7381.14</v>
      </c>
      <c r="W41" s="37">
        <f t="shared" si="19"/>
        <v>7508.38</v>
      </c>
      <c r="X41" s="25"/>
      <c r="Y41" s="38">
        <v>7424.26</v>
      </c>
      <c r="Z41" s="25">
        <f t="shared" si="20"/>
        <v>7424.26</v>
      </c>
      <c r="AA41" s="25">
        <f t="shared" si="20"/>
        <v>7133.1</v>
      </c>
      <c r="AC41" s="25">
        <f t="shared" si="21"/>
        <v>7424.26</v>
      </c>
      <c r="AD41" s="25">
        <v>0</v>
      </c>
    </row>
    <row r="42" spans="1:30" x14ac:dyDescent="0.25">
      <c r="A42" s="30" t="s">
        <v>64</v>
      </c>
      <c r="B42" s="30" t="s">
        <v>687</v>
      </c>
      <c r="C42" s="27">
        <v>11679.18</v>
      </c>
      <c r="D42" s="28" t="str">
        <f t="shared" si="8"/>
        <v>Yes</v>
      </c>
      <c r="E42" s="28" t="s">
        <v>653</v>
      </c>
      <c r="F42" s="11">
        <v>1.8</v>
      </c>
      <c r="G42" s="11">
        <v>0</v>
      </c>
      <c r="H42" s="37">
        <f t="shared" si="9"/>
        <v>11679.18</v>
      </c>
      <c r="I42" s="37">
        <f t="shared" si="10"/>
        <v>11835.403399494193</v>
      </c>
      <c r="J42" s="37">
        <f t="shared" si="11"/>
        <v>12039.420009697207</v>
      </c>
      <c r="K42" s="37">
        <f t="shared" si="13"/>
        <v>12246.953422482591</v>
      </c>
      <c r="L42" s="37">
        <f t="shared" si="12"/>
        <v>12458.064259877105</v>
      </c>
      <c r="M42" s="25">
        <f t="shared" si="22"/>
        <v>-1.8</v>
      </c>
      <c r="N42" s="25">
        <f t="shared" si="22"/>
        <v>-1.8</v>
      </c>
      <c r="O42" s="25">
        <f t="shared" si="22"/>
        <v>-1.8</v>
      </c>
      <c r="P42" s="25">
        <f t="shared" si="23"/>
        <v>-1.8</v>
      </c>
      <c r="Q42" s="25">
        <f t="shared" si="23"/>
        <v>-1.8</v>
      </c>
      <c r="R42" s="38">
        <v>12870.9</v>
      </c>
      <c r="S42" s="37">
        <f t="shared" si="15"/>
        <v>11677.38</v>
      </c>
      <c r="T42" s="37">
        <f t="shared" si="16"/>
        <v>11833.6</v>
      </c>
      <c r="U42" s="37">
        <f t="shared" si="17"/>
        <v>12037.62</v>
      </c>
      <c r="V42" s="37">
        <f t="shared" si="18"/>
        <v>12245.15</v>
      </c>
      <c r="W42" s="37">
        <f t="shared" si="19"/>
        <v>12456.26</v>
      </c>
      <c r="X42" s="25"/>
      <c r="Y42" s="38">
        <v>12870.9</v>
      </c>
      <c r="Z42" s="25">
        <f t="shared" si="20"/>
        <v>12870.9</v>
      </c>
      <c r="AA42" s="25">
        <f t="shared" si="20"/>
        <v>11833.6</v>
      </c>
      <c r="AC42" s="25">
        <f t="shared" si="21"/>
        <v>12880</v>
      </c>
      <c r="AD42" s="25">
        <v>-9.1</v>
      </c>
    </row>
    <row r="43" spans="1:30" x14ac:dyDescent="0.25">
      <c r="A43" s="30" t="s">
        <v>66</v>
      </c>
      <c r="B43" s="30" t="s">
        <v>688</v>
      </c>
      <c r="C43" s="27">
        <v>3725.18</v>
      </c>
      <c r="D43" s="28" t="str">
        <f t="shared" si="8"/>
        <v>Yes</v>
      </c>
      <c r="E43" s="28" t="s">
        <v>653</v>
      </c>
      <c r="F43" s="11">
        <v>0</v>
      </c>
      <c r="G43" s="11">
        <v>0</v>
      </c>
      <c r="H43" s="37">
        <f t="shared" si="9"/>
        <v>3725.18</v>
      </c>
      <c r="I43" s="37">
        <f t="shared" si="10"/>
        <v>3775.0088649826253</v>
      </c>
      <c r="J43" s="37">
        <f t="shared" si="11"/>
        <v>3840.0818064045457</v>
      </c>
      <c r="K43" s="37">
        <f t="shared" si="13"/>
        <v>3906.2764637897262</v>
      </c>
      <c r="L43" s="37">
        <f t="shared" si="12"/>
        <v>3973.6121730814139</v>
      </c>
      <c r="M43" s="25">
        <f t="shared" si="22"/>
        <v>0</v>
      </c>
      <c r="N43" s="25">
        <f t="shared" si="22"/>
        <v>0</v>
      </c>
      <c r="O43" s="25">
        <f t="shared" si="22"/>
        <v>0</v>
      </c>
      <c r="P43" s="25">
        <f t="shared" si="23"/>
        <v>0</v>
      </c>
      <c r="Q43" s="25">
        <f t="shared" si="23"/>
        <v>0</v>
      </c>
      <c r="R43" s="38">
        <v>3380.73</v>
      </c>
      <c r="S43" s="37">
        <f t="shared" si="15"/>
        <v>3725.18</v>
      </c>
      <c r="T43" s="37">
        <f t="shared" si="16"/>
        <v>3775.01</v>
      </c>
      <c r="U43" s="37">
        <f t="shared" si="17"/>
        <v>3840.08</v>
      </c>
      <c r="V43" s="37">
        <f t="shared" si="18"/>
        <v>3906.28</v>
      </c>
      <c r="W43" s="37">
        <f t="shared" si="19"/>
        <v>3973.61</v>
      </c>
      <c r="X43" s="25"/>
      <c r="Y43" s="38">
        <v>3380.73</v>
      </c>
      <c r="Z43" s="25">
        <f t="shared" si="20"/>
        <v>3725.18</v>
      </c>
      <c r="AA43" s="25">
        <f t="shared" si="20"/>
        <v>3775.01</v>
      </c>
      <c r="AC43" s="25">
        <f t="shared" si="21"/>
        <v>3380.73</v>
      </c>
      <c r="AD43" s="25">
        <v>0</v>
      </c>
    </row>
    <row r="44" spans="1:30" x14ac:dyDescent="0.25">
      <c r="A44" s="30" t="s">
        <v>68</v>
      </c>
      <c r="B44" s="30" t="s">
        <v>689</v>
      </c>
      <c r="C44" s="27">
        <v>350.42</v>
      </c>
      <c r="D44" s="28" t="str">
        <f t="shared" si="8"/>
        <v>Yes</v>
      </c>
      <c r="E44" s="28" t="s">
        <v>653</v>
      </c>
      <c r="F44" s="11">
        <v>0</v>
      </c>
      <c r="G44" s="11">
        <v>0</v>
      </c>
      <c r="H44" s="37">
        <f t="shared" si="9"/>
        <v>350.42</v>
      </c>
      <c r="I44" s="37">
        <f t="shared" si="10"/>
        <v>355.10729856468993</v>
      </c>
      <c r="J44" s="37">
        <f t="shared" si="11"/>
        <v>361.22857596150544</v>
      </c>
      <c r="K44" s="37">
        <f t="shared" si="13"/>
        <v>367.45537086562149</v>
      </c>
      <c r="L44" s="37">
        <f t="shared" si="12"/>
        <v>373.78950216934192</v>
      </c>
      <c r="M44" s="25">
        <f t="shared" si="22"/>
        <v>0</v>
      </c>
      <c r="N44" s="25">
        <f t="shared" si="22"/>
        <v>0</v>
      </c>
      <c r="O44" s="25">
        <f t="shared" si="22"/>
        <v>0</v>
      </c>
      <c r="P44" s="25">
        <f t="shared" si="23"/>
        <v>0</v>
      </c>
      <c r="Q44" s="25">
        <f t="shared" si="23"/>
        <v>0</v>
      </c>
      <c r="R44" s="38">
        <v>393.37</v>
      </c>
      <c r="S44" s="37">
        <f t="shared" si="15"/>
        <v>350.42</v>
      </c>
      <c r="T44" s="37">
        <f t="shared" si="16"/>
        <v>355.11</v>
      </c>
      <c r="U44" s="37">
        <f t="shared" si="17"/>
        <v>361.23</v>
      </c>
      <c r="V44" s="37">
        <f t="shared" si="18"/>
        <v>367.46</v>
      </c>
      <c r="W44" s="37">
        <f t="shared" si="19"/>
        <v>373.79</v>
      </c>
      <c r="X44" s="25"/>
      <c r="Y44" s="38">
        <v>393.37</v>
      </c>
      <c r="Z44" s="25">
        <f t="shared" si="20"/>
        <v>393.37</v>
      </c>
      <c r="AA44" s="25">
        <f t="shared" si="20"/>
        <v>355.11</v>
      </c>
      <c r="AC44" s="25">
        <f t="shared" si="21"/>
        <v>394.7</v>
      </c>
      <c r="AD44" s="25">
        <v>-1.33</v>
      </c>
    </row>
    <row r="45" spans="1:30" x14ac:dyDescent="0.25">
      <c r="A45" s="30" t="s">
        <v>70</v>
      </c>
      <c r="B45" s="30" t="s">
        <v>690</v>
      </c>
      <c r="C45" s="27">
        <v>332.8</v>
      </c>
      <c r="D45" s="28" t="str">
        <f t="shared" si="8"/>
        <v>Yes</v>
      </c>
      <c r="E45" s="28" t="s">
        <v>655</v>
      </c>
      <c r="F45" s="11">
        <v>0</v>
      </c>
      <c r="G45" s="11">
        <v>0</v>
      </c>
      <c r="H45" s="37">
        <f t="shared" si="9"/>
        <v>332.8</v>
      </c>
      <c r="I45" s="37">
        <f t="shared" si="10"/>
        <v>337.25160938967184</v>
      </c>
      <c r="J45" s="37">
        <f t="shared" si="11"/>
        <v>343.06509354485763</v>
      </c>
      <c r="K45" s="37">
        <f t="shared" si="13"/>
        <v>348.97878952137103</v>
      </c>
      <c r="L45" s="37">
        <f t="shared" si="12"/>
        <v>354.99442475303061</v>
      </c>
      <c r="M45" s="25">
        <f t="shared" si="22"/>
        <v>0</v>
      </c>
      <c r="N45" s="25">
        <f t="shared" si="22"/>
        <v>0</v>
      </c>
      <c r="O45" s="25">
        <f t="shared" si="22"/>
        <v>0</v>
      </c>
      <c r="P45" s="25">
        <f t="shared" si="23"/>
        <v>0</v>
      </c>
      <c r="Q45" s="25">
        <f t="shared" si="23"/>
        <v>0</v>
      </c>
      <c r="R45" s="38">
        <v>31.68</v>
      </c>
      <c r="S45" s="37">
        <f t="shared" si="15"/>
        <v>332.8</v>
      </c>
      <c r="T45" s="37">
        <f t="shared" si="16"/>
        <v>337.25</v>
      </c>
      <c r="U45" s="37">
        <f t="shared" si="17"/>
        <v>343.07</v>
      </c>
      <c r="V45" s="37">
        <f t="shared" si="18"/>
        <v>348.98</v>
      </c>
      <c r="W45" s="37">
        <f t="shared" si="19"/>
        <v>354.99</v>
      </c>
      <c r="X45" s="25"/>
      <c r="Y45" s="38">
        <v>31.68</v>
      </c>
      <c r="Z45" s="25">
        <f t="shared" si="20"/>
        <v>332.8</v>
      </c>
      <c r="AA45" s="25">
        <f t="shared" si="20"/>
        <v>337.25</v>
      </c>
      <c r="AC45" s="25">
        <f t="shared" si="21"/>
        <v>30.35</v>
      </c>
      <c r="AD45" s="25">
        <v>1.33</v>
      </c>
    </row>
    <row r="46" spans="1:30" x14ac:dyDescent="0.25">
      <c r="A46" s="30" t="s">
        <v>72</v>
      </c>
      <c r="B46" s="30" t="s">
        <v>691</v>
      </c>
      <c r="C46" s="27">
        <v>6136.48</v>
      </c>
      <c r="D46" s="28" t="str">
        <f t="shared" si="8"/>
        <v>Yes</v>
      </c>
      <c r="E46" s="28" t="s">
        <v>653</v>
      </c>
      <c r="F46" s="11">
        <v>0</v>
      </c>
      <c r="G46" s="11">
        <v>0</v>
      </c>
      <c r="H46" s="37">
        <f t="shared" si="9"/>
        <v>6136.48</v>
      </c>
      <c r="I46" s="37">
        <f t="shared" si="10"/>
        <v>6218.5629687125402</v>
      </c>
      <c r="J46" s="37">
        <f t="shared" si="11"/>
        <v>6325.7574676566946</v>
      </c>
      <c r="K46" s="37">
        <f t="shared" si="13"/>
        <v>6434.7997665928569</v>
      </c>
      <c r="L46" s="37">
        <f t="shared" si="12"/>
        <v>6545.7217175735495</v>
      </c>
      <c r="M46" s="25">
        <f t="shared" si="22"/>
        <v>0</v>
      </c>
      <c r="N46" s="25">
        <f t="shared" si="22"/>
        <v>0</v>
      </c>
      <c r="O46" s="25">
        <f t="shared" si="22"/>
        <v>0</v>
      </c>
      <c r="P46" s="25">
        <f t="shared" si="23"/>
        <v>0</v>
      </c>
      <c r="Q46" s="25">
        <f t="shared" si="23"/>
        <v>0</v>
      </c>
      <c r="R46" s="38">
        <v>6488.47</v>
      </c>
      <c r="S46" s="37">
        <f t="shared" si="15"/>
        <v>6136.48</v>
      </c>
      <c r="T46" s="37">
        <f t="shared" si="16"/>
        <v>6218.56</v>
      </c>
      <c r="U46" s="37">
        <f t="shared" si="17"/>
        <v>6325.76</v>
      </c>
      <c r="V46" s="37">
        <f t="shared" si="18"/>
        <v>6434.8</v>
      </c>
      <c r="W46" s="37">
        <f t="shared" si="19"/>
        <v>6545.72</v>
      </c>
      <c r="X46" s="25"/>
      <c r="Y46" s="38">
        <v>6488.47</v>
      </c>
      <c r="Z46" s="25">
        <f t="shared" si="20"/>
        <v>6488.47</v>
      </c>
      <c r="AA46" s="25">
        <f t="shared" si="20"/>
        <v>6218.56</v>
      </c>
      <c r="AC46" s="25">
        <f t="shared" si="21"/>
        <v>6488.47</v>
      </c>
      <c r="AD46" s="25">
        <v>0</v>
      </c>
    </row>
    <row r="47" spans="1:30" x14ac:dyDescent="0.25">
      <c r="A47" s="30" t="s">
        <v>74</v>
      </c>
      <c r="B47" s="30" t="s">
        <v>692</v>
      </c>
      <c r="C47" s="27">
        <v>688.56</v>
      </c>
      <c r="D47" s="28" t="str">
        <f t="shared" si="8"/>
        <v>Yes</v>
      </c>
      <c r="E47" s="28" t="s">
        <v>653</v>
      </c>
      <c r="F47" s="11">
        <v>0</v>
      </c>
      <c r="G47" s="11">
        <v>0</v>
      </c>
      <c r="H47" s="37">
        <f t="shared" si="9"/>
        <v>688.56</v>
      </c>
      <c r="I47" s="37">
        <f t="shared" si="10"/>
        <v>697.77033702329459</v>
      </c>
      <c r="J47" s="37">
        <f t="shared" si="11"/>
        <v>709.79837984148787</v>
      </c>
      <c r="K47" s="37">
        <f t="shared" si="13"/>
        <v>722.03375995443275</v>
      </c>
      <c r="L47" s="37">
        <f t="shared" si="12"/>
        <v>734.48005140608996</v>
      </c>
      <c r="M47" s="25">
        <f t="shared" si="22"/>
        <v>0</v>
      </c>
      <c r="N47" s="25">
        <f t="shared" si="22"/>
        <v>0</v>
      </c>
      <c r="O47" s="25">
        <f t="shared" si="22"/>
        <v>0</v>
      </c>
      <c r="P47" s="25">
        <f t="shared" si="23"/>
        <v>0</v>
      </c>
      <c r="Q47" s="25">
        <f t="shared" si="23"/>
        <v>0</v>
      </c>
      <c r="R47" s="38">
        <v>686.35</v>
      </c>
      <c r="S47" s="37">
        <f t="shared" si="15"/>
        <v>688.56</v>
      </c>
      <c r="T47" s="37">
        <f t="shared" si="16"/>
        <v>697.77</v>
      </c>
      <c r="U47" s="37">
        <f t="shared" si="17"/>
        <v>709.8</v>
      </c>
      <c r="V47" s="37">
        <f t="shared" si="18"/>
        <v>722.03</v>
      </c>
      <c r="W47" s="37">
        <f t="shared" si="19"/>
        <v>734.48</v>
      </c>
      <c r="X47" s="25"/>
      <c r="Y47" s="38">
        <v>686.35</v>
      </c>
      <c r="Z47" s="25">
        <f t="shared" si="20"/>
        <v>688.56</v>
      </c>
      <c r="AA47" s="25">
        <f t="shared" si="20"/>
        <v>697.77</v>
      </c>
      <c r="AC47" s="25">
        <f t="shared" si="21"/>
        <v>686.35</v>
      </c>
      <c r="AD47" s="25">
        <v>0</v>
      </c>
    </row>
    <row r="48" spans="1:30" x14ac:dyDescent="0.25">
      <c r="A48" s="30" t="s">
        <v>76</v>
      </c>
      <c r="B48" s="30" t="s">
        <v>693</v>
      </c>
      <c r="C48" s="27">
        <v>1399.15</v>
      </c>
      <c r="D48" s="28" t="str">
        <f t="shared" si="8"/>
        <v>Yes</v>
      </c>
      <c r="E48" s="28" t="s">
        <v>653</v>
      </c>
      <c r="F48" s="11">
        <v>0</v>
      </c>
      <c r="G48" s="11">
        <v>0</v>
      </c>
      <c r="H48" s="37">
        <f t="shared" si="9"/>
        <v>1399.15</v>
      </c>
      <c r="I48" s="37">
        <f t="shared" si="10"/>
        <v>1417.8653523965127</v>
      </c>
      <c r="J48" s="37">
        <f t="shared" si="11"/>
        <v>1442.3062669269459</v>
      </c>
      <c r="K48" s="37">
        <f t="shared" si="13"/>
        <v>1467.1684896599347</v>
      </c>
      <c r="L48" s="37">
        <f t="shared" si="12"/>
        <v>1492.4592830324605</v>
      </c>
      <c r="M48" s="25">
        <f t="shared" si="22"/>
        <v>0</v>
      </c>
      <c r="N48" s="25">
        <f t="shared" si="22"/>
        <v>0</v>
      </c>
      <c r="O48" s="25">
        <f t="shared" si="22"/>
        <v>0</v>
      </c>
      <c r="P48" s="25">
        <f t="shared" si="23"/>
        <v>0</v>
      </c>
      <c r="Q48" s="25">
        <f t="shared" si="23"/>
        <v>0</v>
      </c>
      <c r="R48" s="38">
        <v>1429.93</v>
      </c>
      <c r="S48" s="37">
        <f t="shared" si="15"/>
        <v>1399.15</v>
      </c>
      <c r="T48" s="37">
        <f t="shared" si="16"/>
        <v>1417.87</v>
      </c>
      <c r="U48" s="37">
        <f t="shared" si="17"/>
        <v>1442.31</v>
      </c>
      <c r="V48" s="37">
        <f t="shared" si="18"/>
        <v>1467.17</v>
      </c>
      <c r="W48" s="37">
        <f t="shared" si="19"/>
        <v>1492.46</v>
      </c>
      <c r="X48" s="25"/>
      <c r="Y48" s="38">
        <v>1429.93</v>
      </c>
      <c r="Z48" s="25">
        <f t="shared" si="20"/>
        <v>1429.93</v>
      </c>
      <c r="AA48" s="25">
        <f t="shared" si="20"/>
        <v>1417.87</v>
      </c>
      <c r="AC48" s="25">
        <f t="shared" si="21"/>
        <v>1429.93</v>
      </c>
      <c r="AD48" s="25">
        <v>0</v>
      </c>
    </row>
    <row r="49" spans="1:30" x14ac:dyDescent="0.25">
      <c r="A49" s="30" t="s">
        <v>78</v>
      </c>
      <c r="B49" s="30" t="s">
        <v>694</v>
      </c>
      <c r="C49" s="27">
        <v>1045.22</v>
      </c>
      <c r="D49" s="28" t="str">
        <f t="shared" si="8"/>
        <v>Yes</v>
      </c>
      <c r="E49" s="28" t="s">
        <v>653</v>
      </c>
      <c r="F49" s="11">
        <v>0</v>
      </c>
      <c r="G49" s="11">
        <v>0</v>
      </c>
      <c r="H49" s="37">
        <f t="shared" si="9"/>
        <v>1045.22</v>
      </c>
      <c r="I49" s="37">
        <f t="shared" si="10"/>
        <v>1059.201103264041</v>
      </c>
      <c r="J49" s="37">
        <f t="shared" si="11"/>
        <v>1077.4594263069596</v>
      </c>
      <c r="K49" s="37">
        <f t="shared" si="13"/>
        <v>1096.0324831235801</v>
      </c>
      <c r="L49" s="37">
        <f t="shared" si="12"/>
        <v>1114.9256990395513</v>
      </c>
      <c r="M49" s="25">
        <f t="shared" si="22"/>
        <v>0</v>
      </c>
      <c r="N49" s="25">
        <f t="shared" si="22"/>
        <v>0</v>
      </c>
      <c r="O49" s="25">
        <f t="shared" si="22"/>
        <v>0</v>
      </c>
      <c r="P49" s="25">
        <f t="shared" si="23"/>
        <v>0</v>
      </c>
      <c r="Q49" s="25">
        <f t="shared" si="23"/>
        <v>0</v>
      </c>
      <c r="R49" s="38">
        <v>1041.51</v>
      </c>
      <c r="S49" s="37">
        <f t="shared" si="15"/>
        <v>1045.22</v>
      </c>
      <c r="T49" s="37">
        <f t="shared" si="16"/>
        <v>1059.2</v>
      </c>
      <c r="U49" s="37">
        <f t="shared" si="17"/>
        <v>1077.46</v>
      </c>
      <c r="V49" s="37">
        <f t="shared" si="18"/>
        <v>1096.03</v>
      </c>
      <c r="W49" s="37">
        <f t="shared" si="19"/>
        <v>1114.93</v>
      </c>
      <c r="X49" s="25"/>
      <c r="Y49" s="38">
        <v>1041.51</v>
      </c>
      <c r="Z49" s="25">
        <f t="shared" si="20"/>
        <v>1045.22</v>
      </c>
      <c r="AA49" s="25">
        <f t="shared" si="20"/>
        <v>1059.2</v>
      </c>
      <c r="AC49" s="25">
        <f t="shared" si="21"/>
        <v>1041.51</v>
      </c>
      <c r="AD49" s="25">
        <v>0</v>
      </c>
    </row>
    <row r="50" spans="1:30" x14ac:dyDescent="0.25">
      <c r="A50" s="30" t="s">
        <v>80</v>
      </c>
      <c r="B50" s="30" t="s">
        <v>695</v>
      </c>
      <c r="C50" s="27">
        <v>2334.58</v>
      </c>
      <c r="D50" s="28" t="str">
        <f t="shared" si="8"/>
        <v>Yes</v>
      </c>
      <c r="E50" s="28" t="s">
        <v>653</v>
      </c>
      <c r="F50" s="11">
        <v>10.4</v>
      </c>
      <c r="G50" s="11">
        <v>0</v>
      </c>
      <c r="H50" s="37">
        <f t="shared" si="9"/>
        <v>2334.58</v>
      </c>
      <c r="I50" s="37">
        <f t="shared" si="10"/>
        <v>2365.8078793537861</v>
      </c>
      <c r="J50" s="37">
        <f t="shared" si="11"/>
        <v>2406.5892610815918</v>
      </c>
      <c r="K50" s="37">
        <f t="shared" si="13"/>
        <v>2448.0736251226031</v>
      </c>
      <c r="L50" s="37">
        <f t="shared" si="12"/>
        <v>2490.2730893627709</v>
      </c>
      <c r="M50" s="25">
        <f t="shared" si="22"/>
        <v>-10.4</v>
      </c>
      <c r="N50" s="25">
        <f t="shared" si="22"/>
        <v>-10.4</v>
      </c>
      <c r="O50" s="25">
        <f t="shared" si="22"/>
        <v>-10.4</v>
      </c>
      <c r="P50" s="25">
        <f t="shared" si="23"/>
        <v>-10.4</v>
      </c>
      <c r="Q50" s="25">
        <f t="shared" si="23"/>
        <v>-10.4</v>
      </c>
      <c r="R50" s="38">
        <v>2458.39</v>
      </c>
      <c r="S50" s="37">
        <f t="shared" si="15"/>
        <v>2324.1799999999998</v>
      </c>
      <c r="T50" s="37">
        <f t="shared" si="16"/>
        <v>2355.41</v>
      </c>
      <c r="U50" s="37">
        <f t="shared" si="17"/>
        <v>2396.19</v>
      </c>
      <c r="V50" s="37">
        <f t="shared" si="18"/>
        <v>2437.67</v>
      </c>
      <c r="W50" s="37">
        <f t="shared" si="19"/>
        <v>2479.87</v>
      </c>
      <c r="X50" s="25"/>
      <c r="Y50" s="38">
        <v>2458.39</v>
      </c>
      <c r="Z50" s="25">
        <f t="shared" si="20"/>
        <v>2458.39</v>
      </c>
      <c r="AA50" s="25">
        <f t="shared" si="20"/>
        <v>2355.41</v>
      </c>
      <c r="AC50" s="25">
        <f t="shared" si="21"/>
        <v>2479.0899999999997</v>
      </c>
      <c r="AD50" s="25">
        <v>-20.7</v>
      </c>
    </row>
    <row r="51" spans="1:30" x14ac:dyDescent="0.25">
      <c r="A51" s="30" t="s">
        <v>82</v>
      </c>
      <c r="B51" s="30" t="s">
        <v>696</v>
      </c>
      <c r="C51" s="27">
        <v>4821.26</v>
      </c>
      <c r="D51" s="28" t="str">
        <f t="shared" si="8"/>
        <v>Yes</v>
      </c>
      <c r="E51" s="28" t="s">
        <v>653</v>
      </c>
      <c r="F51" s="11">
        <v>0</v>
      </c>
      <c r="G51" s="11">
        <v>0</v>
      </c>
      <c r="H51" s="37">
        <f t="shared" si="9"/>
        <v>4821.26</v>
      </c>
      <c r="I51" s="37">
        <f t="shared" si="10"/>
        <v>4885.7502833114468</v>
      </c>
      <c r="J51" s="37">
        <f t="shared" si="11"/>
        <v>4969.9699906973574</v>
      </c>
      <c r="K51" s="37">
        <f t="shared" si="13"/>
        <v>5055.6414626436463</v>
      </c>
      <c r="L51" s="37">
        <f t="shared" si="12"/>
        <v>5142.789724413451</v>
      </c>
      <c r="M51" s="25">
        <f t="shared" si="22"/>
        <v>0</v>
      </c>
      <c r="N51" s="25">
        <f t="shared" si="22"/>
        <v>0</v>
      </c>
      <c r="O51" s="25">
        <f t="shared" si="22"/>
        <v>0</v>
      </c>
      <c r="P51" s="25">
        <f t="shared" si="23"/>
        <v>0</v>
      </c>
      <c r="Q51" s="25">
        <f t="shared" si="23"/>
        <v>0</v>
      </c>
      <c r="R51" s="38">
        <v>4965.4399999999996</v>
      </c>
      <c r="S51" s="37">
        <f t="shared" si="15"/>
        <v>4821.26</v>
      </c>
      <c r="T51" s="37">
        <f t="shared" si="16"/>
        <v>4885.75</v>
      </c>
      <c r="U51" s="37">
        <f t="shared" si="17"/>
        <v>4969.97</v>
      </c>
      <c r="V51" s="37">
        <f t="shared" si="18"/>
        <v>5055.6400000000003</v>
      </c>
      <c r="W51" s="37">
        <f t="shared" si="19"/>
        <v>5142.79</v>
      </c>
      <c r="X51" s="25"/>
      <c r="Y51" s="38">
        <v>4965.4399999999996</v>
      </c>
      <c r="Z51" s="25">
        <f t="shared" si="20"/>
        <v>4965.4399999999996</v>
      </c>
      <c r="AA51" s="25">
        <f t="shared" si="20"/>
        <v>4885.75</v>
      </c>
      <c r="AC51" s="25">
        <f t="shared" si="21"/>
        <v>4965.4399999999996</v>
      </c>
      <c r="AD51" s="25">
        <v>0</v>
      </c>
    </row>
    <row r="52" spans="1:30" x14ac:dyDescent="0.25">
      <c r="A52" s="30" t="s">
        <v>84</v>
      </c>
      <c r="B52" s="30" t="s">
        <v>697</v>
      </c>
      <c r="C52" s="27">
        <v>136.94</v>
      </c>
      <c r="D52" s="28" t="str">
        <f t="shared" si="8"/>
        <v>Yes</v>
      </c>
      <c r="E52" s="28" t="s">
        <v>655</v>
      </c>
      <c r="F52" s="11">
        <v>0</v>
      </c>
      <c r="G52" s="11">
        <v>65.55</v>
      </c>
      <c r="H52" s="37">
        <f t="shared" si="9"/>
        <v>136.94</v>
      </c>
      <c r="I52" s="37">
        <f t="shared" si="10"/>
        <v>138.77174095499296</v>
      </c>
      <c r="J52" s="37">
        <f t="shared" si="11"/>
        <v>141.16386391235818</v>
      </c>
      <c r="K52" s="37">
        <f t="shared" si="13"/>
        <v>143.59722186615548</v>
      </c>
      <c r="L52" s="37">
        <f t="shared" si="12"/>
        <v>146.07252561802886</v>
      </c>
      <c r="M52" s="25">
        <f t="shared" si="22"/>
        <v>65.55</v>
      </c>
      <c r="N52" s="25">
        <f t="shared" si="22"/>
        <v>65.55</v>
      </c>
      <c r="O52" s="25">
        <f t="shared" si="22"/>
        <v>65.55</v>
      </c>
      <c r="P52" s="25">
        <f t="shared" si="23"/>
        <v>65.55</v>
      </c>
      <c r="Q52" s="25">
        <f t="shared" si="23"/>
        <v>65.55</v>
      </c>
      <c r="R52" s="38">
        <v>250.11</v>
      </c>
      <c r="S52" s="37">
        <f t="shared" si="15"/>
        <v>202.49</v>
      </c>
      <c r="T52" s="37">
        <f t="shared" si="16"/>
        <v>204.32</v>
      </c>
      <c r="U52" s="37">
        <f t="shared" si="17"/>
        <v>206.71</v>
      </c>
      <c r="V52" s="37">
        <f t="shared" si="18"/>
        <v>209.15</v>
      </c>
      <c r="W52" s="37">
        <f t="shared" si="19"/>
        <v>211.62</v>
      </c>
      <c r="X52" s="25"/>
      <c r="Y52" s="38">
        <v>250.11</v>
      </c>
      <c r="Z52" s="25">
        <f t="shared" si="20"/>
        <v>250.11</v>
      </c>
      <c r="AA52" s="25">
        <f t="shared" si="20"/>
        <v>204.32</v>
      </c>
      <c r="AC52" s="25">
        <f t="shared" si="21"/>
        <v>171.71000000000004</v>
      </c>
      <c r="AD52" s="25">
        <v>78.399999999999991</v>
      </c>
    </row>
    <row r="53" spans="1:30" x14ac:dyDescent="0.25">
      <c r="A53" s="30" t="s">
        <v>86</v>
      </c>
      <c r="B53" s="30" t="s">
        <v>698</v>
      </c>
      <c r="C53" s="27">
        <v>736.9</v>
      </c>
      <c r="D53" s="28" t="str">
        <f t="shared" si="8"/>
        <v>Yes</v>
      </c>
      <c r="E53" s="28" t="s">
        <v>653</v>
      </c>
      <c r="F53" s="11">
        <v>0</v>
      </c>
      <c r="G53" s="11">
        <v>0</v>
      </c>
      <c r="H53" s="37">
        <f t="shared" si="9"/>
        <v>736.9</v>
      </c>
      <c r="I53" s="37">
        <f t="shared" si="10"/>
        <v>746.75694398812857</v>
      </c>
      <c r="J53" s="37">
        <f t="shared" si="11"/>
        <v>759.62940935458414</v>
      </c>
      <c r="K53" s="37">
        <f t="shared" si="13"/>
        <v>772.72376802373287</v>
      </c>
      <c r="L53" s="37">
        <f t="shared" si="12"/>
        <v>786.04384495345028</v>
      </c>
      <c r="M53" s="25">
        <f t="shared" si="22"/>
        <v>0</v>
      </c>
      <c r="N53" s="25">
        <f t="shared" si="22"/>
        <v>0</v>
      </c>
      <c r="O53" s="25">
        <f t="shared" si="22"/>
        <v>0</v>
      </c>
      <c r="P53" s="25">
        <f t="shared" si="23"/>
        <v>0</v>
      </c>
      <c r="Q53" s="25">
        <f t="shared" si="23"/>
        <v>0</v>
      </c>
      <c r="R53" s="38">
        <v>777.64</v>
      </c>
      <c r="S53" s="37">
        <f t="shared" si="15"/>
        <v>736.9</v>
      </c>
      <c r="T53" s="37">
        <f t="shared" si="16"/>
        <v>746.76</v>
      </c>
      <c r="U53" s="37">
        <f t="shared" si="17"/>
        <v>759.63</v>
      </c>
      <c r="V53" s="37">
        <f t="shared" si="18"/>
        <v>772.72</v>
      </c>
      <c r="W53" s="37">
        <f t="shared" si="19"/>
        <v>786.04</v>
      </c>
      <c r="X53" s="25"/>
      <c r="Y53" s="38">
        <v>777.64</v>
      </c>
      <c r="Z53" s="25">
        <f t="shared" si="20"/>
        <v>777.64</v>
      </c>
      <c r="AA53" s="25">
        <f t="shared" si="20"/>
        <v>746.76</v>
      </c>
      <c r="AC53" s="25">
        <f t="shared" si="21"/>
        <v>777.64</v>
      </c>
      <c r="AD53" s="25">
        <v>0</v>
      </c>
    </row>
    <row r="54" spans="1:30" x14ac:dyDescent="0.25">
      <c r="A54" s="30" t="s">
        <v>88</v>
      </c>
      <c r="B54" s="30" t="s">
        <v>699</v>
      </c>
      <c r="C54" s="27">
        <v>22.2</v>
      </c>
      <c r="D54" s="28" t="str">
        <f t="shared" si="8"/>
        <v>No</v>
      </c>
      <c r="E54" s="28" t="s">
        <v>655</v>
      </c>
      <c r="F54" s="11">
        <v>0</v>
      </c>
      <c r="G54" s="11">
        <v>18.55</v>
      </c>
      <c r="H54" s="37">
        <f t="shared" si="9"/>
        <v>22.2</v>
      </c>
      <c r="I54" s="37">
        <f t="shared" si="10"/>
        <v>22.2</v>
      </c>
      <c r="J54" s="37">
        <f t="shared" si="11"/>
        <v>22.2</v>
      </c>
      <c r="K54" s="37">
        <f t="shared" si="13"/>
        <v>22.2</v>
      </c>
      <c r="L54" s="37">
        <f t="shared" si="12"/>
        <v>22.2</v>
      </c>
      <c r="M54" s="25">
        <f t="shared" si="22"/>
        <v>18.55</v>
      </c>
      <c r="N54" s="25">
        <f t="shared" si="22"/>
        <v>18.55</v>
      </c>
      <c r="O54" s="25">
        <f t="shared" si="22"/>
        <v>18.55</v>
      </c>
      <c r="P54" s="25">
        <f t="shared" si="23"/>
        <v>18.55</v>
      </c>
      <c r="Q54" s="25">
        <f t="shared" si="23"/>
        <v>18.55</v>
      </c>
      <c r="R54" s="38">
        <v>46.37</v>
      </c>
      <c r="S54" s="37">
        <f t="shared" si="15"/>
        <v>40.75</v>
      </c>
      <c r="T54" s="37">
        <f t="shared" si="16"/>
        <v>40.75</v>
      </c>
      <c r="U54" s="37">
        <f t="shared" si="17"/>
        <v>40.75</v>
      </c>
      <c r="V54" s="37">
        <f t="shared" si="18"/>
        <v>40.75</v>
      </c>
      <c r="W54" s="37">
        <f t="shared" si="19"/>
        <v>40.75</v>
      </c>
      <c r="X54" s="25"/>
      <c r="Y54" s="38">
        <v>46.37</v>
      </c>
      <c r="Z54" s="25">
        <f t="shared" si="20"/>
        <v>46.37</v>
      </c>
      <c r="AA54" s="25">
        <f t="shared" si="20"/>
        <v>40.75</v>
      </c>
      <c r="AC54" s="25">
        <f t="shared" si="21"/>
        <v>24.699999999999996</v>
      </c>
      <c r="AD54" s="25">
        <v>21.67</v>
      </c>
    </row>
    <row r="55" spans="1:30" x14ac:dyDescent="0.25">
      <c r="A55" s="30" t="s">
        <v>90</v>
      </c>
      <c r="B55" s="30" t="s">
        <v>700</v>
      </c>
      <c r="C55" s="27">
        <v>5790.39</v>
      </c>
      <c r="D55" s="28" t="str">
        <f t="shared" si="8"/>
        <v>Yes</v>
      </c>
      <c r="E55" s="28" t="s">
        <v>653</v>
      </c>
      <c r="F55" s="11">
        <v>39.06</v>
      </c>
      <c r="G55" s="11">
        <v>0</v>
      </c>
      <c r="H55" s="37">
        <f t="shared" si="9"/>
        <v>5790.39</v>
      </c>
      <c r="I55" s="37">
        <f t="shared" si="10"/>
        <v>5867.8435892243451</v>
      </c>
      <c r="J55" s="37">
        <f t="shared" si="11"/>
        <v>5968.9924489519481</v>
      </c>
      <c r="K55" s="37">
        <f t="shared" si="13"/>
        <v>6071.8848950019583</v>
      </c>
      <c r="L55" s="37">
        <f t="shared" si="12"/>
        <v>6176.550983009919</v>
      </c>
      <c r="M55" s="25">
        <f t="shared" si="22"/>
        <v>-39.06</v>
      </c>
      <c r="N55" s="25">
        <f t="shared" si="22"/>
        <v>-39.06</v>
      </c>
      <c r="O55" s="25">
        <f t="shared" si="22"/>
        <v>-39.06</v>
      </c>
      <c r="P55" s="25">
        <f t="shared" si="23"/>
        <v>-39.06</v>
      </c>
      <c r="Q55" s="25">
        <f t="shared" si="23"/>
        <v>-39.06</v>
      </c>
      <c r="R55" s="38">
        <v>6030.7</v>
      </c>
      <c r="S55" s="37">
        <f t="shared" si="15"/>
        <v>5751.33</v>
      </c>
      <c r="T55" s="37">
        <f t="shared" si="16"/>
        <v>5828.78</v>
      </c>
      <c r="U55" s="37">
        <f t="shared" si="17"/>
        <v>5929.93</v>
      </c>
      <c r="V55" s="37">
        <f t="shared" si="18"/>
        <v>6032.82</v>
      </c>
      <c r="W55" s="37">
        <f t="shared" si="19"/>
        <v>6137.49</v>
      </c>
      <c r="X55" s="25"/>
      <c r="Y55" s="38">
        <v>6030.7</v>
      </c>
      <c r="Z55" s="25">
        <f t="shared" si="20"/>
        <v>6030.7</v>
      </c>
      <c r="AA55" s="25">
        <f t="shared" si="20"/>
        <v>5828.78</v>
      </c>
      <c r="AC55" s="25">
        <f t="shared" si="21"/>
        <v>6079.92</v>
      </c>
      <c r="AD55" s="25">
        <v>-49.22</v>
      </c>
    </row>
    <row r="56" spans="1:30" x14ac:dyDescent="0.25">
      <c r="A56" s="30" t="s">
        <v>92</v>
      </c>
      <c r="B56" s="30" t="s">
        <v>701</v>
      </c>
      <c r="C56" s="27">
        <v>89.5</v>
      </c>
      <c r="D56" s="28" t="str">
        <f t="shared" si="8"/>
        <v>No</v>
      </c>
      <c r="E56" s="28" t="s">
        <v>653</v>
      </c>
      <c r="F56" s="11">
        <v>0</v>
      </c>
      <c r="G56" s="11">
        <v>0</v>
      </c>
      <c r="H56" s="37">
        <f t="shared" si="9"/>
        <v>89.5</v>
      </c>
      <c r="I56" s="37">
        <f t="shared" si="10"/>
        <v>89.5</v>
      </c>
      <c r="J56" s="37">
        <f t="shared" si="11"/>
        <v>89.5</v>
      </c>
      <c r="K56" s="37">
        <f t="shared" si="13"/>
        <v>89.5</v>
      </c>
      <c r="L56" s="37">
        <f t="shared" si="12"/>
        <v>89.5</v>
      </c>
      <c r="M56" s="25">
        <f t="shared" si="22"/>
        <v>0</v>
      </c>
      <c r="N56" s="25">
        <f t="shared" si="22"/>
        <v>0</v>
      </c>
      <c r="O56" s="25">
        <f t="shared" si="22"/>
        <v>0</v>
      </c>
      <c r="P56" s="25">
        <f t="shared" si="23"/>
        <v>0</v>
      </c>
      <c r="Q56" s="25">
        <f t="shared" si="23"/>
        <v>0</v>
      </c>
      <c r="R56" s="38">
        <v>93.19</v>
      </c>
      <c r="S56" s="37">
        <f t="shared" si="15"/>
        <v>89.5</v>
      </c>
      <c r="T56" s="37">
        <f t="shared" si="16"/>
        <v>89.5</v>
      </c>
      <c r="U56" s="37">
        <f t="shared" si="17"/>
        <v>89.5</v>
      </c>
      <c r="V56" s="37">
        <f t="shared" si="18"/>
        <v>89.5</v>
      </c>
      <c r="W56" s="37">
        <f t="shared" si="19"/>
        <v>89.5</v>
      </c>
      <c r="X56" s="25"/>
      <c r="Y56" s="38">
        <v>93.19</v>
      </c>
      <c r="Z56" s="25">
        <f t="shared" si="20"/>
        <v>93.19</v>
      </c>
      <c r="AA56" s="25">
        <f t="shared" si="20"/>
        <v>89.5</v>
      </c>
      <c r="AC56" s="25">
        <f t="shared" si="21"/>
        <v>93.19</v>
      </c>
      <c r="AD56" s="25">
        <v>0</v>
      </c>
    </row>
    <row r="57" spans="1:30" x14ac:dyDescent="0.25">
      <c r="A57" s="30" t="s">
        <v>94</v>
      </c>
      <c r="B57" s="30" t="s">
        <v>702</v>
      </c>
      <c r="C57" s="27">
        <v>257.75</v>
      </c>
      <c r="D57" s="28" t="str">
        <f t="shared" si="8"/>
        <v>Yes</v>
      </c>
      <c r="E57" s="28" t="s">
        <v>653</v>
      </c>
      <c r="F57" s="11">
        <v>16</v>
      </c>
      <c r="G57" s="11">
        <v>0</v>
      </c>
      <c r="H57" s="37">
        <f t="shared" si="9"/>
        <v>257.75</v>
      </c>
      <c r="I57" s="37">
        <f t="shared" si="10"/>
        <v>261.19772331787237</v>
      </c>
      <c r="J57" s="37">
        <f t="shared" si="11"/>
        <v>265.70020390981693</v>
      </c>
      <c r="K57" s="37">
        <f t="shared" si="13"/>
        <v>270.28029747335756</v>
      </c>
      <c r="L57" s="37">
        <f t="shared" si="12"/>
        <v>274.93934188730066</v>
      </c>
      <c r="M57" s="25">
        <f t="shared" si="22"/>
        <v>-16</v>
      </c>
      <c r="N57" s="25">
        <f t="shared" si="22"/>
        <v>-16</v>
      </c>
      <c r="O57" s="25">
        <f t="shared" si="22"/>
        <v>-16</v>
      </c>
      <c r="P57" s="25">
        <f t="shared" si="23"/>
        <v>-16</v>
      </c>
      <c r="Q57" s="25">
        <f t="shared" si="23"/>
        <v>-16</v>
      </c>
      <c r="R57" s="38">
        <v>245.45</v>
      </c>
      <c r="S57" s="37">
        <f t="shared" si="15"/>
        <v>241.75</v>
      </c>
      <c r="T57" s="37">
        <f t="shared" si="16"/>
        <v>245.2</v>
      </c>
      <c r="U57" s="37">
        <f t="shared" si="17"/>
        <v>249.7</v>
      </c>
      <c r="V57" s="37">
        <f t="shared" si="18"/>
        <v>254.28</v>
      </c>
      <c r="W57" s="37">
        <f t="shared" si="19"/>
        <v>258.94</v>
      </c>
      <c r="X57" s="25"/>
      <c r="Y57" s="38">
        <v>245.45</v>
      </c>
      <c r="Z57" s="25">
        <f t="shared" si="20"/>
        <v>245.45</v>
      </c>
      <c r="AA57" s="25">
        <f t="shared" si="20"/>
        <v>245.2</v>
      </c>
      <c r="AC57" s="25">
        <f t="shared" si="21"/>
        <v>261.2</v>
      </c>
      <c r="AD57" s="25">
        <v>-15.75</v>
      </c>
    </row>
    <row r="58" spans="1:30" x14ac:dyDescent="0.25">
      <c r="A58" s="30" t="s">
        <v>96</v>
      </c>
      <c r="B58" s="30" t="s">
        <v>703</v>
      </c>
      <c r="C58" s="27">
        <v>34.1</v>
      </c>
      <c r="D58" s="28" t="str">
        <f t="shared" si="8"/>
        <v>No</v>
      </c>
      <c r="E58" s="28" t="s">
        <v>655</v>
      </c>
      <c r="F58" s="11">
        <v>0</v>
      </c>
      <c r="G58" s="11">
        <v>38.9</v>
      </c>
      <c r="H58" s="37">
        <f t="shared" si="9"/>
        <v>34.1</v>
      </c>
      <c r="I58" s="37">
        <f t="shared" si="10"/>
        <v>34.1</v>
      </c>
      <c r="J58" s="37">
        <f t="shared" si="11"/>
        <v>34.1</v>
      </c>
      <c r="K58" s="37">
        <f t="shared" si="13"/>
        <v>34.1</v>
      </c>
      <c r="L58" s="37">
        <f t="shared" si="12"/>
        <v>34.1</v>
      </c>
      <c r="M58" s="25">
        <f t="shared" si="22"/>
        <v>38.9</v>
      </c>
      <c r="N58" s="25">
        <f t="shared" si="22"/>
        <v>38.9</v>
      </c>
      <c r="O58" s="25">
        <f t="shared" si="22"/>
        <v>38.9</v>
      </c>
      <c r="P58" s="25">
        <f t="shared" si="23"/>
        <v>38.9</v>
      </c>
      <c r="Q58" s="25">
        <f t="shared" si="23"/>
        <v>38.9</v>
      </c>
      <c r="R58" s="38">
        <v>67.900000000000006</v>
      </c>
      <c r="S58" s="37">
        <f t="shared" si="15"/>
        <v>73</v>
      </c>
      <c r="T58" s="37">
        <f t="shared" si="16"/>
        <v>73</v>
      </c>
      <c r="U58" s="37">
        <f t="shared" si="17"/>
        <v>73</v>
      </c>
      <c r="V58" s="37">
        <f t="shared" si="18"/>
        <v>73</v>
      </c>
      <c r="W58" s="37">
        <f t="shared" si="19"/>
        <v>73</v>
      </c>
      <c r="X58" s="25"/>
      <c r="Y58" s="38">
        <v>67.900000000000006</v>
      </c>
      <c r="Z58" s="25">
        <f t="shared" si="20"/>
        <v>73</v>
      </c>
      <c r="AA58" s="25">
        <f t="shared" si="20"/>
        <v>73</v>
      </c>
      <c r="AC58" s="25">
        <f t="shared" si="21"/>
        <v>39.900000000000006</v>
      </c>
      <c r="AD58" s="25">
        <v>28</v>
      </c>
    </row>
    <row r="59" spans="1:30" x14ac:dyDescent="0.25">
      <c r="A59" s="30" t="s">
        <v>98</v>
      </c>
      <c r="B59" s="30" t="s">
        <v>704</v>
      </c>
      <c r="C59" s="27">
        <v>265.52</v>
      </c>
      <c r="D59" s="28" t="str">
        <f t="shared" si="8"/>
        <v>Yes</v>
      </c>
      <c r="E59" s="28" t="s">
        <v>653</v>
      </c>
      <c r="F59" s="11">
        <v>1</v>
      </c>
      <c r="G59" s="11">
        <v>0</v>
      </c>
      <c r="H59" s="37">
        <f t="shared" si="9"/>
        <v>265.52</v>
      </c>
      <c r="I59" s="37">
        <f t="shared" si="10"/>
        <v>269.07165662603865</v>
      </c>
      <c r="J59" s="37">
        <f t="shared" si="11"/>
        <v>273.70986670081311</v>
      </c>
      <c r="K59" s="37">
        <f t="shared" si="13"/>
        <v>278.42802942822846</v>
      </c>
      <c r="L59" s="37">
        <f t="shared" si="12"/>
        <v>283.227523018103</v>
      </c>
      <c r="M59" s="25">
        <f t="shared" si="22"/>
        <v>-1</v>
      </c>
      <c r="N59" s="25">
        <f t="shared" si="22"/>
        <v>-1</v>
      </c>
      <c r="O59" s="25">
        <f t="shared" si="22"/>
        <v>-1</v>
      </c>
      <c r="P59" s="25">
        <f t="shared" si="23"/>
        <v>-1</v>
      </c>
      <c r="Q59" s="25">
        <f t="shared" si="23"/>
        <v>-1</v>
      </c>
      <c r="R59" s="38">
        <v>245.75</v>
      </c>
      <c r="S59" s="37">
        <f t="shared" si="15"/>
        <v>264.52</v>
      </c>
      <c r="T59" s="37">
        <f t="shared" si="16"/>
        <v>268.07</v>
      </c>
      <c r="U59" s="37">
        <f t="shared" si="17"/>
        <v>272.70999999999998</v>
      </c>
      <c r="V59" s="37">
        <f t="shared" si="18"/>
        <v>277.43</v>
      </c>
      <c r="W59" s="37">
        <f t="shared" si="19"/>
        <v>282.23</v>
      </c>
      <c r="X59" s="25"/>
      <c r="Y59" s="38">
        <v>245.75</v>
      </c>
      <c r="Z59" s="25">
        <f t="shared" si="20"/>
        <v>264.52</v>
      </c>
      <c r="AA59" s="25">
        <f t="shared" si="20"/>
        <v>268.07</v>
      </c>
      <c r="AC59" s="25">
        <f t="shared" si="21"/>
        <v>248.75</v>
      </c>
      <c r="AD59" s="25">
        <v>-3</v>
      </c>
    </row>
    <row r="60" spans="1:30" x14ac:dyDescent="0.25">
      <c r="A60" s="30" t="s">
        <v>100</v>
      </c>
      <c r="B60" s="30" t="s">
        <v>705</v>
      </c>
      <c r="C60" s="27">
        <v>32.5</v>
      </c>
      <c r="D60" s="28" t="str">
        <f t="shared" si="8"/>
        <v>No</v>
      </c>
      <c r="E60" s="28" t="s">
        <v>655</v>
      </c>
      <c r="F60" s="11">
        <v>0</v>
      </c>
      <c r="G60" s="11">
        <v>22.86</v>
      </c>
      <c r="H60" s="37">
        <f t="shared" si="9"/>
        <v>32.5</v>
      </c>
      <c r="I60" s="37">
        <f t="shared" si="10"/>
        <v>32.5</v>
      </c>
      <c r="J60" s="37">
        <f t="shared" si="11"/>
        <v>32.5</v>
      </c>
      <c r="K60" s="37">
        <f t="shared" si="13"/>
        <v>32.5</v>
      </c>
      <c r="L60" s="37">
        <f t="shared" si="12"/>
        <v>32.5</v>
      </c>
      <c r="M60" s="25">
        <f t="shared" si="22"/>
        <v>22.86</v>
      </c>
      <c r="N60" s="25">
        <f t="shared" si="22"/>
        <v>22.86</v>
      </c>
      <c r="O60" s="25">
        <f t="shared" si="22"/>
        <v>22.86</v>
      </c>
      <c r="P60" s="25">
        <f t="shared" si="23"/>
        <v>22.86</v>
      </c>
      <c r="Q60" s="25">
        <f t="shared" si="23"/>
        <v>22.86</v>
      </c>
      <c r="R60" s="38">
        <v>71.62</v>
      </c>
      <c r="S60" s="37">
        <f t="shared" si="15"/>
        <v>55.36</v>
      </c>
      <c r="T60" s="37">
        <f t="shared" si="16"/>
        <v>55.36</v>
      </c>
      <c r="U60" s="37">
        <f t="shared" si="17"/>
        <v>55.36</v>
      </c>
      <c r="V60" s="37">
        <f t="shared" si="18"/>
        <v>55.36</v>
      </c>
      <c r="W60" s="37">
        <f t="shared" si="19"/>
        <v>55.36</v>
      </c>
      <c r="X60" s="25"/>
      <c r="Y60" s="38">
        <v>71.62</v>
      </c>
      <c r="Z60" s="25">
        <f t="shared" si="20"/>
        <v>71.62</v>
      </c>
      <c r="AA60" s="25">
        <f t="shared" si="20"/>
        <v>55.36</v>
      </c>
      <c r="AC60" s="25">
        <f t="shared" si="21"/>
        <v>48.910000000000004</v>
      </c>
      <c r="AD60" s="25">
        <v>22.71</v>
      </c>
    </row>
    <row r="61" spans="1:30" x14ac:dyDescent="0.25">
      <c r="A61" s="30" t="s">
        <v>102</v>
      </c>
      <c r="B61" s="30" t="s">
        <v>706</v>
      </c>
      <c r="C61" s="27">
        <v>219.49</v>
      </c>
      <c r="D61" s="28" t="str">
        <f t="shared" si="8"/>
        <v>Yes</v>
      </c>
      <c r="E61" s="28" t="s">
        <v>653</v>
      </c>
      <c r="F61" s="11">
        <v>0</v>
      </c>
      <c r="G61" s="11">
        <v>0</v>
      </c>
      <c r="H61" s="37">
        <f t="shared" si="9"/>
        <v>219.49</v>
      </c>
      <c r="I61" s="37">
        <f t="shared" si="10"/>
        <v>222.42594875282174</v>
      </c>
      <c r="J61" s="37">
        <f t="shared" si="11"/>
        <v>226.2600882877428</v>
      </c>
      <c r="K61" s="37">
        <f t="shared" si="13"/>
        <v>230.16032004821432</v>
      </c>
      <c r="L61" s="37">
        <f t="shared" si="12"/>
        <v>234.12778332044078</v>
      </c>
      <c r="M61" s="25">
        <f t="shared" si="22"/>
        <v>0</v>
      </c>
      <c r="N61" s="25">
        <f t="shared" si="22"/>
        <v>0</v>
      </c>
      <c r="O61" s="25">
        <f t="shared" si="22"/>
        <v>0</v>
      </c>
      <c r="P61" s="25">
        <f t="shared" si="23"/>
        <v>0</v>
      </c>
      <c r="Q61" s="25">
        <f t="shared" si="23"/>
        <v>0</v>
      </c>
      <c r="R61" s="38">
        <v>213.75</v>
      </c>
      <c r="S61" s="37">
        <f t="shared" si="15"/>
        <v>219.49</v>
      </c>
      <c r="T61" s="37">
        <f t="shared" si="16"/>
        <v>222.43</v>
      </c>
      <c r="U61" s="37">
        <f t="shared" si="17"/>
        <v>226.26</v>
      </c>
      <c r="V61" s="37">
        <f t="shared" si="18"/>
        <v>230.16</v>
      </c>
      <c r="W61" s="37">
        <f t="shared" si="19"/>
        <v>234.13</v>
      </c>
      <c r="X61" s="25"/>
      <c r="Y61" s="38">
        <v>213.75</v>
      </c>
      <c r="Z61" s="25">
        <f t="shared" si="20"/>
        <v>219.49</v>
      </c>
      <c r="AA61" s="25">
        <f t="shared" si="20"/>
        <v>222.43</v>
      </c>
      <c r="AC61" s="25">
        <f t="shared" si="21"/>
        <v>213.75</v>
      </c>
      <c r="AD61" s="25">
        <v>0</v>
      </c>
    </row>
    <row r="62" spans="1:30" x14ac:dyDescent="0.25">
      <c r="A62" s="30" t="s">
        <v>104</v>
      </c>
      <c r="B62" s="30" t="s">
        <v>707</v>
      </c>
      <c r="C62" s="27">
        <v>361.16</v>
      </c>
      <c r="D62" s="28" t="str">
        <f t="shared" si="8"/>
        <v>Yes</v>
      </c>
      <c r="E62" s="28" t="s">
        <v>653</v>
      </c>
      <c r="F62" s="11">
        <v>9</v>
      </c>
      <c r="G62" s="11">
        <v>0</v>
      </c>
      <c r="H62" s="37">
        <f t="shared" si="9"/>
        <v>361.16</v>
      </c>
      <c r="I62" s="37">
        <f t="shared" si="10"/>
        <v>365.99095927636387</v>
      </c>
      <c r="J62" s="37">
        <f t="shared" si="11"/>
        <v>372.29984730967789</v>
      </c>
      <c r="K62" s="37">
        <f t="shared" si="13"/>
        <v>378.71748684957447</v>
      </c>
      <c r="L62" s="37">
        <f t="shared" si="12"/>
        <v>385.24575253547044</v>
      </c>
      <c r="M62" s="25">
        <f t="shared" si="22"/>
        <v>-9</v>
      </c>
      <c r="N62" s="25">
        <f t="shared" si="22"/>
        <v>-9</v>
      </c>
      <c r="O62" s="25">
        <f t="shared" si="22"/>
        <v>-9</v>
      </c>
      <c r="P62" s="25">
        <f t="shared" si="23"/>
        <v>-9</v>
      </c>
      <c r="Q62" s="25">
        <f t="shared" si="23"/>
        <v>-9</v>
      </c>
      <c r="R62" s="38">
        <v>325.26</v>
      </c>
      <c r="S62" s="37">
        <f t="shared" si="15"/>
        <v>352.16</v>
      </c>
      <c r="T62" s="37">
        <f t="shared" si="16"/>
        <v>356.99</v>
      </c>
      <c r="U62" s="37">
        <f t="shared" si="17"/>
        <v>363.3</v>
      </c>
      <c r="V62" s="37">
        <f t="shared" si="18"/>
        <v>369.72</v>
      </c>
      <c r="W62" s="37">
        <f t="shared" si="19"/>
        <v>376.25</v>
      </c>
      <c r="X62" s="25"/>
      <c r="Y62" s="38">
        <v>325.26</v>
      </c>
      <c r="Z62" s="25">
        <f t="shared" si="20"/>
        <v>352.16</v>
      </c>
      <c r="AA62" s="25">
        <f t="shared" si="20"/>
        <v>356.99</v>
      </c>
      <c r="AC62" s="25">
        <f t="shared" si="21"/>
        <v>335.26</v>
      </c>
      <c r="AD62" s="25">
        <v>-10</v>
      </c>
    </row>
    <row r="63" spans="1:30" x14ac:dyDescent="0.25">
      <c r="A63" s="30" t="s">
        <v>106</v>
      </c>
      <c r="B63" s="30" t="s">
        <v>708</v>
      </c>
      <c r="C63" s="27">
        <v>17988.060000000001</v>
      </c>
      <c r="D63" s="28" t="str">
        <f t="shared" si="8"/>
        <v>Yes</v>
      </c>
      <c r="E63" s="28" t="s">
        <v>653</v>
      </c>
      <c r="F63" s="11">
        <v>0</v>
      </c>
      <c r="G63" s="11">
        <v>0</v>
      </c>
      <c r="H63" s="37">
        <f t="shared" si="9"/>
        <v>17988.060000000001</v>
      </c>
      <c r="I63" s="37">
        <f t="shared" si="10"/>
        <v>18228.672430282393</v>
      </c>
      <c r="J63" s="37">
        <f t="shared" si="11"/>
        <v>18542.895091918606</v>
      </c>
      <c r="K63" s="37">
        <f t="shared" si="13"/>
        <v>18862.534268743369</v>
      </c>
      <c r="L63" s="37">
        <f t="shared" si="12"/>
        <v>19187.683329696516</v>
      </c>
      <c r="M63" s="25">
        <f t="shared" si="22"/>
        <v>0</v>
      </c>
      <c r="N63" s="25">
        <f t="shared" si="22"/>
        <v>0</v>
      </c>
      <c r="O63" s="25">
        <f t="shared" si="22"/>
        <v>0</v>
      </c>
      <c r="P63" s="25">
        <f t="shared" si="23"/>
        <v>0</v>
      </c>
      <c r="Q63" s="25">
        <f t="shared" si="23"/>
        <v>0</v>
      </c>
      <c r="R63" s="38">
        <v>18395.09</v>
      </c>
      <c r="S63" s="37">
        <f t="shared" si="15"/>
        <v>17988.060000000001</v>
      </c>
      <c r="T63" s="37">
        <f t="shared" si="16"/>
        <v>18228.669999999998</v>
      </c>
      <c r="U63" s="37">
        <f t="shared" si="17"/>
        <v>18542.900000000001</v>
      </c>
      <c r="V63" s="37">
        <f t="shared" si="18"/>
        <v>18862.53</v>
      </c>
      <c r="W63" s="37">
        <f t="shared" si="19"/>
        <v>19187.68</v>
      </c>
      <c r="X63" s="25"/>
      <c r="Y63" s="38">
        <v>18395.09</v>
      </c>
      <c r="Z63" s="25">
        <f t="shared" si="20"/>
        <v>18395.09</v>
      </c>
      <c r="AA63" s="25">
        <f t="shared" si="20"/>
        <v>18228.669999999998</v>
      </c>
      <c r="AC63" s="25">
        <f t="shared" si="21"/>
        <v>18395.09</v>
      </c>
      <c r="AD63" s="25">
        <v>0</v>
      </c>
    </row>
    <row r="64" spans="1:30" x14ac:dyDescent="0.25">
      <c r="A64" s="30" t="s">
        <v>108</v>
      </c>
      <c r="B64" s="30" t="s">
        <v>709</v>
      </c>
      <c r="C64" s="27">
        <v>2034.15</v>
      </c>
      <c r="D64" s="28" t="str">
        <f t="shared" si="8"/>
        <v>Yes</v>
      </c>
      <c r="E64" s="28" t="s">
        <v>653</v>
      </c>
      <c r="F64" s="11">
        <v>2</v>
      </c>
      <c r="G64" s="11">
        <v>0</v>
      </c>
      <c r="H64" s="37">
        <f t="shared" si="9"/>
        <v>2034.15</v>
      </c>
      <c r="I64" s="37">
        <f t="shared" si="10"/>
        <v>2061.3592585336569</v>
      </c>
      <c r="J64" s="37">
        <f t="shared" si="11"/>
        <v>2096.8926082760581</v>
      </c>
      <c r="K64" s="37">
        <f t="shared" si="13"/>
        <v>2133.0384756757717</v>
      </c>
      <c r="L64" s="37">
        <f t="shared" si="12"/>
        <v>2169.8074192048593</v>
      </c>
      <c r="M64" s="25">
        <f t="shared" si="22"/>
        <v>-2</v>
      </c>
      <c r="N64" s="25">
        <f t="shared" si="22"/>
        <v>-2</v>
      </c>
      <c r="O64" s="25">
        <f t="shared" si="22"/>
        <v>-2</v>
      </c>
      <c r="P64" s="25">
        <f t="shared" si="23"/>
        <v>-2</v>
      </c>
      <c r="Q64" s="25">
        <f t="shared" si="23"/>
        <v>-2</v>
      </c>
      <c r="R64" s="38">
        <v>2061.4299999999998</v>
      </c>
      <c r="S64" s="37">
        <f t="shared" si="15"/>
        <v>2032.15</v>
      </c>
      <c r="T64" s="37">
        <f t="shared" si="16"/>
        <v>2059.36</v>
      </c>
      <c r="U64" s="37">
        <f t="shared" si="17"/>
        <v>2094.89</v>
      </c>
      <c r="V64" s="37">
        <f t="shared" si="18"/>
        <v>2131.04</v>
      </c>
      <c r="W64" s="37">
        <f t="shared" si="19"/>
        <v>2167.81</v>
      </c>
      <c r="X64" s="25"/>
      <c r="Y64" s="38">
        <v>2061.4299999999998</v>
      </c>
      <c r="Z64" s="25">
        <f t="shared" si="20"/>
        <v>2061.4299999999998</v>
      </c>
      <c r="AA64" s="25">
        <f t="shared" si="20"/>
        <v>2059.36</v>
      </c>
      <c r="AC64" s="25">
        <f t="shared" si="21"/>
        <v>2062.79</v>
      </c>
      <c r="AD64" s="25">
        <v>-1.36</v>
      </c>
    </row>
    <row r="65" spans="1:30" x14ac:dyDescent="0.25">
      <c r="A65" s="30" t="s">
        <v>110</v>
      </c>
      <c r="B65" s="30" t="s">
        <v>710</v>
      </c>
      <c r="C65" s="27">
        <v>11.4</v>
      </c>
      <c r="D65" s="28" t="str">
        <f t="shared" si="8"/>
        <v>No</v>
      </c>
      <c r="E65" s="28" t="s">
        <v>655</v>
      </c>
      <c r="F65" s="11">
        <v>0</v>
      </c>
      <c r="G65" s="11">
        <v>2</v>
      </c>
      <c r="H65" s="37">
        <f t="shared" si="9"/>
        <v>11.4</v>
      </c>
      <c r="I65" s="37">
        <f t="shared" si="10"/>
        <v>11.4</v>
      </c>
      <c r="J65" s="37">
        <f t="shared" si="11"/>
        <v>11.4</v>
      </c>
      <c r="K65" s="37">
        <f t="shared" si="13"/>
        <v>11.4</v>
      </c>
      <c r="L65" s="37">
        <f t="shared" si="12"/>
        <v>11.4</v>
      </c>
      <c r="M65" s="25">
        <f t="shared" si="22"/>
        <v>2</v>
      </c>
      <c r="N65" s="25">
        <f t="shared" si="22"/>
        <v>2</v>
      </c>
      <c r="O65" s="25">
        <f t="shared" si="22"/>
        <v>2</v>
      </c>
      <c r="P65" s="25">
        <f t="shared" si="23"/>
        <v>2</v>
      </c>
      <c r="Q65" s="25">
        <f t="shared" si="23"/>
        <v>2</v>
      </c>
      <c r="R65" s="38">
        <v>17.559999999999999</v>
      </c>
      <c r="S65" s="37">
        <f t="shared" si="15"/>
        <v>13.4</v>
      </c>
      <c r="T65" s="37">
        <f t="shared" si="16"/>
        <v>13.4</v>
      </c>
      <c r="U65" s="37">
        <f t="shared" si="17"/>
        <v>13.4</v>
      </c>
      <c r="V65" s="37">
        <f t="shared" si="18"/>
        <v>13.4</v>
      </c>
      <c r="W65" s="37">
        <f t="shared" si="19"/>
        <v>13.4</v>
      </c>
      <c r="X65" s="25"/>
      <c r="Y65" s="38">
        <v>17.559999999999999</v>
      </c>
      <c r="Z65" s="25">
        <f t="shared" si="20"/>
        <v>17.559999999999999</v>
      </c>
      <c r="AA65" s="25">
        <f t="shared" si="20"/>
        <v>13.4</v>
      </c>
      <c r="AC65" s="25">
        <f t="shared" si="21"/>
        <v>15.2</v>
      </c>
      <c r="AD65" s="25">
        <v>2.3600000000000003</v>
      </c>
    </row>
    <row r="66" spans="1:30" x14ac:dyDescent="0.25">
      <c r="A66" s="30" t="s">
        <v>112</v>
      </c>
      <c r="B66" s="30" t="s">
        <v>711</v>
      </c>
      <c r="C66" s="27">
        <v>41</v>
      </c>
      <c r="D66" s="28" t="str">
        <f t="shared" si="8"/>
        <v>No</v>
      </c>
      <c r="E66" s="28" t="s">
        <v>653</v>
      </c>
      <c r="F66" s="11">
        <v>0</v>
      </c>
      <c r="G66" s="11">
        <v>0</v>
      </c>
      <c r="H66" s="37">
        <f t="shared" si="9"/>
        <v>41</v>
      </c>
      <c r="I66" s="37">
        <f t="shared" si="10"/>
        <v>41</v>
      </c>
      <c r="J66" s="37">
        <f t="shared" si="11"/>
        <v>41</v>
      </c>
      <c r="K66" s="37">
        <f t="shared" si="13"/>
        <v>41</v>
      </c>
      <c r="L66" s="37">
        <f t="shared" si="12"/>
        <v>41</v>
      </c>
      <c r="M66" s="25">
        <f t="shared" si="22"/>
        <v>0</v>
      </c>
      <c r="N66" s="25">
        <f t="shared" si="22"/>
        <v>0</v>
      </c>
      <c r="O66" s="25">
        <f t="shared" si="22"/>
        <v>0</v>
      </c>
      <c r="P66" s="25">
        <f t="shared" si="23"/>
        <v>0</v>
      </c>
      <c r="Q66" s="25">
        <f t="shared" si="23"/>
        <v>0</v>
      </c>
      <c r="R66" s="38">
        <v>40.450000000000003</v>
      </c>
      <c r="S66" s="37">
        <f t="shared" si="15"/>
        <v>41</v>
      </c>
      <c r="T66" s="37">
        <f t="shared" si="16"/>
        <v>41</v>
      </c>
      <c r="U66" s="37">
        <f t="shared" si="17"/>
        <v>41</v>
      </c>
      <c r="V66" s="37">
        <f t="shared" si="18"/>
        <v>41</v>
      </c>
      <c r="W66" s="37">
        <f t="shared" si="19"/>
        <v>41</v>
      </c>
      <c r="X66" s="25"/>
      <c r="Y66" s="38">
        <v>40.450000000000003</v>
      </c>
      <c r="Z66" s="25">
        <f t="shared" si="20"/>
        <v>41</v>
      </c>
      <c r="AA66" s="25">
        <f t="shared" si="20"/>
        <v>41</v>
      </c>
      <c r="AC66" s="25">
        <f t="shared" si="21"/>
        <v>41.45</v>
      </c>
      <c r="AD66" s="25">
        <v>-1</v>
      </c>
    </row>
    <row r="67" spans="1:30" x14ac:dyDescent="0.25">
      <c r="A67" s="30" t="s">
        <v>114</v>
      </c>
      <c r="B67" s="30" t="s">
        <v>712</v>
      </c>
      <c r="C67" s="27">
        <v>348.77</v>
      </c>
      <c r="D67" s="28" t="str">
        <f t="shared" si="8"/>
        <v>Yes</v>
      </c>
      <c r="E67" s="28" t="s">
        <v>653</v>
      </c>
      <c r="F67" s="11">
        <v>0</v>
      </c>
      <c r="G67" s="11">
        <v>0</v>
      </c>
      <c r="H67" s="37">
        <f t="shared" si="9"/>
        <v>348.77</v>
      </c>
      <c r="I67" s="37">
        <f t="shared" si="10"/>
        <v>353.43522778496344</v>
      </c>
      <c r="J67" s="37">
        <f t="shared" si="11"/>
        <v>359.52768231862979</v>
      </c>
      <c r="K67" s="37">
        <f t="shared" si="13"/>
        <v>365.7251575161315</v>
      </c>
      <c r="L67" s="37">
        <f t="shared" si="12"/>
        <v>372.02946370527189</v>
      </c>
      <c r="M67" s="25">
        <f t="shared" si="22"/>
        <v>0</v>
      </c>
      <c r="N67" s="25">
        <f t="shared" si="22"/>
        <v>0</v>
      </c>
      <c r="O67" s="25">
        <f t="shared" si="22"/>
        <v>0</v>
      </c>
      <c r="P67" s="25">
        <f t="shared" si="23"/>
        <v>0</v>
      </c>
      <c r="Q67" s="25">
        <f t="shared" si="23"/>
        <v>0</v>
      </c>
      <c r="R67" s="38">
        <v>304</v>
      </c>
      <c r="S67" s="37">
        <f t="shared" si="15"/>
        <v>348.77</v>
      </c>
      <c r="T67" s="37">
        <f t="shared" si="16"/>
        <v>353.44</v>
      </c>
      <c r="U67" s="37">
        <f t="shared" si="17"/>
        <v>359.53</v>
      </c>
      <c r="V67" s="37">
        <f t="shared" si="18"/>
        <v>365.73</v>
      </c>
      <c r="W67" s="37">
        <f t="shared" si="19"/>
        <v>372.03</v>
      </c>
      <c r="X67" s="25"/>
      <c r="Y67" s="38">
        <v>304</v>
      </c>
      <c r="Z67" s="25">
        <f t="shared" si="20"/>
        <v>348.77</v>
      </c>
      <c r="AA67" s="25">
        <f t="shared" si="20"/>
        <v>353.44</v>
      </c>
      <c r="AC67" s="25">
        <f t="shared" si="21"/>
        <v>304</v>
      </c>
      <c r="AD67" s="25">
        <v>0</v>
      </c>
    </row>
    <row r="68" spans="1:30" x14ac:dyDescent="0.25">
      <c r="A68" s="30" t="s">
        <v>116</v>
      </c>
      <c r="B68" s="30" t="s">
        <v>713</v>
      </c>
      <c r="C68" s="27">
        <v>2387.62</v>
      </c>
      <c r="D68" s="28" t="str">
        <f t="shared" si="8"/>
        <v>Yes</v>
      </c>
      <c r="E68" s="28" t="s">
        <v>653</v>
      </c>
      <c r="F68" s="11">
        <v>0</v>
      </c>
      <c r="G68" s="11">
        <v>0</v>
      </c>
      <c r="H68" s="37">
        <f t="shared" si="9"/>
        <v>2387.62</v>
      </c>
      <c r="I68" s="37">
        <f t="shared" si="10"/>
        <v>2419.5573546002652</v>
      </c>
      <c r="J68" s="37">
        <f t="shared" si="11"/>
        <v>2461.2652603653032</v>
      </c>
      <c r="K68" s="37">
        <f t="shared" si="13"/>
        <v>2503.6921197025713</v>
      </c>
      <c r="L68" s="37">
        <f t="shared" si="12"/>
        <v>2546.8503258077849</v>
      </c>
      <c r="M68" s="25">
        <f t="shared" si="22"/>
        <v>0</v>
      </c>
      <c r="N68" s="25">
        <f t="shared" si="22"/>
        <v>0</v>
      </c>
      <c r="O68" s="25">
        <f t="shared" si="22"/>
        <v>0</v>
      </c>
      <c r="P68" s="25">
        <f t="shared" si="23"/>
        <v>0</v>
      </c>
      <c r="Q68" s="25">
        <f t="shared" si="23"/>
        <v>0</v>
      </c>
      <c r="R68" s="38">
        <v>2404.84</v>
      </c>
      <c r="S68" s="37">
        <f t="shared" si="15"/>
        <v>2387.62</v>
      </c>
      <c r="T68" s="37">
        <f t="shared" si="16"/>
        <v>2419.56</v>
      </c>
      <c r="U68" s="37">
        <f t="shared" si="17"/>
        <v>2461.27</v>
      </c>
      <c r="V68" s="37">
        <f t="shared" si="18"/>
        <v>2503.69</v>
      </c>
      <c r="W68" s="37">
        <f t="shared" si="19"/>
        <v>2546.85</v>
      </c>
      <c r="X68" s="25"/>
      <c r="Y68" s="38">
        <v>2404.84</v>
      </c>
      <c r="Z68" s="25">
        <f t="shared" si="20"/>
        <v>2404.84</v>
      </c>
      <c r="AA68" s="25">
        <f t="shared" si="20"/>
        <v>2419.56</v>
      </c>
      <c r="AC68" s="25">
        <f t="shared" si="21"/>
        <v>2404.84</v>
      </c>
      <c r="AD68" s="25">
        <v>0</v>
      </c>
    </row>
    <row r="69" spans="1:30" x14ac:dyDescent="0.25">
      <c r="A69" s="30" t="s">
        <v>118</v>
      </c>
      <c r="B69" s="30" t="s">
        <v>714</v>
      </c>
      <c r="C69" s="27">
        <v>3145.94</v>
      </c>
      <c r="D69" s="28" t="str">
        <f t="shared" si="8"/>
        <v>Yes</v>
      </c>
      <c r="E69" s="28" t="s">
        <v>653</v>
      </c>
      <c r="F69" s="11">
        <v>0</v>
      </c>
      <c r="G69" s="11">
        <v>0</v>
      </c>
      <c r="H69" s="37">
        <f t="shared" si="9"/>
        <v>3145.94</v>
      </c>
      <c r="I69" s="37">
        <f t="shared" si="10"/>
        <v>3188.0208174379336</v>
      </c>
      <c r="J69" s="37">
        <f t="shared" si="11"/>
        <v>3242.9753617383099</v>
      </c>
      <c r="K69" s="37">
        <f t="shared" si="13"/>
        <v>3298.8772028451385</v>
      </c>
      <c r="L69" s="37">
        <f t="shared" si="12"/>
        <v>3355.7426700947995</v>
      </c>
      <c r="M69" s="25">
        <f t="shared" si="22"/>
        <v>0</v>
      </c>
      <c r="N69" s="25">
        <f t="shared" si="22"/>
        <v>0</v>
      </c>
      <c r="O69" s="25">
        <f t="shared" ref="O69:Q132" si="24">-$F69+$G69</f>
        <v>0</v>
      </c>
      <c r="P69" s="25">
        <f t="shared" si="24"/>
        <v>0</v>
      </c>
      <c r="Q69" s="25">
        <f t="shared" si="24"/>
        <v>0</v>
      </c>
      <c r="R69" s="38">
        <v>2974.38</v>
      </c>
      <c r="S69" s="37">
        <f t="shared" si="15"/>
        <v>3145.94</v>
      </c>
      <c r="T69" s="37">
        <f t="shared" si="16"/>
        <v>3188.02</v>
      </c>
      <c r="U69" s="37">
        <f t="shared" si="17"/>
        <v>3242.98</v>
      </c>
      <c r="V69" s="37">
        <f t="shared" si="18"/>
        <v>3298.88</v>
      </c>
      <c r="W69" s="37">
        <f t="shared" si="19"/>
        <v>3355.74</v>
      </c>
      <c r="X69" s="25"/>
      <c r="Y69" s="38">
        <v>2974.38</v>
      </c>
      <c r="Z69" s="25">
        <f t="shared" si="20"/>
        <v>3145.94</v>
      </c>
      <c r="AA69" s="25">
        <f t="shared" si="20"/>
        <v>3188.02</v>
      </c>
      <c r="AC69" s="25">
        <f t="shared" si="21"/>
        <v>2974.38</v>
      </c>
      <c r="AD69" s="25">
        <v>0</v>
      </c>
    </row>
    <row r="70" spans="1:30" x14ac:dyDescent="0.25">
      <c r="A70" s="30" t="s">
        <v>120</v>
      </c>
      <c r="B70" s="30" t="s">
        <v>715</v>
      </c>
      <c r="C70" s="27">
        <v>881.13</v>
      </c>
      <c r="D70" s="28" t="str">
        <f t="shared" si="8"/>
        <v>Yes</v>
      </c>
      <c r="E70" s="28" t="s">
        <v>653</v>
      </c>
      <c r="F70" s="11">
        <v>0</v>
      </c>
      <c r="G70" s="11">
        <v>0</v>
      </c>
      <c r="H70" s="37">
        <f t="shared" si="9"/>
        <v>881.13</v>
      </c>
      <c r="I70" s="37">
        <f t="shared" si="10"/>
        <v>892.91619766082192</v>
      </c>
      <c r="J70" s="37">
        <f t="shared" si="11"/>
        <v>908.30813063455651</v>
      </c>
      <c r="K70" s="37">
        <f t="shared" si="13"/>
        <v>923.9653870521804</v>
      </c>
      <c r="L70" s="37">
        <f t="shared" si="12"/>
        <v>939.89254051273394</v>
      </c>
      <c r="M70" s="25">
        <f t="shared" si="22"/>
        <v>0</v>
      </c>
      <c r="N70" s="25">
        <f t="shared" si="22"/>
        <v>0</v>
      </c>
      <c r="O70" s="25">
        <f t="shared" si="24"/>
        <v>0</v>
      </c>
      <c r="P70" s="25">
        <f t="shared" si="24"/>
        <v>0</v>
      </c>
      <c r="Q70" s="25">
        <f t="shared" si="24"/>
        <v>0</v>
      </c>
      <c r="R70" s="38">
        <v>897.32</v>
      </c>
      <c r="S70" s="37">
        <f t="shared" si="15"/>
        <v>881.13</v>
      </c>
      <c r="T70" s="37">
        <f t="shared" si="16"/>
        <v>892.92</v>
      </c>
      <c r="U70" s="37">
        <f t="shared" si="17"/>
        <v>908.31</v>
      </c>
      <c r="V70" s="37">
        <f t="shared" si="18"/>
        <v>923.97</v>
      </c>
      <c r="W70" s="37">
        <f t="shared" si="19"/>
        <v>939.89</v>
      </c>
      <c r="X70" s="25"/>
      <c r="Y70" s="38">
        <v>897.32</v>
      </c>
      <c r="Z70" s="25">
        <f t="shared" si="20"/>
        <v>897.32</v>
      </c>
      <c r="AA70" s="25">
        <f t="shared" si="20"/>
        <v>892.92</v>
      </c>
      <c r="AC70" s="25">
        <f t="shared" si="21"/>
        <v>897.32</v>
      </c>
      <c r="AD70" s="25">
        <v>0</v>
      </c>
    </row>
    <row r="71" spans="1:30" x14ac:dyDescent="0.25">
      <c r="A71" s="30" t="s">
        <v>122</v>
      </c>
      <c r="B71" s="30" t="s">
        <v>716</v>
      </c>
      <c r="C71" s="27">
        <v>211</v>
      </c>
      <c r="D71" s="28" t="str">
        <f t="shared" si="8"/>
        <v>Yes</v>
      </c>
      <c r="E71" s="28" t="s">
        <v>653</v>
      </c>
      <c r="F71" s="11">
        <v>0</v>
      </c>
      <c r="G71" s="11">
        <v>0</v>
      </c>
      <c r="H71" s="37">
        <f t="shared" si="9"/>
        <v>211</v>
      </c>
      <c r="I71" s="37">
        <f t="shared" si="10"/>
        <v>213.8223845589566</v>
      </c>
      <c r="J71" s="37">
        <f t="shared" si="11"/>
        <v>217.50821736167356</v>
      </c>
      <c r="K71" s="37">
        <f t="shared" si="13"/>
        <v>221.25758590447501</v>
      </c>
      <c r="L71" s="37">
        <f t="shared" si="12"/>
        <v>225.07158540531688</v>
      </c>
      <c r="M71" s="25">
        <f t="shared" si="22"/>
        <v>0</v>
      </c>
      <c r="N71" s="25">
        <f t="shared" si="22"/>
        <v>0</v>
      </c>
      <c r="O71" s="25">
        <f t="shared" si="24"/>
        <v>0</v>
      </c>
      <c r="P71" s="25">
        <f t="shared" si="24"/>
        <v>0</v>
      </c>
      <c r="Q71" s="25">
        <f t="shared" si="24"/>
        <v>0</v>
      </c>
      <c r="R71" s="38">
        <v>218.09</v>
      </c>
      <c r="S71" s="37">
        <f t="shared" si="15"/>
        <v>211</v>
      </c>
      <c r="T71" s="37">
        <f t="shared" si="16"/>
        <v>213.82</v>
      </c>
      <c r="U71" s="37">
        <f t="shared" si="17"/>
        <v>217.51</v>
      </c>
      <c r="V71" s="37">
        <f t="shared" si="18"/>
        <v>221.26</v>
      </c>
      <c r="W71" s="37">
        <f t="shared" si="19"/>
        <v>225.07</v>
      </c>
      <c r="X71" s="25"/>
      <c r="Y71" s="38">
        <v>218.09</v>
      </c>
      <c r="Z71" s="25">
        <f t="shared" si="20"/>
        <v>218.09</v>
      </c>
      <c r="AA71" s="25">
        <f t="shared" si="20"/>
        <v>213.82</v>
      </c>
      <c r="AC71" s="25">
        <f t="shared" si="21"/>
        <v>218.09</v>
      </c>
      <c r="AD71" s="25">
        <v>0</v>
      </c>
    </row>
    <row r="72" spans="1:30" x14ac:dyDescent="0.25">
      <c r="A72" s="30" t="s">
        <v>124</v>
      </c>
      <c r="B72" s="30" t="s">
        <v>717</v>
      </c>
      <c r="C72" s="27">
        <v>552.16</v>
      </c>
      <c r="D72" s="28" t="str">
        <f t="shared" si="8"/>
        <v>Yes</v>
      </c>
      <c r="E72" s="28" t="s">
        <v>653</v>
      </c>
      <c r="F72" s="11">
        <v>0</v>
      </c>
      <c r="G72" s="11">
        <v>0</v>
      </c>
      <c r="H72" s="37">
        <f t="shared" si="9"/>
        <v>552.16</v>
      </c>
      <c r="I72" s="37">
        <f t="shared" si="10"/>
        <v>559.5458192325757</v>
      </c>
      <c r="J72" s="37">
        <f t="shared" si="11"/>
        <v>569.19117203043447</v>
      </c>
      <c r="K72" s="37">
        <f t="shared" si="13"/>
        <v>579.00278972992851</v>
      </c>
      <c r="L72" s="37">
        <f t="shared" si="12"/>
        <v>588.98353837630225</v>
      </c>
      <c r="M72" s="25">
        <f t="shared" si="22"/>
        <v>0</v>
      </c>
      <c r="N72" s="25">
        <f t="shared" si="22"/>
        <v>0</v>
      </c>
      <c r="O72" s="25">
        <f t="shared" si="24"/>
        <v>0</v>
      </c>
      <c r="P72" s="25">
        <f t="shared" si="24"/>
        <v>0</v>
      </c>
      <c r="Q72" s="25">
        <f t="shared" si="24"/>
        <v>0</v>
      </c>
      <c r="R72" s="38">
        <v>544.34</v>
      </c>
      <c r="S72" s="37">
        <f t="shared" si="15"/>
        <v>552.16</v>
      </c>
      <c r="T72" s="37">
        <f t="shared" si="16"/>
        <v>559.54999999999995</v>
      </c>
      <c r="U72" s="37">
        <f t="shared" si="17"/>
        <v>569.19000000000005</v>
      </c>
      <c r="V72" s="37">
        <f t="shared" si="18"/>
        <v>579</v>
      </c>
      <c r="W72" s="37">
        <f t="shared" si="19"/>
        <v>588.98</v>
      </c>
      <c r="X72" s="25"/>
      <c r="Y72" s="38">
        <v>544.34</v>
      </c>
      <c r="Z72" s="25">
        <f t="shared" si="20"/>
        <v>552.16</v>
      </c>
      <c r="AA72" s="25">
        <f t="shared" si="20"/>
        <v>559.54999999999995</v>
      </c>
      <c r="AC72" s="25">
        <f t="shared" si="21"/>
        <v>544.34</v>
      </c>
      <c r="AD72" s="25">
        <v>0</v>
      </c>
    </row>
    <row r="73" spans="1:30" x14ac:dyDescent="0.25">
      <c r="A73" s="30" t="s">
        <v>126</v>
      </c>
      <c r="B73" s="30" t="s">
        <v>718</v>
      </c>
      <c r="C73" s="27">
        <v>1750.88</v>
      </c>
      <c r="D73" s="28" t="str">
        <f t="shared" ref="D73:D136" si="25">IF(C73&gt;100,"Yes","No")</f>
        <v>Yes</v>
      </c>
      <c r="E73" s="28" t="s">
        <v>653</v>
      </c>
      <c r="F73" s="11">
        <v>0</v>
      </c>
      <c r="G73" s="11">
        <v>0</v>
      </c>
      <c r="H73" s="37">
        <f t="shared" ref="H73:H136" si="26">(IF(D73="Yes",(C73*(1+SY202021Growth)),C73))</f>
        <v>1750.88</v>
      </c>
      <c r="I73" s="37">
        <f t="shared" ref="I73:I136" si="27">(IF(D73="Yes",((C73*(1+SY202021Growth))*(1+SY202122Growth)),C73))</f>
        <v>1774.3001738226824</v>
      </c>
      <c r="J73" s="37">
        <f t="shared" ref="J73:J136" si="28">(IF(D73="Yes",(((C73*(1+SY202021Growth))*(1+SY202122Growth))*(1+SY202223growth)),C73))</f>
        <v>1804.8852493564316</v>
      </c>
      <c r="K73" s="37">
        <f t="shared" ref="K73:K136" si="29">(IF(D73="Yes",((((C73*(1+SY202021Growth))*(1+SY202122Growth))*(1+SY202223growth))*(1+SY202324growth)),C73))</f>
        <v>1835.9975450636364</v>
      </c>
      <c r="L73" s="37">
        <f t="shared" ref="L73:L136" si="30">(IF($D73="Yes",((((($C73*(1+SY202021Growth))*(1+SY202122Growth))*(1+SY202223growth))*(1+SY202324growth))*(1+SY202425Growth)),$C73))</f>
        <v>1867.6461490732763</v>
      </c>
      <c r="M73" s="25">
        <f t="shared" si="22"/>
        <v>0</v>
      </c>
      <c r="N73" s="25">
        <f t="shared" si="22"/>
        <v>0</v>
      </c>
      <c r="O73" s="25">
        <f t="shared" si="24"/>
        <v>0</v>
      </c>
      <c r="P73" s="25">
        <f t="shared" si="24"/>
        <v>0</v>
      </c>
      <c r="Q73" s="25">
        <f t="shared" si="24"/>
        <v>0</v>
      </c>
      <c r="R73" s="38">
        <v>1721.07</v>
      </c>
      <c r="S73" s="37">
        <f t="shared" si="15"/>
        <v>1750.88</v>
      </c>
      <c r="T73" s="37">
        <f t="shared" si="16"/>
        <v>1774.3</v>
      </c>
      <c r="U73" s="37">
        <f t="shared" si="17"/>
        <v>1804.89</v>
      </c>
      <c r="V73" s="37">
        <f t="shared" si="18"/>
        <v>1836</v>
      </c>
      <c r="W73" s="37">
        <f t="shared" si="19"/>
        <v>1867.65</v>
      </c>
      <c r="X73" s="25"/>
      <c r="Y73" s="38">
        <v>1721.07</v>
      </c>
      <c r="Z73" s="25">
        <f t="shared" si="20"/>
        <v>1750.88</v>
      </c>
      <c r="AA73" s="25">
        <f t="shared" si="20"/>
        <v>1774.3</v>
      </c>
      <c r="AC73" s="25">
        <f t="shared" si="21"/>
        <v>1721.07</v>
      </c>
      <c r="AD73" s="25">
        <v>0</v>
      </c>
    </row>
    <row r="74" spans="1:30" x14ac:dyDescent="0.25">
      <c r="A74" s="30" t="s">
        <v>128</v>
      </c>
      <c r="B74" s="30" t="s">
        <v>719</v>
      </c>
      <c r="C74" s="27">
        <v>8327.82</v>
      </c>
      <c r="D74" s="28" t="str">
        <f t="shared" si="25"/>
        <v>Yes</v>
      </c>
      <c r="E74" s="28" t="s">
        <v>653</v>
      </c>
      <c r="F74" s="11">
        <v>0</v>
      </c>
      <c r="G74" s="11">
        <v>0</v>
      </c>
      <c r="H74" s="37">
        <f t="shared" si="26"/>
        <v>8327.82</v>
      </c>
      <c r="I74" s="37">
        <f t="shared" si="27"/>
        <v>8439.2148368614689</v>
      </c>
      <c r="J74" s="37">
        <f t="shared" si="28"/>
        <v>8584.6885436440389</v>
      </c>
      <c r="K74" s="37">
        <f t="shared" si="29"/>
        <v>8732.6699006967065</v>
      </c>
      <c r="L74" s="37">
        <f t="shared" si="30"/>
        <v>8883.2021344554796</v>
      </c>
      <c r="M74" s="25">
        <f t="shared" ref="M74:N137" si="31">-$F74+$G74</f>
        <v>0</v>
      </c>
      <c r="N74" s="25">
        <f t="shared" si="31"/>
        <v>0</v>
      </c>
      <c r="O74" s="25">
        <f t="shared" si="24"/>
        <v>0</v>
      </c>
      <c r="P74" s="25">
        <f t="shared" si="24"/>
        <v>0</v>
      </c>
      <c r="Q74" s="25">
        <f t="shared" si="24"/>
        <v>0</v>
      </c>
      <c r="R74" s="38">
        <v>8755.6299999999992</v>
      </c>
      <c r="S74" s="37">
        <f t="shared" ref="S74:S137" si="32">ROUND(SUM(H74,M74),2)</f>
        <v>8327.82</v>
      </c>
      <c r="T74" s="37">
        <f t="shared" ref="T74:T137" si="33">ROUND(SUM(I74,N74),2)</f>
        <v>8439.2099999999991</v>
      </c>
      <c r="U74" s="37">
        <f t="shared" ref="U74:U137" si="34">ROUND(SUM(J74,O74),2)</f>
        <v>8584.69</v>
      </c>
      <c r="V74" s="37">
        <f t="shared" ref="V74:V137" si="35">ROUND(SUM(K74,P74),2)</f>
        <v>8732.67</v>
      </c>
      <c r="W74" s="37">
        <f t="shared" ref="W74:W137" si="36">ROUND(SUM(L74,Q74),2)</f>
        <v>8883.2000000000007</v>
      </c>
      <c r="X74" s="25"/>
      <c r="Y74" s="38">
        <v>8755.6299999999992</v>
      </c>
      <c r="Z74" s="25">
        <f t="shared" ref="Z74:AA137" si="37">MAX(S74,R74)</f>
        <v>8755.6299999999992</v>
      </c>
      <c r="AA74" s="25">
        <f t="shared" si="37"/>
        <v>8439.2099999999991</v>
      </c>
      <c r="AC74" s="25">
        <f t="shared" ref="AC74:AC137" si="38">R74-AD74</f>
        <v>8755.6299999999992</v>
      </c>
      <c r="AD74" s="25">
        <v>0</v>
      </c>
    </row>
    <row r="75" spans="1:30" x14ac:dyDescent="0.25">
      <c r="A75" s="30" t="s">
        <v>130</v>
      </c>
      <c r="B75" s="30" t="s">
        <v>720</v>
      </c>
      <c r="C75" s="27">
        <v>2575.4299999999998</v>
      </c>
      <c r="D75" s="28" t="str">
        <f t="shared" si="25"/>
        <v>Yes</v>
      </c>
      <c r="E75" s="28" t="s">
        <v>653</v>
      </c>
      <c r="F75" s="11">
        <v>0</v>
      </c>
      <c r="G75" s="11">
        <v>0</v>
      </c>
      <c r="H75" s="37">
        <f t="shared" si="26"/>
        <v>2575.4299999999998</v>
      </c>
      <c r="I75" s="37">
        <f t="shared" si="27"/>
        <v>2609.8795443823392</v>
      </c>
      <c r="J75" s="37">
        <f t="shared" si="28"/>
        <v>2654.8681907098339</v>
      </c>
      <c r="K75" s="37">
        <f t="shared" si="29"/>
        <v>2700.6323434405786</v>
      </c>
      <c r="L75" s="37">
        <f t="shared" si="30"/>
        <v>2747.1853706180818</v>
      </c>
      <c r="M75" s="25">
        <f t="shared" si="31"/>
        <v>0</v>
      </c>
      <c r="N75" s="25">
        <f t="shared" si="31"/>
        <v>0</v>
      </c>
      <c r="O75" s="25">
        <f t="shared" si="24"/>
        <v>0</v>
      </c>
      <c r="P75" s="25">
        <f t="shared" si="24"/>
        <v>0</v>
      </c>
      <c r="Q75" s="25">
        <f t="shared" si="24"/>
        <v>0</v>
      </c>
      <c r="R75" s="38">
        <v>2616.41</v>
      </c>
      <c r="S75" s="37">
        <f t="shared" si="32"/>
        <v>2575.4299999999998</v>
      </c>
      <c r="T75" s="37">
        <f t="shared" si="33"/>
        <v>2609.88</v>
      </c>
      <c r="U75" s="37">
        <f t="shared" si="34"/>
        <v>2654.87</v>
      </c>
      <c r="V75" s="37">
        <f t="shared" si="35"/>
        <v>2700.63</v>
      </c>
      <c r="W75" s="37">
        <f t="shared" si="36"/>
        <v>2747.19</v>
      </c>
      <c r="X75" s="25"/>
      <c r="Y75" s="38">
        <v>2616.41</v>
      </c>
      <c r="Z75" s="25">
        <f t="shared" si="37"/>
        <v>2616.41</v>
      </c>
      <c r="AA75" s="25">
        <f t="shared" si="37"/>
        <v>2609.88</v>
      </c>
      <c r="AC75" s="25">
        <f t="shared" si="38"/>
        <v>2616.41</v>
      </c>
      <c r="AD75" s="25">
        <v>0</v>
      </c>
    </row>
    <row r="76" spans="1:30" x14ac:dyDescent="0.25">
      <c r="A76" s="30" t="s">
        <v>132</v>
      </c>
      <c r="B76" s="30" t="s">
        <v>721</v>
      </c>
      <c r="C76" s="27">
        <v>113.79</v>
      </c>
      <c r="D76" s="28" t="str">
        <f t="shared" si="25"/>
        <v>Yes</v>
      </c>
      <c r="E76" s="28" t="s">
        <v>653</v>
      </c>
      <c r="F76" s="11">
        <v>0</v>
      </c>
      <c r="G76" s="11">
        <v>0</v>
      </c>
      <c r="H76" s="37">
        <f t="shared" si="26"/>
        <v>113.79</v>
      </c>
      <c r="I76" s="37">
        <f t="shared" si="27"/>
        <v>115.31208122731599</v>
      </c>
      <c r="J76" s="37">
        <f t="shared" si="28"/>
        <v>117.29981068049685</v>
      </c>
      <c r="K76" s="37">
        <f t="shared" si="29"/>
        <v>119.32180426573561</v>
      </c>
      <c r="L76" s="37">
        <f t="shared" si="30"/>
        <v>121.37865262213749</v>
      </c>
      <c r="M76" s="25">
        <f t="shared" si="31"/>
        <v>0</v>
      </c>
      <c r="N76" s="25">
        <f t="shared" si="31"/>
        <v>0</v>
      </c>
      <c r="O76" s="25">
        <f t="shared" si="24"/>
        <v>0</v>
      </c>
      <c r="P76" s="25">
        <f t="shared" si="24"/>
        <v>0</v>
      </c>
      <c r="Q76" s="25">
        <f t="shared" si="24"/>
        <v>0</v>
      </c>
      <c r="R76" s="38">
        <v>142.27000000000001</v>
      </c>
      <c r="S76" s="37">
        <f t="shared" si="32"/>
        <v>113.79</v>
      </c>
      <c r="T76" s="37">
        <f t="shared" si="33"/>
        <v>115.31</v>
      </c>
      <c r="U76" s="37">
        <f t="shared" si="34"/>
        <v>117.3</v>
      </c>
      <c r="V76" s="37">
        <f t="shared" si="35"/>
        <v>119.32</v>
      </c>
      <c r="W76" s="37">
        <f t="shared" si="36"/>
        <v>121.38</v>
      </c>
      <c r="X76" s="25"/>
      <c r="Y76" s="38">
        <v>142.27000000000001</v>
      </c>
      <c r="Z76" s="25">
        <f t="shared" si="37"/>
        <v>142.27000000000001</v>
      </c>
      <c r="AA76" s="25">
        <f t="shared" si="37"/>
        <v>115.31</v>
      </c>
      <c r="AC76" s="25">
        <f t="shared" si="38"/>
        <v>142.27000000000001</v>
      </c>
      <c r="AD76" s="25">
        <v>0</v>
      </c>
    </row>
    <row r="77" spans="1:30" x14ac:dyDescent="0.25">
      <c r="A77" s="30" t="s">
        <v>134</v>
      </c>
      <c r="B77" s="30" t="s">
        <v>722</v>
      </c>
      <c r="C77" s="27">
        <v>717.77</v>
      </c>
      <c r="D77" s="28" t="str">
        <f t="shared" si="25"/>
        <v>Yes</v>
      </c>
      <c r="E77" s="28" t="s">
        <v>653</v>
      </c>
      <c r="F77" s="11">
        <v>27.7</v>
      </c>
      <c r="G77" s="11">
        <v>0</v>
      </c>
      <c r="H77" s="37">
        <f t="shared" si="26"/>
        <v>717.77</v>
      </c>
      <c r="I77" s="37">
        <f t="shared" si="27"/>
        <v>727.37105670560322</v>
      </c>
      <c r="J77" s="37">
        <f t="shared" si="28"/>
        <v>739.90935154354713</v>
      </c>
      <c r="K77" s="37">
        <f t="shared" si="29"/>
        <v>752.66377931116131</v>
      </c>
      <c r="L77" s="37">
        <f t="shared" si="30"/>
        <v>765.63806567002041</v>
      </c>
      <c r="M77" s="25">
        <f t="shared" si="31"/>
        <v>-27.7</v>
      </c>
      <c r="N77" s="25">
        <f t="shared" si="31"/>
        <v>-27.7</v>
      </c>
      <c r="O77" s="25">
        <f t="shared" si="24"/>
        <v>-27.7</v>
      </c>
      <c r="P77" s="25">
        <f t="shared" si="24"/>
        <v>-27.7</v>
      </c>
      <c r="Q77" s="25">
        <f t="shared" si="24"/>
        <v>-27.7</v>
      </c>
      <c r="R77" s="38">
        <v>683.75</v>
      </c>
      <c r="S77" s="37">
        <f t="shared" si="32"/>
        <v>690.07</v>
      </c>
      <c r="T77" s="37">
        <f t="shared" si="33"/>
        <v>699.67</v>
      </c>
      <c r="U77" s="37">
        <f t="shared" si="34"/>
        <v>712.21</v>
      </c>
      <c r="V77" s="37">
        <f t="shared" si="35"/>
        <v>724.96</v>
      </c>
      <c r="W77" s="37">
        <f t="shared" si="36"/>
        <v>737.94</v>
      </c>
      <c r="X77" s="25"/>
      <c r="Y77" s="38">
        <v>683.75</v>
      </c>
      <c r="Z77" s="25">
        <f t="shared" si="37"/>
        <v>690.07</v>
      </c>
      <c r="AA77" s="25">
        <f t="shared" si="37"/>
        <v>699.67</v>
      </c>
      <c r="AC77" s="25">
        <f t="shared" si="38"/>
        <v>723.75</v>
      </c>
      <c r="AD77" s="25">
        <v>-40</v>
      </c>
    </row>
    <row r="78" spans="1:30" x14ac:dyDescent="0.25">
      <c r="A78" s="30" t="s">
        <v>136</v>
      </c>
      <c r="B78" s="30" t="s">
        <v>723</v>
      </c>
      <c r="C78" s="27">
        <v>3113.84</v>
      </c>
      <c r="D78" s="28" t="str">
        <f t="shared" si="25"/>
        <v>Yes</v>
      </c>
      <c r="E78" s="28" t="s">
        <v>653</v>
      </c>
      <c r="F78" s="11">
        <v>116.31</v>
      </c>
      <c r="G78" s="11">
        <v>0</v>
      </c>
      <c r="H78" s="37">
        <f>(IF(D78="Yes",(C78*(1+SY202021Growth)),C78))</f>
        <v>3113.84</v>
      </c>
      <c r="I78" s="37">
        <f t="shared" si="27"/>
        <v>3155.4914404505284</v>
      </c>
      <c r="J78" s="37">
        <f t="shared" si="28"/>
        <v>3209.8852490496383</v>
      </c>
      <c r="K78" s="37">
        <f t="shared" si="29"/>
        <v>3265.2166885914244</v>
      </c>
      <c r="L78" s="37">
        <f t="shared" si="30"/>
        <v>3321.5019217938011</v>
      </c>
      <c r="M78" s="25">
        <f t="shared" si="31"/>
        <v>-116.31</v>
      </c>
      <c r="N78" s="25">
        <f t="shared" si="31"/>
        <v>-116.31</v>
      </c>
      <c r="O78" s="25">
        <f t="shared" si="24"/>
        <v>-116.31</v>
      </c>
      <c r="P78" s="25">
        <f t="shared" si="24"/>
        <v>-116.31</v>
      </c>
      <c r="Q78" s="25">
        <f t="shared" si="24"/>
        <v>-116.31</v>
      </c>
      <c r="R78" s="38">
        <v>3223.93</v>
      </c>
      <c r="S78" s="37">
        <f>ROUND(SUM(H78,M78),2)</f>
        <v>2997.53</v>
      </c>
      <c r="T78" s="37">
        <f t="shared" si="33"/>
        <v>3039.18</v>
      </c>
      <c r="U78" s="37">
        <f t="shared" si="34"/>
        <v>3093.58</v>
      </c>
      <c r="V78" s="37">
        <f t="shared" si="35"/>
        <v>3148.91</v>
      </c>
      <c r="W78" s="37">
        <f t="shared" si="36"/>
        <v>3205.19</v>
      </c>
      <c r="X78" s="25"/>
      <c r="Y78" s="38">
        <v>3223.93</v>
      </c>
      <c r="Z78" s="25">
        <f t="shared" si="37"/>
        <v>3223.93</v>
      </c>
      <c r="AA78" s="25">
        <f t="shared" si="37"/>
        <v>3039.18</v>
      </c>
      <c r="AC78" s="25">
        <f t="shared" si="38"/>
        <v>3334.33</v>
      </c>
      <c r="AD78" s="25">
        <v>-110.4</v>
      </c>
    </row>
    <row r="79" spans="1:30" x14ac:dyDescent="0.25">
      <c r="A79" s="30" t="s">
        <v>138</v>
      </c>
      <c r="B79" s="30" t="s">
        <v>724</v>
      </c>
      <c r="C79" s="27">
        <v>1566.63</v>
      </c>
      <c r="D79" s="28" t="str">
        <f t="shared" si="25"/>
        <v>Yes</v>
      </c>
      <c r="E79" s="28" t="s">
        <v>653</v>
      </c>
      <c r="F79" s="11">
        <v>0</v>
      </c>
      <c r="G79" s="11">
        <v>0</v>
      </c>
      <c r="H79" s="37">
        <f t="shared" si="26"/>
        <v>1566.63</v>
      </c>
      <c r="I79" s="37">
        <f t="shared" si="27"/>
        <v>1587.5856034198966</v>
      </c>
      <c r="J79" s="37">
        <f t="shared" si="28"/>
        <v>1614.9521259019841</v>
      </c>
      <c r="K79" s="37">
        <f t="shared" si="29"/>
        <v>1642.7903877039228</v>
      </c>
      <c r="L79" s="37">
        <f t="shared" si="30"/>
        <v>1671.1085205854579</v>
      </c>
      <c r="M79" s="25">
        <f t="shared" si="31"/>
        <v>0</v>
      </c>
      <c r="N79" s="25">
        <f t="shared" si="31"/>
        <v>0</v>
      </c>
      <c r="O79" s="25">
        <f t="shared" si="24"/>
        <v>0</v>
      </c>
      <c r="P79" s="25">
        <f t="shared" si="24"/>
        <v>0</v>
      </c>
      <c r="Q79" s="25">
        <f t="shared" si="24"/>
        <v>0</v>
      </c>
      <c r="R79" s="38">
        <v>1599.55</v>
      </c>
      <c r="S79" s="37">
        <f t="shared" si="32"/>
        <v>1566.63</v>
      </c>
      <c r="T79" s="37">
        <f t="shared" si="33"/>
        <v>1587.59</v>
      </c>
      <c r="U79" s="37">
        <f t="shared" si="34"/>
        <v>1614.95</v>
      </c>
      <c r="V79" s="37">
        <f t="shared" si="35"/>
        <v>1642.79</v>
      </c>
      <c r="W79" s="37">
        <f t="shared" si="36"/>
        <v>1671.11</v>
      </c>
      <c r="X79" s="25"/>
      <c r="Y79" s="38">
        <v>1599.55</v>
      </c>
      <c r="Z79" s="25">
        <f t="shared" si="37"/>
        <v>1599.55</v>
      </c>
      <c r="AA79" s="25">
        <f t="shared" si="37"/>
        <v>1587.59</v>
      </c>
      <c r="AC79" s="25">
        <f t="shared" si="38"/>
        <v>1599.55</v>
      </c>
      <c r="AD79" s="25">
        <v>0</v>
      </c>
    </row>
    <row r="80" spans="1:30" x14ac:dyDescent="0.25">
      <c r="A80" s="30" t="s">
        <v>140</v>
      </c>
      <c r="B80" s="30" t="s">
        <v>725</v>
      </c>
      <c r="C80" s="27">
        <v>712.37</v>
      </c>
      <c r="D80" s="28" t="str">
        <f t="shared" si="25"/>
        <v>Yes</v>
      </c>
      <c r="E80" s="28" t="s">
        <v>653</v>
      </c>
      <c r="F80" s="11">
        <v>0</v>
      </c>
      <c r="G80" s="11">
        <v>0</v>
      </c>
      <c r="H80" s="37">
        <f t="shared" si="26"/>
        <v>712.37</v>
      </c>
      <c r="I80" s="37">
        <f t="shared" si="27"/>
        <v>721.89882506286222</v>
      </c>
      <c r="J80" s="37">
        <f t="shared" si="28"/>
        <v>734.34279053049954</v>
      </c>
      <c r="K80" s="37">
        <f t="shared" si="29"/>
        <v>747.00126289464868</v>
      </c>
      <c r="L80" s="37">
        <f t="shared" si="30"/>
        <v>759.87793978760942</v>
      </c>
      <c r="M80" s="25">
        <f t="shared" si="31"/>
        <v>0</v>
      </c>
      <c r="N80" s="25">
        <f t="shared" si="31"/>
        <v>0</v>
      </c>
      <c r="O80" s="25">
        <f t="shared" si="24"/>
        <v>0</v>
      </c>
      <c r="P80" s="25">
        <f t="shared" si="24"/>
        <v>0</v>
      </c>
      <c r="Q80" s="25">
        <f t="shared" si="24"/>
        <v>0</v>
      </c>
      <c r="R80" s="38">
        <v>706.86</v>
      </c>
      <c r="S80" s="37">
        <f t="shared" si="32"/>
        <v>712.37</v>
      </c>
      <c r="T80" s="37">
        <f t="shared" si="33"/>
        <v>721.9</v>
      </c>
      <c r="U80" s="37">
        <f t="shared" si="34"/>
        <v>734.34</v>
      </c>
      <c r="V80" s="37">
        <f t="shared" si="35"/>
        <v>747</v>
      </c>
      <c r="W80" s="37">
        <f t="shared" si="36"/>
        <v>759.88</v>
      </c>
      <c r="X80" s="25"/>
      <c r="Y80" s="38">
        <v>706.86</v>
      </c>
      <c r="Z80" s="25">
        <f t="shared" si="37"/>
        <v>712.37</v>
      </c>
      <c r="AA80" s="25">
        <f t="shared" si="37"/>
        <v>721.9</v>
      </c>
      <c r="AC80" s="25">
        <f t="shared" si="38"/>
        <v>706.86</v>
      </c>
      <c r="AD80" s="25">
        <v>0</v>
      </c>
    </row>
    <row r="81" spans="1:30" x14ac:dyDescent="0.25">
      <c r="A81" s="30" t="s">
        <v>142</v>
      </c>
      <c r="B81" s="30" t="s">
        <v>726</v>
      </c>
      <c r="C81" s="27">
        <v>287.27999999999997</v>
      </c>
      <c r="D81" s="28" t="str">
        <f t="shared" si="25"/>
        <v>Yes</v>
      </c>
      <c r="E81" s="28" t="s">
        <v>655</v>
      </c>
      <c r="F81" s="11">
        <v>0</v>
      </c>
      <c r="G81" s="11">
        <v>103.80000000000001</v>
      </c>
      <c r="H81" s="37">
        <f t="shared" si="26"/>
        <v>287.27999999999997</v>
      </c>
      <c r="I81" s="37">
        <f t="shared" si="27"/>
        <v>291.12272339382486</v>
      </c>
      <c r="J81" s="37">
        <f t="shared" si="28"/>
        <v>296.14104589413068</v>
      </c>
      <c r="K81" s="37">
        <f t="shared" si="29"/>
        <v>301.2458733584719</v>
      </c>
      <c r="L81" s="37">
        <f t="shared" si="30"/>
        <v>306.43869694426269</v>
      </c>
      <c r="M81" s="25">
        <f t="shared" si="31"/>
        <v>103.80000000000001</v>
      </c>
      <c r="N81" s="25">
        <f t="shared" si="31"/>
        <v>103.80000000000001</v>
      </c>
      <c r="O81" s="25">
        <f t="shared" si="24"/>
        <v>103.80000000000001</v>
      </c>
      <c r="P81" s="25">
        <f t="shared" si="24"/>
        <v>103.80000000000001</v>
      </c>
      <c r="Q81" s="25">
        <f t="shared" si="24"/>
        <v>103.80000000000001</v>
      </c>
      <c r="R81" s="38">
        <v>424.55</v>
      </c>
      <c r="S81" s="37">
        <f t="shared" si="32"/>
        <v>391.08</v>
      </c>
      <c r="T81" s="37">
        <f t="shared" si="33"/>
        <v>394.92</v>
      </c>
      <c r="U81" s="37">
        <f t="shared" si="34"/>
        <v>399.94</v>
      </c>
      <c r="V81" s="37">
        <f t="shared" si="35"/>
        <v>405.05</v>
      </c>
      <c r="W81" s="37">
        <f t="shared" si="36"/>
        <v>410.24</v>
      </c>
      <c r="X81" s="25"/>
      <c r="Y81" s="38">
        <v>424.55</v>
      </c>
      <c r="Z81" s="25">
        <f t="shared" si="37"/>
        <v>424.55</v>
      </c>
      <c r="AA81" s="25">
        <f t="shared" si="37"/>
        <v>394.92</v>
      </c>
      <c r="AC81" s="25">
        <f t="shared" si="38"/>
        <v>318.64999999999998</v>
      </c>
      <c r="AD81" s="25">
        <v>105.9</v>
      </c>
    </row>
    <row r="82" spans="1:30" x14ac:dyDescent="0.25">
      <c r="A82" s="30" t="s">
        <v>144</v>
      </c>
      <c r="B82" s="30" t="s">
        <v>727</v>
      </c>
      <c r="C82" s="27">
        <v>1349.6</v>
      </c>
      <c r="D82" s="28" t="str">
        <f t="shared" si="25"/>
        <v>Yes</v>
      </c>
      <c r="E82" s="28" t="s">
        <v>653</v>
      </c>
      <c r="F82" s="11">
        <v>0</v>
      </c>
      <c r="G82" s="11">
        <v>0</v>
      </c>
      <c r="H82" s="37">
        <f t="shared" si="26"/>
        <v>1349.6</v>
      </c>
      <c r="I82" s="37">
        <f t="shared" si="27"/>
        <v>1367.6525601932124</v>
      </c>
      <c r="J82" s="37">
        <f t="shared" si="28"/>
        <v>1391.2279154090741</v>
      </c>
      <c r="K82" s="37">
        <f t="shared" si="29"/>
        <v>1415.2096584676751</v>
      </c>
      <c r="L82" s="37">
        <f t="shared" si="30"/>
        <v>1439.6047946114486</v>
      </c>
      <c r="M82" s="25">
        <f t="shared" si="31"/>
        <v>0</v>
      </c>
      <c r="N82" s="25">
        <f t="shared" si="31"/>
        <v>0</v>
      </c>
      <c r="O82" s="25">
        <f t="shared" si="24"/>
        <v>0</v>
      </c>
      <c r="P82" s="25">
        <f t="shared" si="24"/>
        <v>0</v>
      </c>
      <c r="Q82" s="25">
        <f t="shared" si="24"/>
        <v>0</v>
      </c>
      <c r="R82" s="38">
        <v>1423.3</v>
      </c>
      <c r="S82" s="37">
        <f t="shared" si="32"/>
        <v>1349.6</v>
      </c>
      <c r="T82" s="37">
        <f t="shared" si="33"/>
        <v>1367.65</v>
      </c>
      <c r="U82" s="37">
        <f t="shared" si="34"/>
        <v>1391.23</v>
      </c>
      <c r="V82" s="37">
        <f t="shared" si="35"/>
        <v>1415.21</v>
      </c>
      <c r="W82" s="37">
        <f t="shared" si="36"/>
        <v>1439.6</v>
      </c>
      <c r="X82" s="25"/>
      <c r="Y82" s="38">
        <v>1423.3</v>
      </c>
      <c r="Z82" s="25">
        <f t="shared" si="37"/>
        <v>1423.3</v>
      </c>
      <c r="AA82" s="25">
        <f t="shared" si="37"/>
        <v>1367.65</v>
      </c>
      <c r="AC82" s="25">
        <f t="shared" si="38"/>
        <v>1423.3</v>
      </c>
      <c r="AD82" s="25">
        <v>0</v>
      </c>
    </row>
    <row r="83" spans="1:30" x14ac:dyDescent="0.25">
      <c r="A83" s="30" t="s">
        <v>146</v>
      </c>
      <c r="B83" s="30" t="s">
        <v>728</v>
      </c>
      <c r="C83" s="27">
        <v>1568.25</v>
      </c>
      <c r="D83" s="28" t="str">
        <f t="shared" si="25"/>
        <v>Yes</v>
      </c>
      <c r="E83" s="28" t="s">
        <v>653</v>
      </c>
      <c r="F83" s="11">
        <v>94.51</v>
      </c>
      <c r="G83" s="11">
        <v>0</v>
      </c>
      <c r="H83" s="37">
        <f t="shared" si="26"/>
        <v>1568.25</v>
      </c>
      <c r="I83" s="37">
        <f t="shared" si="27"/>
        <v>1589.2272729127189</v>
      </c>
      <c r="J83" s="37">
        <f t="shared" si="28"/>
        <v>1616.6220942058985</v>
      </c>
      <c r="K83" s="37">
        <f t="shared" si="29"/>
        <v>1644.4891426288766</v>
      </c>
      <c r="L83" s="37">
        <f t="shared" si="30"/>
        <v>1672.8365583501811</v>
      </c>
      <c r="M83" s="25">
        <f t="shared" si="31"/>
        <v>-94.51</v>
      </c>
      <c r="N83" s="25">
        <f t="shared" si="31"/>
        <v>-94.51</v>
      </c>
      <c r="O83" s="25">
        <f t="shared" si="24"/>
        <v>-94.51</v>
      </c>
      <c r="P83" s="25">
        <f t="shared" si="24"/>
        <v>-94.51</v>
      </c>
      <c r="Q83" s="25">
        <f t="shared" si="24"/>
        <v>-94.51</v>
      </c>
      <c r="R83" s="38">
        <v>1472.82</v>
      </c>
      <c r="S83" s="37">
        <f t="shared" si="32"/>
        <v>1473.74</v>
      </c>
      <c r="T83" s="37">
        <f t="shared" si="33"/>
        <v>1494.72</v>
      </c>
      <c r="U83" s="37">
        <f t="shared" si="34"/>
        <v>1522.11</v>
      </c>
      <c r="V83" s="37">
        <f t="shared" si="35"/>
        <v>1549.98</v>
      </c>
      <c r="W83" s="37">
        <f t="shared" si="36"/>
        <v>1578.33</v>
      </c>
      <c r="X83" s="25"/>
      <c r="Y83" s="38">
        <v>1472.82</v>
      </c>
      <c r="Z83" s="25">
        <f t="shared" si="37"/>
        <v>1473.74</v>
      </c>
      <c r="AA83" s="25">
        <f t="shared" si="37"/>
        <v>1494.72</v>
      </c>
      <c r="AC83" s="25">
        <f t="shared" si="38"/>
        <v>1562.29</v>
      </c>
      <c r="AD83" s="25">
        <v>-89.47</v>
      </c>
    </row>
    <row r="84" spans="1:30" x14ac:dyDescent="0.25">
      <c r="A84" s="30" t="s">
        <v>148</v>
      </c>
      <c r="B84" s="30" t="s">
        <v>729</v>
      </c>
      <c r="C84" s="27">
        <v>159.63999999999999</v>
      </c>
      <c r="D84" s="28" t="str">
        <f t="shared" si="25"/>
        <v>Yes</v>
      </c>
      <c r="E84" s="28" t="s">
        <v>653</v>
      </c>
      <c r="F84" s="11">
        <v>0</v>
      </c>
      <c r="G84" s="11">
        <v>0</v>
      </c>
      <c r="H84" s="37">
        <f t="shared" si="26"/>
        <v>159.63999999999999</v>
      </c>
      <c r="I84" s="37">
        <f t="shared" si="27"/>
        <v>161.77538137910821</v>
      </c>
      <c r="J84" s="37">
        <f t="shared" si="28"/>
        <v>164.56403705979889</v>
      </c>
      <c r="K84" s="37">
        <f t="shared" si="29"/>
        <v>167.40076309853265</v>
      </c>
      <c r="L84" s="37">
        <f t="shared" si="30"/>
        <v>170.28638812371938</v>
      </c>
      <c r="M84" s="25">
        <f t="shared" si="31"/>
        <v>0</v>
      </c>
      <c r="N84" s="25">
        <f t="shared" si="31"/>
        <v>0</v>
      </c>
      <c r="O84" s="25">
        <f t="shared" si="24"/>
        <v>0</v>
      </c>
      <c r="P84" s="25">
        <f t="shared" si="24"/>
        <v>0</v>
      </c>
      <c r="Q84" s="25">
        <f t="shared" si="24"/>
        <v>0</v>
      </c>
      <c r="R84" s="38">
        <v>170.17</v>
      </c>
      <c r="S84" s="37">
        <f t="shared" si="32"/>
        <v>159.63999999999999</v>
      </c>
      <c r="T84" s="37">
        <f t="shared" si="33"/>
        <v>161.78</v>
      </c>
      <c r="U84" s="37">
        <f t="shared" si="34"/>
        <v>164.56</v>
      </c>
      <c r="V84" s="37">
        <f t="shared" si="35"/>
        <v>167.4</v>
      </c>
      <c r="W84" s="37">
        <f t="shared" si="36"/>
        <v>170.29</v>
      </c>
      <c r="X84" s="25"/>
      <c r="Y84" s="38">
        <v>170.17</v>
      </c>
      <c r="Z84" s="25">
        <f t="shared" si="37"/>
        <v>170.17</v>
      </c>
      <c r="AA84" s="25">
        <f t="shared" si="37"/>
        <v>161.78</v>
      </c>
      <c r="AC84" s="25">
        <f t="shared" si="38"/>
        <v>170.17</v>
      </c>
      <c r="AD84" s="25">
        <v>0</v>
      </c>
    </row>
    <row r="85" spans="1:30" x14ac:dyDescent="0.25">
      <c r="A85" s="30" t="s">
        <v>150</v>
      </c>
      <c r="B85" s="30" t="s">
        <v>730</v>
      </c>
      <c r="C85" s="27">
        <v>177.6</v>
      </c>
      <c r="D85" s="28" t="str">
        <f t="shared" si="25"/>
        <v>Yes</v>
      </c>
      <c r="E85" s="28" t="s">
        <v>653</v>
      </c>
      <c r="F85" s="11">
        <v>8.6999999999999993</v>
      </c>
      <c r="G85" s="11">
        <v>0</v>
      </c>
      <c r="H85" s="37">
        <f t="shared" si="26"/>
        <v>177.6</v>
      </c>
      <c r="I85" s="37">
        <f t="shared" si="27"/>
        <v>179.97561847237296</v>
      </c>
      <c r="J85" s="37">
        <f t="shared" si="28"/>
        <v>183.07800665134229</v>
      </c>
      <c r="K85" s="37">
        <f t="shared" si="29"/>
        <v>186.23387325419318</v>
      </c>
      <c r="L85" s="37">
        <f t="shared" si="30"/>
        <v>189.44414013262693</v>
      </c>
      <c r="M85" s="25">
        <f t="shared" si="31"/>
        <v>-8.6999999999999993</v>
      </c>
      <c r="N85" s="25">
        <f t="shared" si="31"/>
        <v>-8.6999999999999993</v>
      </c>
      <c r="O85" s="25">
        <f t="shared" si="24"/>
        <v>-8.6999999999999993</v>
      </c>
      <c r="P85" s="25">
        <f t="shared" si="24"/>
        <v>-8.6999999999999993</v>
      </c>
      <c r="Q85" s="25">
        <f t="shared" si="24"/>
        <v>-8.6999999999999993</v>
      </c>
      <c r="R85" s="38">
        <v>185.1</v>
      </c>
      <c r="S85" s="37">
        <f t="shared" si="32"/>
        <v>168.9</v>
      </c>
      <c r="T85" s="37">
        <f t="shared" si="33"/>
        <v>171.28</v>
      </c>
      <c r="U85" s="37">
        <f t="shared" si="34"/>
        <v>174.38</v>
      </c>
      <c r="V85" s="37">
        <f t="shared" si="35"/>
        <v>177.53</v>
      </c>
      <c r="W85" s="37">
        <f t="shared" si="36"/>
        <v>180.74</v>
      </c>
      <c r="X85" s="25"/>
      <c r="Y85" s="38">
        <v>185.1</v>
      </c>
      <c r="Z85" s="25">
        <f t="shared" si="37"/>
        <v>185.1</v>
      </c>
      <c r="AA85" s="25">
        <f t="shared" si="37"/>
        <v>171.28</v>
      </c>
      <c r="AC85" s="25">
        <f t="shared" si="38"/>
        <v>199</v>
      </c>
      <c r="AD85" s="25">
        <v>-13.9</v>
      </c>
    </row>
    <row r="86" spans="1:30" x14ac:dyDescent="0.25">
      <c r="A86" s="30" t="s">
        <v>152</v>
      </c>
      <c r="B86" s="30" t="s">
        <v>731</v>
      </c>
      <c r="C86" s="27">
        <v>164.45</v>
      </c>
      <c r="D86" s="28" t="str">
        <f t="shared" si="25"/>
        <v>Yes</v>
      </c>
      <c r="E86" s="28" t="s">
        <v>655</v>
      </c>
      <c r="F86" s="11">
        <v>0</v>
      </c>
      <c r="G86" s="11">
        <v>116.31</v>
      </c>
      <c r="H86" s="37">
        <f t="shared" si="26"/>
        <v>164.45</v>
      </c>
      <c r="I86" s="37">
        <f t="shared" si="27"/>
        <v>166.64972104606829</v>
      </c>
      <c r="J86" s="37">
        <f t="shared" si="28"/>
        <v>169.5223997399394</v>
      </c>
      <c r="K86" s="37">
        <f t="shared" si="29"/>
        <v>172.4445971658337</v>
      </c>
      <c r="L86" s="37">
        <f t="shared" si="30"/>
        <v>175.41716691897798</v>
      </c>
      <c r="M86" s="25">
        <f t="shared" si="31"/>
        <v>116.31</v>
      </c>
      <c r="N86" s="25">
        <f t="shared" si="31"/>
        <v>116.31</v>
      </c>
      <c r="O86" s="25">
        <f t="shared" si="24"/>
        <v>116.31</v>
      </c>
      <c r="P86" s="25">
        <f t="shared" si="24"/>
        <v>116.31</v>
      </c>
      <c r="Q86" s="25">
        <f t="shared" si="24"/>
        <v>116.31</v>
      </c>
      <c r="R86" s="38">
        <v>284.89999999999998</v>
      </c>
      <c r="S86" s="37">
        <f t="shared" si="32"/>
        <v>280.76</v>
      </c>
      <c r="T86" s="37">
        <f t="shared" si="33"/>
        <v>282.95999999999998</v>
      </c>
      <c r="U86" s="37">
        <f t="shared" si="34"/>
        <v>285.83</v>
      </c>
      <c r="V86" s="37">
        <f t="shared" si="35"/>
        <v>288.75</v>
      </c>
      <c r="W86" s="37">
        <f t="shared" si="36"/>
        <v>291.73</v>
      </c>
      <c r="X86" s="25"/>
      <c r="Y86" s="38">
        <v>284.89999999999998</v>
      </c>
      <c r="Z86" s="25">
        <f t="shared" si="37"/>
        <v>284.89999999999998</v>
      </c>
      <c r="AA86" s="25">
        <f t="shared" si="37"/>
        <v>282.95999999999998</v>
      </c>
      <c r="AC86" s="25">
        <f t="shared" si="38"/>
        <v>167.49999999999997</v>
      </c>
      <c r="AD86" s="25">
        <v>117.4</v>
      </c>
    </row>
    <row r="87" spans="1:30" x14ac:dyDescent="0.25">
      <c r="A87" s="30" t="s">
        <v>154</v>
      </c>
      <c r="B87" s="30" t="s">
        <v>732</v>
      </c>
      <c r="C87" s="27">
        <v>54</v>
      </c>
      <c r="D87" s="28" t="str">
        <f t="shared" si="25"/>
        <v>No</v>
      </c>
      <c r="E87" s="28" t="s">
        <v>655</v>
      </c>
      <c r="F87" s="11">
        <v>0</v>
      </c>
      <c r="G87" s="11">
        <v>19.329999999999998</v>
      </c>
      <c r="H87" s="37">
        <f t="shared" si="26"/>
        <v>54</v>
      </c>
      <c r="I87" s="37">
        <f t="shared" si="27"/>
        <v>54</v>
      </c>
      <c r="J87" s="37">
        <f t="shared" si="28"/>
        <v>54</v>
      </c>
      <c r="K87" s="37">
        <f t="shared" si="29"/>
        <v>54</v>
      </c>
      <c r="L87" s="37">
        <f t="shared" si="30"/>
        <v>54</v>
      </c>
      <c r="M87" s="25">
        <f t="shared" si="31"/>
        <v>19.329999999999998</v>
      </c>
      <c r="N87" s="25">
        <f t="shared" si="31"/>
        <v>19.329999999999998</v>
      </c>
      <c r="O87" s="25">
        <f t="shared" si="24"/>
        <v>19.329999999999998</v>
      </c>
      <c r="P87" s="25">
        <f t="shared" si="24"/>
        <v>19.329999999999998</v>
      </c>
      <c r="Q87" s="25">
        <f t="shared" si="24"/>
        <v>19.329999999999998</v>
      </c>
      <c r="R87" s="38">
        <v>82.78</v>
      </c>
      <c r="S87" s="37">
        <f t="shared" si="32"/>
        <v>73.33</v>
      </c>
      <c r="T87" s="37">
        <f t="shared" si="33"/>
        <v>73.33</v>
      </c>
      <c r="U87" s="37">
        <f t="shared" si="34"/>
        <v>73.33</v>
      </c>
      <c r="V87" s="37">
        <f t="shared" si="35"/>
        <v>73.33</v>
      </c>
      <c r="W87" s="37">
        <f t="shared" si="36"/>
        <v>73.33</v>
      </c>
      <c r="X87" s="25"/>
      <c r="Y87" s="38">
        <v>82.78</v>
      </c>
      <c r="Z87" s="25">
        <f t="shared" si="37"/>
        <v>82.78</v>
      </c>
      <c r="AA87" s="25">
        <f t="shared" si="37"/>
        <v>73.33</v>
      </c>
      <c r="AC87" s="25">
        <f t="shared" si="38"/>
        <v>59.43</v>
      </c>
      <c r="AD87" s="25">
        <v>23.35</v>
      </c>
    </row>
    <row r="88" spans="1:30" x14ac:dyDescent="0.25">
      <c r="A88" s="30" t="s">
        <v>156</v>
      </c>
      <c r="B88" s="30" t="s">
        <v>733</v>
      </c>
      <c r="C88" s="27">
        <v>156.03</v>
      </c>
      <c r="D88" s="28" t="str">
        <f t="shared" si="25"/>
        <v>Yes</v>
      </c>
      <c r="E88" s="28" t="s">
        <v>653</v>
      </c>
      <c r="F88" s="11">
        <v>0</v>
      </c>
      <c r="G88" s="11">
        <v>0</v>
      </c>
      <c r="H88" s="37">
        <f t="shared" si="26"/>
        <v>156.03</v>
      </c>
      <c r="I88" s="37">
        <f t="shared" si="27"/>
        <v>158.11709318831279</v>
      </c>
      <c r="J88" s="37">
        <f t="shared" si="28"/>
        <v>160.84268793811339</v>
      </c>
      <c r="K88" s="37">
        <f t="shared" si="29"/>
        <v>163.61526601267883</v>
      </c>
      <c r="L88" s="37">
        <f t="shared" si="30"/>
        <v>166.43563730232981</v>
      </c>
      <c r="M88" s="25">
        <f t="shared" si="31"/>
        <v>0</v>
      </c>
      <c r="N88" s="25">
        <f t="shared" si="31"/>
        <v>0</v>
      </c>
      <c r="O88" s="25">
        <f t="shared" si="24"/>
        <v>0</v>
      </c>
      <c r="P88" s="25">
        <f t="shared" si="24"/>
        <v>0</v>
      </c>
      <c r="Q88" s="25">
        <f t="shared" si="24"/>
        <v>0</v>
      </c>
      <c r="R88" s="38">
        <v>154.03</v>
      </c>
      <c r="S88" s="37">
        <f t="shared" si="32"/>
        <v>156.03</v>
      </c>
      <c r="T88" s="37">
        <f t="shared" si="33"/>
        <v>158.12</v>
      </c>
      <c r="U88" s="37">
        <f t="shared" si="34"/>
        <v>160.84</v>
      </c>
      <c r="V88" s="37">
        <f t="shared" si="35"/>
        <v>163.62</v>
      </c>
      <c r="W88" s="37">
        <f t="shared" si="36"/>
        <v>166.44</v>
      </c>
      <c r="X88" s="25"/>
      <c r="Y88" s="38">
        <v>154.03</v>
      </c>
      <c r="Z88" s="25">
        <f t="shared" si="37"/>
        <v>156.03</v>
      </c>
      <c r="AA88" s="25">
        <f t="shared" si="37"/>
        <v>158.12</v>
      </c>
      <c r="AC88" s="25">
        <f t="shared" si="38"/>
        <v>154.03</v>
      </c>
      <c r="AD88" s="25">
        <v>0</v>
      </c>
    </row>
    <row r="89" spans="1:30" x14ac:dyDescent="0.25">
      <c r="A89" s="30" t="s">
        <v>158</v>
      </c>
      <c r="B89" s="30" t="s">
        <v>734</v>
      </c>
      <c r="C89" s="27">
        <v>560.64</v>
      </c>
      <c r="D89" s="28" t="str">
        <f t="shared" si="25"/>
        <v>Yes</v>
      </c>
      <c r="E89" s="28" t="s">
        <v>653</v>
      </c>
      <c r="F89" s="11">
        <v>0</v>
      </c>
      <c r="G89" s="11">
        <v>0</v>
      </c>
      <c r="H89" s="37">
        <f t="shared" si="26"/>
        <v>560.64</v>
      </c>
      <c r="I89" s="37">
        <f t="shared" si="27"/>
        <v>568.13924966413947</v>
      </c>
      <c r="J89" s="37">
        <f t="shared" si="28"/>
        <v>577.9327345101832</v>
      </c>
      <c r="K89" s="37">
        <f t="shared" si="29"/>
        <v>587.89503773215574</v>
      </c>
      <c r="L89" s="37">
        <f t="shared" si="30"/>
        <v>598.02906939164382</v>
      </c>
      <c r="M89" s="25">
        <f t="shared" si="31"/>
        <v>0</v>
      </c>
      <c r="N89" s="25">
        <f t="shared" si="31"/>
        <v>0</v>
      </c>
      <c r="O89" s="25">
        <f t="shared" si="24"/>
        <v>0</v>
      </c>
      <c r="P89" s="25">
        <f t="shared" si="24"/>
        <v>0</v>
      </c>
      <c r="Q89" s="25">
        <f t="shared" si="24"/>
        <v>0</v>
      </c>
      <c r="R89" s="38">
        <v>612.74</v>
      </c>
      <c r="S89" s="37">
        <f t="shared" si="32"/>
        <v>560.64</v>
      </c>
      <c r="T89" s="37">
        <f t="shared" si="33"/>
        <v>568.14</v>
      </c>
      <c r="U89" s="37">
        <f t="shared" si="34"/>
        <v>577.92999999999995</v>
      </c>
      <c r="V89" s="37">
        <f t="shared" si="35"/>
        <v>587.9</v>
      </c>
      <c r="W89" s="37">
        <f t="shared" si="36"/>
        <v>598.03</v>
      </c>
      <c r="X89" s="25"/>
      <c r="Y89" s="38">
        <v>612.74</v>
      </c>
      <c r="Z89" s="25">
        <f t="shared" si="37"/>
        <v>612.74</v>
      </c>
      <c r="AA89" s="25">
        <f t="shared" si="37"/>
        <v>568.14</v>
      </c>
      <c r="AC89" s="25">
        <f t="shared" si="38"/>
        <v>612.74</v>
      </c>
      <c r="AD89" s="25">
        <v>0</v>
      </c>
    </row>
    <row r="90" spans="1:30" x14ac:dyDescent="0.25">
      <c r="A90" s="30" t="s">
        <v>160</v>
      </c>
      <c r="B90" s="30" t="s">
        <v>735</v>
      </c>
      <c r="C90" s="27">
        <v>323.89999999999998</v>
      </c>
      <c r="D90" s="28" t="str">
        <f t="shared" si="25"/>
        <v>Yes</v>
      </c>
      <c r="E90" s="28" t="s">
        <v>653</v>
      </c>
      <c r="F90" s="11">
        <v>0</v>
      </c>
      <c r="G90" s="11">
        <v>0</v>
      </c>
      <c r="H90" s="37">
        <f t="shared" si="26"/>
        <v>323.89999999999998</v>
      </c>
      <c r="I90" s="37">
        <f t="shared" si="27"/>
        <v>328.2325609414504</v>
      </c>
      <c r="J90" s="37">
        <f t="shared" si="28"/>
        <v>333.89057631964954</v>
      </c>
      <c r="K90" s="37">
        <f t="shared" si="29"/>
        <v>339.64612357563715</v>
      </c>
      <c r="L90" s="37">
        <f t="shared" si="30"/>
        <v>345.50088394683468</v>
      </c>
      <c r="M90" s="25">
        <f t="shared" si="31"/>
        <v>0</v>
      </c>
      <c r="N90" s="25">
        <f t="shared" si="31"/>
        <v>0</v>
      </c>
      <c r="O90" s="25">
        <f t="shared" si="24"/>
        <v>0</v>
      </c>
      <c r="P90" s="25">
        <f t="shared" si="24"/>
        <v>0</v>
      </c>
      <c r="Q90" s="25">
        <f t="shared" si="24"/>
        <v>0</v>
      </c>
      <c r="R90" s="38">
        <v>282.11</v>
      </c>
      <c r="S90" s="37">
        <f t="shared" si="32"/>
        <v>323.89999999999998</v>
      </c>
      <c r="T90" s="37">
        <f t="shared" si="33"/>
        <v>328.23</v>
      </c>
      <c r="U90" s="37">
        <f t="shared" si="34"/>
        <v>333.89</v>
      </c>
      <c r="V90" s="37">
        <f t="shared" si="35"/>
        <v>339.65</v>
      </c>
      <c r="W90" s="37">
        <f t="shared" si="36"/>
        <v>345.5</v>
      </c>
      <c r="X90" s="25"/>
      <c r="Y90" s="38">
        <v>282.11</v>
      </c>
      <c r="Z90" s="25">
        <f t="shared" si="37"/>
        <v>323.89999999999998</v>
      </c>
      <c r="AA90" s="25">
        <f t="shared" si="37"/>
        <v>328.23</v>
      </c>
      <c r="AC90" s="25">
        <f t="shared" si="38"/>
        <v>282.11</v>
      </c>
      <c r="AD90" s="25">
        <v>0</v>
      </c>
    </row>
    <row r="91" spans="1:30" x14ac:dyDescent="0.25">
      <c r="A91" s="30" t="s">
        <v>162</v>
      </c>
      <c r="B91" s="30" t="s">
        <v>736</v>
      </c>
      <c r="C91" s="27">
        <v>5472.72</v>
      </c>
      <c r="D91" s="28" t="str">
        <f t="shared" si="25"/>
        <v>Yes</v>
      </c>
      <c r="E91" s="28" t="s">
        <v>653</v>
      </c>
      <c r="F91" s="11">
        <v>0</v>
      </c>
      <c r="G91" s="11">
        <v>0</v>
      </c>
      <c r="H91" s="37">
        <f t="shared" si="26"/>
        <v>5472.72</v>
      </c>
      <c r="I91" s="37">
        <f t="shared" si="27"/>
        <v>5545.9243621966498</v>
      </c>
      <c r="J91" s="37">
        <f t="shared" si="28"/>
        <v>5641.5240346899445</v>
      </c>
      <c r="K91" s="37">
        <f t="shared" si="29"/>
        <v>5738.7716375883347</v>
      </c>
      <c r="L91" s="37">
        <f t="shared" si="30"/>
        <v>5837.6955776274217</v>
      </c>
      <c r="M91" s="25">
        <f t="shared" si="31"/>
        <v>0</v>
      </c>
      <c r="N91" s="25">
        <f t="shared" si="31"/>
        <v>0</v>
      </c>
      <c r="O91" s="25">
        <f t="shared" si="24"/>
        <v>0</v>
      </c>
      <c r="P91" s="25">
        <f t="shared" si="24"/>
        <v>0</v>
      </c>
      <c r="Q91" s="25">
        <f t="shared" si="24"/>
        <v>0</v>
      </c>
      <c r="R91" s="38">
        <v>5852.78</v>
      </c>
      <c r="S91" s="37">
        <f t="shared" si="32"/>
        <v>5472.72</v>
      </c>
      <c r="T91" s="37">
        <f t="shared" si="33"/>
        <v>5545.92</v>
      </c>
      <c r="U91" s="37">
        <f t="shared" si="34"/>
        <v>5641.52</v>
      </c>
      <c r="V91" s="37">
        <f t="shared" si="35"/>
        <v>5738.77</v>
      </c>
      <c r="W91" s="37">
        <f t="shared" si="36"/>
        <v>5837.7</v>
      </c>
      <c r="X91" s="25"/>
      <c r="Y91" s="38">
        <v>5852.78</v>
      </c>
      <c r="Z91" s="25">
        <f t="shared" si="37"/>
        <v>5852.78</v>
      </c>
      <c r="AA91" s="25">
        <f t="shared" si="37"/>
        <v>5545.92</v>
      </c>
      <c r="AC91" s="25">
        <f t="shared" si="38"/>
        <v>5852.78</v>
      </c>
      <c r="AD91" s="25">
        <v>0</v>
      </c>
    </row>
    <row r="92" spans="1:30" x14ac:dyDescent="0.25">
      <c r="A92" s="30" t="s">
        <v>164</v>
      </c>
      <c r="B92" s="30" t="s">
        <v>737</v>
      </c>
      <c r="C92" s="27">
        <v>966.85</v>
      </c>
      <c r="D92" s="28" t="str">
        <f t="shared" si="25"/>
        <v>Yes</v>
      </c>
      <c r="E92" s="28" t="s">
        <v>653</v>
      </c>
      <c r="F92" s="11">
        <v>0</v>
      </c>
      <c r="G92" s="11">
        <v>0</v>
      </c>
      <c r="H92" s="37">
        <f t="shared" si="26"/>
        <v>966.85</v>
      </c>
      <c r="I92" s="37">
        <f t="shared" si="27"/>
        <v>979.7828081081858</v>
      </c>
      <c r="J92" s="37">
        <f t="shared" si="28"/>
        <v>996.67213249352653</v>
      </c>
      <c r="K92" s="37">
        <f t="shared" si="29"/>
        <v>1013.8525920935625</v>
      </c>
      <c r="L92" s="37">
        <f t="shared" si="30"/>
        <v>1031.3292054461169</v>
      </c>
      <c r="M92" s="25">
        <f t="shared" si="31"/>
        <v>0</v>
      </c>
      <c r="N92" s="25">
        <f t="shared" si="31"/>
        <v>0</v>
      </c>
      <c r="O92" s="25">
        <f t="shared" si="24"/>
        <v>0</v>
      </c>
      <c r="P92" s="25">
        <f t="shared" si="24"/>
        <v>0</v>
      </c>
      <c r="Q92" s="25">
        <f t="shared" si="24"/>
        <v>0</v>
      </c>
      <c r="R92" s="38">
        <v>1021.86</v>
      </c>
      <c r="S92" s="37">
        <f t="shared" si="32"/>
        <v>966.85</v>
      </c>
      <c r="T92" s="37">
        <f t="shared" si="33"/>
        <v>979.78</v>
      </c>
      <c r="U92" s="37">
        <f t="shared" si="34"/>
        <v>996.67</v>
      </c>
      <c r="V92" s="37">
        <f t="shared" si="35"/>
        <v>1013.85</v>
      </c>
      <c r="W92" s="37">
        <f t="shared" si="36"/>
        <v>1031.33</v>
      </c>
      <c r="X92" s="25"/>
      <c r="Y92" s="38">
        <v>1021.86</v>
      </c>
      <c r="Z92" s="25">
        <f t="shared" si="37"/>
        <v>1021.86</v>
      </c>
      <c r="AA92" s="25">
        <f t="shared" si="37"/>
        <v>979.78</v>
      </c>
      <c r="AC92" s="25">
        <f t="shared" si="38"/>
        <v>1021.86</v>
      </c>
      <c r="AD92" s="25">
        <v>0</v>
      </c>
    </row>
    <row r="93" spans="1:30" x14ac:dyDescent="0.25">
      <c r="A93" s="30" t="s">
        <v>166</v>
      </c>
      <c r="B93" s="30" t="s">
        <v>738</v>
      </c>
      <c r="C93" s="27">
        <v>1191.45</v>
      </c>
      <c r="D93" s="28" t="str">
        <f t="shared" si="25"/>
        <v>Yes</v>
      </c>
      <c r="E93" s="28" t="s">
        <v>653</v>
      </c>
      <c r="F93" s="11">
        <v>0</v>
      </c>
      <c r="G93" s="11">
        <v>0</v>
      </c>
      <c r="H93" s="37">
        <f t="shared" si="26"/>
        <v>1191.45</v>
      </c>
      <c r="I93" s="37">
        <f t="shared" si="27"/>
        <v>1207.3871093970088</v>
      </c>
      <c r="J93" s="37">
        <f t="shared" si="28"/>
        <v>1228.1998368510235</v>
      </c>
      <c r="K93" s="37">
        <f t="shared" si="29"/>
        <v>1249.3713304544397</v>
      </c>
      <c r="L93" s="37">
        <f t="shared" si="30"/>
        <v>1270.9077745552836</v>
      </c>
      <c r="M93" s="25">
        <f t="shared" si="31"/>
        <v>0</v>
      </c>
      <c r="N93" s="25">
        <f t="shared" si="31"/>
        <v>0</v>
      </c>
      <c r="O93" s="25">
        <f t="shared" si="24"/>
        <v>0</v>
      </c>
      <c r="P93" s="25">
        <f t="shared" si="24"/>
        <v>0</v>
      </c>
      <c r="Q93" s="25">
        <f t="shared" si="24"/>
        <v>0</v>
      </c>
      <c r="R93" s="38">
        <v>1282.49</v>
      </c>
      <c r="S93" s="37">
        <f t="shared" si="32"/>
        <v>1191.45</v>
      </c>
      <c r="T93" s="37">
        <f t="shared" si="33"/>
        <v>1207.3900000000001</v>
      </c>
      <c r="U93" s="37">
        <f t="shared" si="34"/>
        <v>1228.2</v>
      </c>
      <c r="V93" s="37">
        <f t="shared" si="35"/>
        <v>1249.3699999999999</v>
      </c>
      <c r="W93" s="37">
        <f t="shared" si="36"/>
        <v>1270.9100000000001</v>
      </c>
      <c r="X93" s="25"/>
      <c r="Y93" s="38">
        <v>1282.49</v>
      </c>
      <c r="Z93" s="25">
        <f t="shared" si="37"/>
        <v>1282.49</v>
      </c>
      <c r="AA93" s="25">
        <f t="shared" si="37"/>
        <v>1207.3900000000001</v>
      </c>
      <c r="AC93" s="25">
        <f t="shared" si="38"/>
        <v>1282.49</v>
      </c>
      <c r="AD93" s="25">
        <v>0</v>
      </c>
    </row>
    <row r="94" spans="1:30" x14ac:dyDescent="0.25">
      <c r="A94" s="30" t="s">
        <v>168</v>
      </c>
      <c r="B94" s="30" t="s">
        <v>739</v>
      </c>
      <c r="C94" s="27">
        <v>50.4</v>
      </c>
      <c r="D94" s="28" t="str">
        <f t="shared" si="25"/>
        <v>No</v>
      </c>
      <c r="E94" s="28" t="s">
        <v>655</v>
      </c>
      <c r="F94" s="11">
        <v>0</v>
      </c>
      <c r="G94" s="11">
        <v>8.6999999999999993</v>
      </c>
      <c r="H94" s="37">
        <f t="shared" si="26"/>
        <v>50.4</v>
      </c>
      <c r="I94" s="37">
        <f t="shared" si="27"/>
        <v>50.4</v>
      </c>
      <c r="J94" s="37">
        <f t="shared" si="28"/>
        <v>50.4</v>
      </c>
      <c r="K94" s="37">
        <f t="shared" si="29"/>
        <v>50.4</v>
      </c>
      <c r="L94" s="37">
        <f t="shared" si="30"/>
        <v>50.4</v>
      </c>
      <c r="M94" s="25">
        <f t="shared" si="31"/>
        <v>8.6999999999999993</v>
      </c>
      <c r="N94" s="25">
        <f t="shared" si="31"/>
        <v>8.6999999999999993</v>
      </c>
      <c r="O94" s="25">
        <f t="shared" si="24"/>
        <v>8.6999999999999993</v>
      </c>
      <c r="P94" s="25">
        <f t="shared" si="24"/>
        <v>8.6999999999999993</v>
      </c>
      <c r="Q94" s="25">
        <f t="shared" si="24"/>
        <v>8.6999999999999993</v>
      </c>
      <c r="R94" s="38">
        <v>38.75</v>
      </c>
      <c r="S94" s="37">
        <f t="shared" si="32"/>
        <v>59.1</v>
      </c>
      <c r="T94" s="37">
        <f t="shared" si="33"/>
        <v>59.1</v>
      </c>
      <c r="U94" s="37">
        <f t="shared" si="34"/>
        <v>59.1</v>
      </c>
      <c r="V94" s="37">
        <f t="shared" si="35"/>
        <v>59.1</v>
      </c>
      <c r="W94" s="37">
        <f t="shared" si="36"/>
        <v>59.1</v>
      </c>
      <c r="X94" s="25"/>
      <c r="Y94" s="38">
        <v>38.75</v>
      </c>
      <c r="Z94" s="25">
        <f t="shared" si="37"/>
        <v>59.1</v>
      </c>
      <c r="AA94" s="25">
        <f t="shared" si="37"/>
        <v>59.1</v>
      </c>
      <c r="AC94" s="25">
        <f t="shared" si="38"/>
        <v>24.85</v>
      </c>
      <c r="AD94" s="25">
        <v>13.9</v>
      </c>
    </row>
    <row r="95" spans="1:30" x14ac:dyDescent="0.25">
      <c r="A95" s="30" t="s">
        <v>170</v>
      </c>
      <c r="B95" s="30" t="s">
        <v>740</v>
      </c>
      <c r="C95" s="27">
        <v>71.260000000000005</v>
      </c>
      <c r="D95" s="28" t="str">
        <f t="shared" si="25"/>
        <v>No</v>
      </c>
      <c r="E95" s="28" t="s">
        <v>655</v>
      </c>
      <c r="F95" s="11">
        <v>0</v>
      </c>
      <c r="G95" s="11">
        <v>31.96</v>
      </c>
      <c r="H95" s="37">
        <f t="shared" si="26"/>
        <v>71.260000000000005</v>
      </c>
      <c r="I95" s="37">
        <f t="shared" si="27"/>
        <v>71.260000000000005</v>
      </c>
      <c r="J95" s="37">
        <f t="shared" si="28"/>
        <v>71.260000000000005</v>
      </c>
      <c r="K95" s="37">
        <f t="shared" si="29"/>
        <v>71.260000000000005</v>
      </c>
      <c r="L95" s="37">
        <f t="shared" si="30"/>
        <v>71.260000000000005</v>
      </c>
      <c r="M95" s="25">
        <f t="shared" si="31"/>
        <v>31.96</v>
      </c>
      <c r="N95" s="25">
        <f t="shared" si="31"/>
        <v>31.96</v>
      </c>
      <c r="O95" s="25">
        <f t="shared" si="24"/>
        <v>31.96</v>
      </c>
      <c r="P95" s="25">
        <f t="shared" si="24"/>
        <v>31.96</v>
      </c>
      <c r="Q95" s="25">
        <f t="shared" si="24"/>
        <v>31.96</v>
      </c>
      <c r="R95" s="38">
        <v>94.6</v>
      </c>
      <c r="S95" s="37">
        <f t="shared" si="32"/>
        <v>103.22</v>
      </c>
      <c r="T95" s="37">
        <f t="shared" si="33"/>
        <v>103.22</v>
      </c>
      <c r="U95" s="37">
        <f t="shared" si="34"/>
        <v>103.22</v>
      </c>
      <c r="V95" s="37">
        <f t="shared" si="35"/>
        <v>103.22</v>
      </c>
      <c r="W95" s="37">
        <f t="shared" si="36"/>
        <v>103.22</v>
      </c>
      <c r="X95" s="25"/>
      <c r="Y95" s="38">
        <v>94.6</v>
      </c>
      <c r="Z95" s="25">
        <f t="shared" si="37"/>
        <v>103.22</v>
      </c>
      <c r="AA95" s="25">
        <f t="shared" si="37"/>
        <v>103.22</v>
      </c>
      <c r="AC95" s="25">
        <f t="shared" si="38"/>
        <v>68.839999999999989</v>
      </c>
      <c r="AD95" s="25">
        <v>25.76</v>
      </c>
    </row>
    <row r="96" spans="1:30" x14ac:dyDescent="0.25">
      <c r="A96" s="30" t="s">
        <v>172</v>
      </c>
      <c r="B96" s="30" t="s">
        <v>741</v>
      </c>
      <c r="C96" s="27">
        <v>646.09</v>
      </c>
      <c r="D96" s="28" t="str">
        <f t="shared" si="25"/>
        <v>Yes</v>
      </c>
      <c r="E96" s="28" t="s">
        <v>653</v>
      </c>
      <c r="F96" s="11">
        <v>28.96</v>
      </c>
      <c r="G96" s="11">
        <v>0</v>
      </c>
      <c r="H96" s="37">
        <f t="shared" si="26"/>
        <v>646.09</v>
      </c>
      <c r="I96" s="37">
        <f t="shared" si="27"/>
        <v>654.7322485293663</v>
      </c>
      <c r="J96" s="37">
        <f t="shared" si="28"/>
        <v>666.01840831850086</v>
      </c>
      <c r="K96" s="37">
        <f t="shared" si="29"/>
        <v>677.49911695271214</v>
      </c>
      <c r="L96" s="37">
        <f t="shared" si="30"/>
        <v>689.17772803090611</v>
      </c>
      <c r="M96" s="25">
        <f t="shared" si="31"/>
        <v>-28.96</v>
      </c>
      <c r="N96" s="25">
        <f t="shared" si="31"/>
        <v>-28.96</v>
      </c>
      <c r="O96" s="25">
        <f t="shared" si="24"/>
        <v>-28.96</v>
      </c>
      <c r="P96" s="25">
        <f t="shared" si="24"/>
        <v>-28.96</v>
      </c>
      <c r="Q96" s="25">
        <f t="shared" si="24"/>
        <v>-28.96</v>
      </c>
      <c r="R96" s="38">
        <v>627.55999999999995</v>
      </c>
      <c r="S96" s="37">
        <f t="shared" si="32"/>
        <v>617.13</v>
      </c>
      <c r="T96" s="37">
        <f t="shared" si="33"/>
        <v>625.77</v>
      </c>
      <c r="U96" s="37">
        <f t="shared" si="34"/>
        <v>637.05999999999995</v>
      </c>
      <c r="V96" s="37">
        <f t="shared" si="35"/>
        <v>648.54</v>
      </c>
      <c r="W96" s="37">
        <f t="shared" si="36"/>
        <v>660.22</v>
      </c>
      <c r="X96" s="25"/>
      <c r="Y96" s="38">
        <v>627.55999999999995</v>
      </c>
      <c r="Z96" s="25">
        <f t="shared" si="37"/>
        <v>627.55999999999995</v>
      </c>
      <c r="AA96" s="25">
        <f t="shared" si="37"/>
        <v>625.77</v>
      </c>
      <c r="AC96" s="25">
        <f t="shared" si="38"/>
        <v>651.31999999999994</v>
      </c>
      <c r="AD96" s="25">
        <v>-23.76</v>
      </c>
    </row>
    <row r="97" spans="1:30" x14ac:dyDescent="0.25">
      <c r="A97" s="30" t="s">
        <v>174</v>
      </c>
      <c r="B97" s="30" t="s">
        <v>742</v>
      </c>
      <c r="C97" s="27">
        <v>673.74</v>
      </c>
      <c r="D97" s="28" t="str">
        <f t="shared" si="25"/>
        <v>Yes</v>
      </c>
      <c r="E97" s="28" t="s">
        <v>653</v>
      </c>
      <c r="F97" s="11">
        <v>2</v>
      </c>
      <c r="G97" s="11">
        <v>0</v>
      </c>
      <c r="H97" s="37">
        <f t="shared" si="26"/>
        <v>673.74</v>
      </c>
      <c r="I97" s="37">
        <f t="shared" si="27"/>
        <v>682.75210129266077</v>
      </c>
      <c r="J97" s="37">
        <f t="shared" si="28"/>
        <v>694.52126239456845</v>
      </c>
      <c r="K97" s="37">
        <f t="shared" si="29"/>
        <v>706.49329823355924</v>
      </c>
      <c r="L97" s="37">
        <f t="shared" si="30"/>
        <v>718.67170592880666</v>
      </c>
      <c r="M97" s="25">
        <f t="shared" si="31"/>
        <v>-2</v>
      </c>
      <c r="N97" s="25">
        <f t="shared" si="31"/>
        <v>-2</v>
      </c>
      <c r="O97" s="25">
        <f t="shared" si="24"/>
        <v>-2</v>
      </c>
      <c r="P97" s="25">
        <f t="shared" si="24"/>
        <v>-2</v>
      </c>
      <c r="Q97" s="25">
        <f t="shared" si="24"/>
        <v>-2</v>
      </c>
      <c r="R97" s="38">
        <v>794.38</v>
      </c>
      <c r="S97" s="37">
        <f t="shared" si="32"/>
        <v>671.74</v>
      </c>
      <c r="T97" s="37">
        <f t="shared" si="33"/>
        <v>680.75</v>
      </c>
      <c r="U97" s="37">
        <f t="shared" si="34"/>
        <v>692.52</v>
      </c>
      <c r="V97" s="37">
        <f t="shared" si="35"/>
        <v>704.49</v>
      </c>
      <c r="W97" s="37">
        <f t="shared" si="36"/>
        <v>716.67</v>
      </c>
      <c r="X97" s="25"/>
      <c r="Y97" s="38">
        <v>794.38</v>
      </c>
      <c r="Z97" s="25">
        <f t="shared" si="37"/>
        <v>794.38</v>
      </c>
      <c r="AA97" s="25">
        <f t="shared" si="37"/>
        <v>680.75</v>
      </c>
      <c r="AC97" s="25">
        <f t="shared" si="38"/>
        <v>796.38</v>
      </c>
      <c r="AD97" s="25">
        <v>-2</v>
      </c>
    </row>
    <row r="98" spans="1:30" x14ac:dyDescent="0.25">
      <c r="A98" s="30" t="s">
        <v>176</v>
      </c>
      <c r="B98" s="30" t="s">
        <v>743</v>
      </c>
      <c r="C98" s="27">
        <v>1163.7</v>
      </c>
      <c r="D98" s="28" t="str">
        <f t="shared" si="25"/>
        <v>Yes</v>
      </c>
      <c r="E98" s="28" t="s">
        <v>653</v>
      </c>
      <c r="F98" s="11">
        <v>1</v>
      </c>
      <c r="G98" s="11">
        <v>0</v>
      </c>
      <c r="H98" s="37">
        <f t="shared" si="26"/>
        <v>1163.7</v>
      </c>
      <c r="I98" s="37">
        <f t="shared" si="27"/>
        <v>1179.2659190107006</v>
      </c>
      <c r="J98" s="37">
        <f t="shared" si="28"/>
        <v>1199.5938983117514</v>
      </c>
      <c r="K98" s="37">
        <f t="shared" si="29"/>
        <v>1220.272287758472</v>
      </c>
      <c r="L98" s="37">
        <f t="shared" si="30"/>
        <v>1241.3071276595606</v>
      </c>
      <c r="M98" s="25">
        <f t="shared" si="31"/>
        <v>-1</v>
      </c>
      <c r="N98" s="25">
        <f t="shared" si="31"/>
        <v>-1</v>
      </c>
      <c r="O98" s="25">
        <f t="shared" si="24"/>
        <v>-1</v>
      </c>
      <c r="P98" s="25">
        <f t="shared" si="24"/>
        <v>-1</v>
      </c>
      <c r="Q98" s="25">
        <f t="shared" si="24"/>
        <v>-1</v>
      </c>
      <c r="R98" s="38">
        <v>1195.25</v>
      </c>
      <c r="S98" s="37">
        <f t="shared" si="32"/>
        <v>1162.7</v>
      </c>
      <c r="T98" s="37">
        <f t="shared" si="33"/>
        <v>1178.27</v>
      </c>
      <c r="U98" s="37">
        <f t="shared" si="34"/>
        <v>1198.5899999999999</v>
      </c>
      <c r="V98" s="37">
        <f t="shared" si="35"/>
        <v>1219.27</v>
      </c>
      <c r="W98" s="37">
        <f t="shared" si="36"/>
        <v>1240.31</v>
      </c>
      <c r="X98" s="25"/>
      <c r="Y98" s="38">
        <v>1195.25</v>
      </c>
      <c r="Z98" s="25">
        <f t="shared" si="37"/>
        <v>1195.25</v>
      </c>
      <c r="AA98" s="25">
        <f t="shared" si="37"/>
        <v>1178.27</v>
      </c>
      <c r="AC98" s="25">
        <f t="shared" si="38"/>
        <v>1195.25</v>
      </c>
      <c r="AD98" s="25">
        <v>0</v>
      </c>
    </row>
    <row r="99" spans="1:30" x14ac:dyDescent="0.25">
      <c r="A99" s="30" t="s">
        <v>178</v>
      </c>
      <c r="B99" s="30" t="s">
        <v>744</v>
      </c>
      <c r="C99" s="27">
        <v>50535.71</v>
      </c>
      <c r="D99" s="28" t="str">
        <f t="shared" si="25"/>
        <v>Yes</v>
      </c>
      <c r="E99" s="28" t="s">
        <v>653</v>
      </c>
      <c r="F99" s="11">
        <v>0</v>
      </c>
      <c r="G99" s="11">
        <v>0</v>
      </c>
      <c r="H99" s="37">
        <f t="shared" si="26"/>
        <v>50535.71</v>
      </c>
      <c r="I99" s="37">
        <f t="shared" si="27"/>
        <v>51211.687287108572</v>
      </c>
      <c r="J99" s="37">
        <f t="shared" si="28"/>
        <v>52094.465380125592</v>
      </c>
      <c r="K99" s="37">
        <f t="shared" si="29"/>
        <v>52992.460647244727</v>
      </c>
      <c r="L99" s="37">
        <f t="shared" si="30"/>
        <v>53905.935399447051</v>
      </c>
      <c r="M99" s="25">
        <f t="shared" si="31"/>
        <v>0</v>
      </c>
      <c r="N99" s="25">
        <f t="shared" si="31"/>
        <v>0</v>
      </c>
      <c r="O99" s="25">
        <f t="shared" si="24"/>
        <v>0</v>
      </c>
      <c r="P99" s="25">
        <f t="shared" si="24"/>
        <v>0</v>
      </c>
      <c r="Q99" s="25">
        <f t="shared" si="24"/>
        <v>0</v>
      </c>
      <c r="R99" s="38">
        <v>54102.01</v>
      </c>
      <c r="S99" s="37">
        <f t="shared" si="32"/>
        <v>50535.71</v>
      </c>
      <c r="T99" s="37">
        <f t="shared" si="33"/>
        <v>51211.69</v>
      </c>
      <c r="U99" s="37">
        <f t="shared" si="34"/>
        <v>52094.47</v>
      </c>
      <c r="V99" s="37">
        <f t="shared" si="35"/>
        <v>52992.46</v>
      </c>
      <c r="W99" s="37">
        <f t="shared" si="36"/>
        <v>53905.94</v>
      </c>
      <c r="X99" s="25"/>
      <c r="Y99" s="38">
        <v>54102.01</v>
      </c>
      <c r="Z99" s="25">
        <f t="shared" si="37"/>
        <v>54102.01</v>
      </c>
      <c r="AA99" s="25">
        <f t="shared" si="37"/>
        <v>51211.69</v>
      </c>
      <c r="AC99" s="25">
        <f t="shared" si="38"/>
        <v>54102.01</v>
      </c>
      <c r="AD99" s="25">
        <v>0</v>
      </c>
    </row>
    <row r="100" spans="1:30" x14ac:dyDescent="0.25">
      <c r="A100" s="30" t="s">
        <v>180</v>
      </c>
      <c r="B100" s="30" t="s">
        <v>745</v>
      </c>
      <c r="C100" s="27">
        <v>20436.900000000001</v>
      </c>
      <c r="D100" s="28" t="str">
        <f t="shared" si="25"/>
        <v>Yes</v>
      </c>
      <c r="E100" s="28" t="s">
        <v>653</v>
      </c>
      <c r="F100" s="11">
        <v>0</v>
      </c>
      <c r="G100" s="11">
        <v>0</v>
      </c>
      <c r="H100" s="37">
        <f t="shared" si="26"/>
        <v>20436.900000000001</v>
      </c>
      <c r="I100" s="37">
        <f t="shared" si="27"/>
        <v>20710.26867769166</v>
      </c>
      <c r="J100" s="37">
        <f t="shared" si="28"/>
        <v>21067.268660657755</v>
      </c>
      <c r="K100" s="37">
        <f t="shared" si="29"/>
        <v>21430.422546782775</v>
      </c>
      <c r="L100" s="37">
        <f t="shared" si="30"/>
        <v>21799.836415971189</v>
      </c>
      <c r="M100" s="25">
        <f t="shared" si="31"/>
        <v>0</v>
      </c>
      <c r="N100" s="25">
        <f t="shared" si="31"/>
        <v>0</v>
      </c>
      <c r="O100" s="25">
        <f t="shared" si="24"/>
        <v>0</v>
      </c>
      <c r="P100" s="25">
        <f t="shared" si="24"/>
        <v>0</v>
      </c>
      <c r="Q100" s="25">
        <f t="shared" si="24"/>
        <v>0</v>
      </c>
      <c r="R100" s="38">
        <v>22059.26</v>
      </c>
      <c r="S100" s="37">
        <f t="shared" si="32"/>
        <v>20436.900000000001</v>
      </c>
      <c r="T100" s="37">
        <f t="shared" si="33"/>
        <v>20710.27</v>
      </c>
      <c r="U100" s="37">
        <f t="shared" si="34"/>
        <v>21067.27</v>
      </c>
      <c r="V100" s="37">
        <f t="shared" si="35"/>
        <v>21430.42</v>
      </c>
      <c r="W100" s="37">
        <f t="shared" si="36"/>
        <v>21799.84</v>
      </c>
      <c r="X100" s="25"/>
      <c r="Y100" s="38">
        <v>22059.26</v>
      </c>
      <c r="Z100" s="25">
        <f t="shared" si="37"/>
        <v>22059.26</v>
      </c>
      <c r="AA100" s="25">
        <f t="shared" si="37"/>
        <v>20710.27</v>
      </c>
      <c r="AC100" s="25">
        <f t="shared" si="38"/>
        <v>22059.26</v>
      </c>
      <c r="AD100" s="25">
        <v>0</v>
      </c>
    </row>
    <row r="101" spans="1:30" x14ac:dyDescent="0.25">
      <c r="A101" s="30" t="s">
        <v>182</v>
      </c>
      <c r="B101" s="30" t="s">
        <v>746</v>
      </c>
      <c r="C101" s="27">
        <v>4090.44</v>
      </c>
      <c r="D101" s="28" t="str">
        <f t="shared" si="25"/>
        <v>Yes</v>
      </c>
      <c r="E101" s="28" t="s">
        <v>653</v>
      </c>
      <c r="F101" s="11">
        <v>2</v>
      </c>
      <c r="G101" s="11">
        <v>0</v>
      </c>
      <c r="H101" s="37">
        <f t="shared" si="26"/>
        <v>4090.44</v>
      </c>
      <c r="I101" s="37">
        <f t="shared" si="27"/>
        <v>4145.1546668025521</v>
      </c>
      <c r="J101" s="37">
        <f t="shared" si="28"/>
        <v>4216.6081167056118</v>
      </c>
      <c r="K101" s="37">
        <f t="shared" si="29"/>
        <v>4289.2932686592458</v>
      </c>
      <c r="L101" s="37">
        <f t="shared" si="30"/>
        <v>4363.2313545276047</v>
      </c>
      <c r="M101" s="25">
        <f t="shared" si="31"/>
        <v>-2</v>
      </c>
      <c r="N101" s="25">
        <f t="shared" si="31"/>
        <v>-2</v>
      </c>
      <c r="O101" s="25">
        <f t="shared" si="24"/>
        <v>-2</v>
      </c>
      <c r="P101" s="25">
        <f t="shared" si="24"/>
        <v>-2</v>
      </c>
      <c r="Q101" s="25">
        <f t="shared" si="24"/>
        <v>-2</v>
      </c>
      <c r="R101" s="43">
        <v>4168.01</v>
      </c>
      <c r="S101" s="37">
        <f t="shared" si="32"/>
        <v>4088.44</v>
      </c>
      <c r="T101" s="37">
        <f t="shared" si="33"/>
        <v>4143.1499999999996</v>
      </c>
      <c r="U101" s="37">
        <f t="shared" si="34"/>
        <v>4214.6099999999997</v>
      </c>
      <c r="V101" s="37">
        <f t="shared" si="35"/>
        <v>4287.29</v>
      </c>
      <c r="W101" s="37">
        <f t="shared" si="36"/>
        <v>4361.2299999999996</v>
      </c>
      <c r="X101" s="25"/>
      <c r="Y101" s="38">
        <v>4699.63</v>
      </c>
      <c r="Z101" s="25">
        <f t="shared" si="37"/>
        <v>4168.01</v>
      </c>
      <c r="AA101" s="25">
        <f t="shared" si="37"/>
        <v>4143.1499999999996</v>
      </c>
      <c r="AC101" s="25">
        <f t="shared" si="38"/>
        <v>4171.34</v>
      </c>
      <c r="AD101" s="25">
        <v>-3.33</v>
      </c>
    </row>
    <row r="102" spans="1:30" x14ac:dyDescent="0.25">
      <c r="A102" s="30" t="s">
        <v>184</v>
      </c>
      <c r="B102" s="30" t="s">
        <v>747</v>
      </c>
      <c r="C102" s="27">
        <v>3996.87</v>
      </c>
      <c r="D102" s="28" t="str">
        <f t="shared" si="25"/>
        <v>Yes</v>
      </c>
      <c r="E102" s="28" t="s">
        <v>653</v>
      </c>
      <c r="F102" s="11">
        <v>0</v>
      </c>
      <c r="G102" s="11">
        <v>0</v>
      </c>
      <c r="H102" s="37">
        <f t="shared" si="26"/>
        <v>3996.87</v>
      </c>
      <c r="I102" s="37">
        <f t="shared" si="27"/>
        <v>4050.3330529486107</v>
      </c>
      <c r="J102" s="37">
        <f t="shared" si="28"/>
        <v>4120.1519844850818</v>
      </c>
      <c r="K102" s="37">
        <f t="shared" si="29"/>
        <v>4191.1744425308962</v>
      </c>
      <c r="L102" s="37">
        <f t="shared" si="30"/>
        <v>4263.4211732651611</v>
      </c>
      <c r="M102" s="25">
        <f t="shared" si="31"/>
        <v>0</v>
      </c>
      <c r="N102" s="25">
        <f t="shared" si="31"/>
        <v>0</v>
      </c>
      <c r="O102" s="25">
        <f t="shared" si="24"/>
        <v>0</v>
      </c>
      <c r="P102" s="25">
        <f t="shared" si="24"/>
        <v>0</v>
      </c>
      <c r="Q102" s="25">
        <f t="shared" si="24"/>
        <v>0</v>
      </c>
      <c r="R102" s="38">
        <v>4358.16</v>
      </c>
      <c r="S102" s="37">
        <f t="shared" si="32"/>
        <v>3996.87</v>
      </c>
      <c r="T102" s="37">
        <f t="shared" si="33"/>
        <v>4050.33</v>
      </c>
      <c r="U102" s="37">
        <f t="shared" si="34"/>
        <v>4120.1499999999996</v>
      </c>
      <c r="V102" s="37">
        <f t="shared" si="35"/>
        <v>4191.17</v>
      </c>
      <c r="W102" s="37">
        <f t="shared" si="36"/>
        <v>4263.42</v>
      </c>
      <c r="X102" s="25"/>
      <c r="Y102" s="38">
        <v>4358.16</v>
      </c>
      <c r="Z102" s="25">
        <f t="shared" si="37"/>
        <v>4358.16</v>
      </c>
      <c r="AA102" s="25">
        <f t="shared" si="37"/>
        <v>4050.33</v>
      </c>
      <c r="AC102" s="25">
        <f t="shared" si="38"/>
        <v>4358.16</v>
      </c>
      <c r="AD102" s="25">
        <v>0</v>
      </c>
    </row>
    <row r="103" spans="1:30" x14ac:dyDescent="0.25">
      <c r="A103" s="30" t="s">
        <v>186</v>
      </c>
      <c r="B103" s="30" t="s">
        <v>748</v>
      </c>
      <c r="C103" s="27">
        <v>17786.310000000001</v>
      </c>
      <c r="D103" s="28" t="str">
        <f t="shared" si="25"/>
        <v>Yes</v>
      </c>
      <c r="E103" s="28" t="s">
        <v>653</v>
      </c>
      <c r="F103" s="11">
        <v>1</v>
      </c>
      <c r="G103" s="11">
        <v>0</v>
      </c>
      <c r="H103" s="37">
        <f t="shared" si="26"/>
        <v>17786.310000000001</v>
      </c>
      <c r="I103" s="37">
        <f t="shared" si="27"/>
        <v>18024.223775852206</v>
      </c>
      <c r="J103" s="37">
        <f t="shared" si="28"/>
        <v>18334.922187403357</v>
      </c>
      <c r="K103" s="37">
        <f t="shared" si="29"/>
        <v>18650.976363737551</v>
      </c>
      <c r="L103" s="37">
        <f t="shared" si="30"/>
        <v>18972.478626589775</v>
      </c>
      <c r="M103" s="25">
        <f t="shared" si="31"/>
        <v>-1</v>
      </c>
      <c r="N103" s="25">
        <f t="shared" si="31"/>
        <v>-1</v>
      </c>
      <c r="O103" s="25">
        <f t="shared" si="24"/>
        <v>-1</v>
      </c>
      <c r="P103" s="25">
        <f t="shared" si="24"/>
        <v>-1</v>
      </c>
      <c r="Q103" s="25">
        <f t="shared" si="24"/>
        <v>-1</v>
      </c>
      <c r="R103" s="38">
        <v>18497.95</v>
      </c>
      <c r="S103" s="37">
        <f t="shared" si="32"/>
        <v>17785.310000000001</v>
      </c>
      <c r="T103" s="37">
        <f t="shared" si="33"/>
        <v>18023.22</v>
      </c>
      <c r="U103" s="37">
        <f t="shared" si="34"/>
        <v>18333.919999999998</v>
      </c>
      <c r="V103" s="37">
        <f t="shared" si="35"/>
        <v>18649.98</v>
      </c>
      <c r="W103" s="37">
        <f t="shared" si="36"/>
        <v>18971.48</v>
      </c>
      <c r="X103" s="25"/>
      <c r="Y103" s="38">
        <v>18497.95</v>
      </c>
      <c r="Z103" s="25">
        <f t="shared" si="37"/>
        <v>18497.95</v>
      </c>
      <c r="AA103" s="25">
        <f t="shared" si="37"/>
        <v>18023.22</v>
      </c>
      <c r="AC103" s="25">
        <f t="shared" si="38"/>
        <v>18498.95</v>
      </c>
      <c r="AD103" s="25">
        <v>-1</v>
      </c>
    </row>
    <row r="104" spans="1:30" x14ac:dyDescent="0.25">
      <c r="A104" s="30" t="s">
        <v>188</v>
      </c>
      <c r="B104" s="30" t="s">
        <v>749</v>
      </c>
      <c r="C104" s="27">
        <v>1478.15</v>
      </c>
      <c r="D104" s="28" t="str">
        <f t="shared" si="25"/>
        <v>Yes</v>
      </c>
      <c r="E104" s="28" t="s">
        <v>653</v>
      </c>
      <c r="F104" s="11">
        <v>0</v>
      </c>
      <c r="G104" s="11">
        <v>0</v>
      </c>
      <c r="H104" s="37">
        <f t="shared" si="26"/>
        <v>1478.15</v>
      </c>
      <c r="I104" s="37">
        <f t="shared" si="27"/>
        <v>1497.9220745773541</v>
      </c>
      <c r="J104" s="37">
        <f t="shared" si="28"/>
        <v>1523.7429928585677</v>
      </c>
      <c r="K104" s="37">
        <f t="shared" si="29"/>
        <v>1550.0090076052122</v>
      </c>
      <c r="L104" s="37">
        <f t="shared" si="30"/>
        <v>1576.7277913121764</v>
      </c>
      <c r="M104" s="25">
        <f t="shared" si="31"/>
        <v>0</v>
      </c>
      <c r="N104" s="25">
        <f t="shared" si="31"/>
        <v>0</v>
      </c>
      <c r="O104" s="25">
        <f t="shared" si="24"/>
        <v>0</v>
      </c>
      <c r="P104" s="25">
        <f t="shared" si="24"/>
        <v>0</v>
      </c>
      <c r="Q104" s="25">
        <f t="shared" si="24"/>
        <v>0</v>
      </c>
      <c r="R104" s="38">
        <v>1500.41</v>
      </c>
      <c r="S104" s="37">
        <f t="shared" si="32"/>
        <v>1478.15</v>
      </c>
      <c r="T104" s="37">
        <f t="shared" si="33"/>
        <v>1497.92</v>
      </c>
      <c r="U104" s="37">
        <f t="shared" si="34"/>
        <v>1523.74</v>
      </c>
      <c r="V104" s="37">
        <f t="shared" si="35"/>
        <v>1550.01</v>
      </c>
      <c r="W104" s="37">
        <f t="shared" si="36"/>
        <v>1576.73</v>
      </c>
      <c r="X104" s="25"/>
      <c r="Y104" s="38">
        <v>1500.41</v>
      </c>
      <c r="Z104" s="25">
        <f t="shared" si="37"/>
        <v>1500.41</v>
      </c>
      <c r="AA104" s="25">
        <f t="shared" si="37"/>
        <v>1497.92</v>
      </c>
      <c r="AC104" s="25">
        <f t="shared" si="38"/>
        <v>1500.41</v>
      </c>
      <c r="AD104" s="25">
        <v>0</v>
      </c>
    </row>
    <row r="105" spans="1:30" x14ac:dyDescent="0.25">
      <c r="A105" s="30" t="s">
        <v>190</v>
      </c>
      <c r="B105" s="30" t="s">
        <v>750</v>
      </c>
      <c r="C105" s="27">
        <v>14541.39</v>
      </c>
      <c r="D105" s="28" t="str">
        <f t="shared" si="25"/>
        <v>Yes</v>
      </c>
      <c r="E105" s="28" t="s">
        <v>653</v>
      </c>
      <c r="F105" s="11">
        <v>0</v>
      </c>
      <c r="G105" s="11">
        <v>0</v>
      </c>
      <c r="H105" s="37">
        <f t="shared" si="26"/>
        <v>14541.39</v>
      </c>
      <c r="I105" s="37">
        <f t="shared" si="27"/>
        <v>14735.898979155289</v>
      </c>
      <c r="J105" s="37">
        <f t="shared" si="28"/>
        <v>14989.913823985149</v>
      </c>
      <c r="K105" s="37">
        <f t="shared" si="29"/>
        <v>15248.307332206039</v>
      </c>
      <c r="L105" s="37">
        <f t="shared" si="30"/>
        <v>15511.154982450338</v>
      </c>
      <c r="M105" s="25">
        <f t="shared" si="31"/>
        <v>0</v>
      </c>
      <c r="N105" s="25">
        <f t="shared" si="31"/>
        <v>0</v>
      </c>
      <c r="O105" s="25">
        <f t="shared" si="24"/>
        <v>0</v>
      </c>
      <c r="P105" s="25">
        <f t="shared" si="24"/>
        <v>0</v>
      </c>
      <c r="Q105" s="25">
        <f t="shared" si="24"/>
        <v>0</v>
      </c>
      <c r="R105" s="38">
        <v>15458.11</v>
      </c>
      <c r="S105" s="37">
        <f t="shared" si="32"/>
        <v>14541.39</v>
      </c>
      <c r="T105" s="37">
        <f t="shared" si="33"/>
        <v>14735.9</v>
      </c>
      <c r="U105" s="37">
        <f t="shared" si="34"/>
        <v>14989.91</v>
      </c>
      <c r="V105" s="37">
        <f t="shared" si="35"/>
        <v>15248.31</v>
      </c>
      <c r="W105" s="37">
        <f t="shared" si="36"/>
        <v>15511.15</v>
      </c>
      <c r="X105" s="25"/>
      <c r="Y105" s="38">
        <v>15458.11</v>
      </c>
      <c r="Z105" s="25">
        <f t="shared" si="37"/>
        <v>15458.11</v>
      </c>
      <c r="AA105" s="25">
        <f t="shared" si="37"/>
        <v>14735.9</v>
      </c>
      <c r="AC105" s="25">
        <f t="shared" si="38"/>
        <v>15458.11</v>
      </c>
      <c r="AD105" s="25">
        <v>0</v>
      </c>
    </row>
    <row r="106" spans="1:30" x14ac:dyDescent="0.25">
      <c r="A106" s="30" t="s">
        <v>192</v>
      </c>
      <c r="B106" s="30" t="s">
        <v>751</v>
      </c>
      <c r="C106" s="27">
        <v>34.43</v>
      </c>
      <c r="D106" s="28" t="str">
        <f t="shared" si="25"/>
        <v>No</v>
      </c>
      <c r="E106" s="28" t="s">
        <v>653</v>
      </c>
      <c r="F106" s="11">
        <v>0</v>
      </c>
      <c r="G106" s="11">
        <v>0</v>
      </c>
      <c r="H106" s="37">
        <f t="shared" si="26"/>
        <v>34.43</v>
      </c>
      <c r="I106" s="37">
        <f t="shared" si="27"/>
        <v>34.43</v>
      </c>
      <c r="J106" s="37">
        <f t="shared" si="28"/>
        <v>34.43</v>
      </c>
      <c r="K106" s="37">
        <f t="shared" si="29"/>
        <v>34.43</v>
      </c>
      <c r="L106" s="37">
        <f t="shared" si="30"/>
        <v>34.43</v>
      </c>
      <c r="M106" s="25">
        <f t="shared" si="31"/>
        <v>0</v>
      </c>
      <c r="N106" s="25">
        <f t="shared" si="31"/>
        <v>0</v>
      </c>
      <c r="O106" s="25">
        <f t="shared" si="24"/>
        <v>0</v>
      </c>
      <c r="P106" s="25">
        <f t="shared" si="24"/>
        <v>0</v>
      </c>
      <c r="Q106" s="25">
        <f t="shared" si="24"/>
        <v>0</v>
      </c>
      <c r="R106" s="38">
        <v>51.79</v>
      </c>
      <c r="S106" s="37">
        <f t="shared" si="32"/>
        <v>34.43</v>
      </c>
      <c r="T106" s="37">
        <f t="shared" si="33"/>
        <v>34.43</v>
      </c>
      <c r="U106" s="37">
        <f t="shared" si="34"/>
        <v>34.43</v>
      </c>
      <c r="V106" s="37">
        <f t="shared" si="35"/>
        <v>34.43</v>
      </c>
      <c r="W106" s="37">
        <f t="shared" si="36"/>
        <v>34.43</v>
      </c>
      <c r="X106" s="25"/>
      <c r="Y106" s="38">
        <v>51.79</v>
      </c>
      <c r="Z106" s="25">
        <f t="shared" si="37"/>
        <v>51.79</v>
      </c>
      <c r="AA106" s="25">
        <f t="shared" si="37"/>
        <v>34.43</v>
      </c>
      <c r="AC106" s="25">
        <f t="shared" si="38"/>
        <v>51.79</v>
      </c>
      <c r="AD106" s="25">
        <v>0</v>
      </c>
    </row>
    <row r="107" spans="1:30" x14ac:dyDescent="0.25">
      <c r="A107" s="30" t="s">
        <v>194</v>
      </c>
      <c r="B107" s="30" t="s">
        <v>752</v>
      </c>
      <c r="C107" s="27">
        <v>18952.009999999998</v>
      </c>
      <c r="D107" s="28" t="str">
        <f t="shared" si="25"/>
        <v>Yes</v>
      </c>
      <c r="E107" s="28" t="s">
        <v>653</v>
      </c>
      <c r="F107" s="11">
        <v>0</v>
      </c>
      <c r="G107" s="11">
        <v>0</v>
      </c>
      <c r="H107" s="37">
        <f t="shared" si="26"/>
        <v>18952.009999999998</v>
      </c>
      <c r="I107" s="37">
        <f t="shared" si="27"/>
        <v>19205.516447323178</v>
      </c>
      <c r="J107" s="37">
        <f t="shared" si="28"/>
        <v>19536.577774979196</v>
      </c>
      <c r="K107" s="37">
        <f t="shared" si="29"/>
        <v>19873.345879798431</v>
      </c>
      <c r="L107" s="37">
        <f t="shared" si="30"/>
        <v>20215.919134205778</v>
      </c>
      <c r="M107" s="25">
        <f t="shared" si="31"/>
        <v>0</v>
      </c>
      <c r="N107" s="25">
        <f t="shared" si="31"/>
        <v>0</v>
      </c>
      <c r="O107" s="25">
        <f t="shared" si="24"/>
        <v>0</v>
      </c>
      <c r="P107" s="25">
        <f t="shared" si="24"/>
        <v>0</v>
      </c>
      <c r="Q107" s="25">
        <f t="shared" si="24"/>
        <v>0</v>
      </c>
      <c r="R107" s="38">
        <v>20542.650000000001</v>
      </c>
      <c r="S107" s="37">
        <f t="shared" si="32"/>
        <v>18952.009999999998</v>
      </c>
      <c r="T107" s="37">
        <f t="shared" si="33"/>
        <v>19205.52</v>
      </c>
      <c r="U107" s="37">
        <f t="shared" si="34"/>
        <v>19536.580000000002</v>
      </c>
      <c r="V107" s="37">
        <f t="shared" si="35"/>
        <v>19873.349999999999</v>
      </c>
      <c r="W107" s="37">
        <f t="shared" si="36"/>
        <v>20215.919999999998</v>
      </c>
      <c r="X107" s="25"/>
      <c r="Y107" s="38">
        <v>20542.650000000001</v>
      </c>
      <c r="Z107" s="25">
        <f t="shared" si="37"/>
        <v>20542.650000000001</v>
      </c>
      <c r="AA107" s="25">
        <f t="shared" si="37"/>
        <v>19205.52</v>
      </c>
      <c r="AC107" s="25">
        <f t="shared" si="38"/>
        <v>20542.650000000001</v>
      </c>
      <c r="AD107" s="25">
        <v>0</v>
      </c>
    </row>
    <row r="108" spans="1:30" x14ac:dyDescent="0.25">
      <c r="A108" s="30" t="s">
        <v>196</v>
      </c>
      <c r="B108" s="30" t="s">
        <v>753</v>
      </c>
      <c r="C108" s="27">
        <v>2507.0100000000002</v>
      </c>
      <c r="D108" s="28" t="str">
        <f t="shared" si="25"/>
        <v>Yes</v>
      </c>
      <c r="E108" s="28" t="s">
        <v>653</v>
      </c>
      <c r="F108" s="11">
        <v>0</v>
      </c>
      <c r="G108" s="11">
        <v>0</v>
      </c>
      <c r="H108" s="37">
        <f t="shared" si="26"/>
        <v>2507.0100000000002</v>
      </c>
      <c r="I108" s="37">
        <f t="shared" si="27"/>
        <v>2540.54434271635</v>
      </c>
      <c r="J108" s="37">
        <f t="shared" si="28"/>
        <v>2584.3378009852572</v>
      </c>
      <c r="K108" s="37">
        <f t="shared" si="29"/>
        <v>2628.8861632150615</v>
      </c>
      <c r="L108" s="37">
        <f t="shared" si="30"/>
        <v>2674.2024423079788</v>
      </c>
      <c r="M108" s="25">
        <f t="shared" si="31"/>
        <v>0</v>
      </c>
      <c r="N108" s="25">
        <f t="shared" si="31"/>
        <v>0</v>
      </c>
      <c r="O108" s="25">
        <f t="shared" si="24"/>
        <v>0</v>
      </c>
      <c r="P108" s="25">
        <f t="shared" si="24"/>
        <v>0</v>
      </c>
      <c r="Q108" s="25">
        <f t="shared" si="24"/>
        <v>0</v>
      </c>
      <c r="R108" s="38">
        <v>2842.4</v>
      </c>
      <c r="S108" s="37">
        <f t="shared" si="32"/>
        <v>2507.0100000000002</v>
      </c>
      <c r="T108" s="37">
        <f t="shared" si="33"/>
        <v>2540.54</v>
      </c>
      <c r="U108" s="37">
        <f t="shared" si="34"/>
        <v>2584.34</v>
      </c>
      <c r="V108" s="37">
        <f t="shared" si="35"/>
        <v>2628.89</v>
      </c>
      <c r="W108" s="37">
        <f t="shared" si="36"/>
        <v>2674.2</v>
      </c>
      <c r="X108" s="25"/>
      <c r="Y108" s="38">
        <v>2842.4</v>
      </c>
      <c r="Z108" s="25">
        <f t="shared" si="37"/>
        <v>2842.4</v>
      </c>
      <c r="AA108" s="25">
        <f t="shared" si="37"/>
        <v>2540.54</v>
      </c>
      <c r="AC108" s="25">
        <f t="shared" si="38"/>
        <v>2842.4</v>
      </c>
      <c r="AD108" s="25">
        <v>0</v>
      </c>
    </row>
    <row r="109" spans="1:30" x14ac:dyDescent="0.25">
      <c r="A109" s="30" t="s">
        <v>197</v>
      </c>
      <c r="B109" s="30" t="s">
        <v>754</v>
      </c>
      <c r="C109" s="27">
        <v>3032.09</v>
      </c>
      <c r="D109" s="28" t="str">
        <f t="shared" si="25"/>
        <v>Yes</v>
      </c>
      <c r="E109" s="28" t="s">
        <v>653</v>
      </c>
      <c r="F109" s="11">
        <v>0</v>
      </c>
      <c r="G109" s="11">
        <v>0</v>
      </c>
      <c r="H109" s="37">
        <f t="shared" si="26"/>
        <v>3032.09</v>
      </c>
      <c r="I109" s="37">
        <f t="shared" si="27"/>
        <v>3072.6479336368093</v>
      </c>
      <c r="J109" s="37">
        <f t="shared" si="28"/>
        <v>3125.6137003798904</v>
      </c>
      <c r="K109" s="37">
        <f t="shared" si="29"/>
        <v>3179.4924817303304</v>
      </c>
      <c r="L109" s="37">
        <f t="shared" si="30"/>
        <v>3234.3000160739684</v>
      </c>
      <c r="M109" s="25">
        <f t="shared" si="31"/>
        <v>0</v>
      </c>
      <c r="N109" s="25">
        <f t="shared" si="31"/>
        <v>0</v>
      </c>
      <c r="O109" s="25">
        <f t="shared" si="24"/>
        <v>0</v>
      </c>
      <c r="P109" s="25">
        <f t="shared" si="24"/>
        <v>0</v>
      </c>
      <c r="Q109" s="25">
        <f t="shared" si="24"/>
        <v>0</v>
      </c>
      <c r="R109" s="38">
        <v>3313.17</v>
      </c>
      <c r="S109" s="37">
        <f t="shared" si="32"/>
        <v>3032.09</v>
      </c>
      <c r="T109" s="37">
        <f t="shared" si="33"/>
        <v>3072.65</v>
      </c>
      <c r="U109" s="37">
        <f t="shared" si="34"/>
        <v>3125.61</v>
      </c>
      <c r="V109" s="37">
        <f t="shared" si="35"/>
        <v>3179.49</v>
      </c>
      <c r="W109" s="37">
        <f t="shared" si="36"/>
        <v>3234.3</v>
      </c>
      <c r="X109" s="25"/>
      <c r="Y109" s="38">
        <v>3313.17</v>
      </c>
      <c r="Z109" s="25">
        <f t="shared" si="37"/>
        <v>3313.17</v>
      </c>
      <c r="AA109" s="25">
        <f t="shared" si="37"/>
        <v>3072.65</v>
      </c>
      <c r="AC109" s="25">
        <f t="shared" si="38"/>
        <v>3313.17</v>
      </c>
      <c r="AD109" s="25">
        <v>0</v>
      </c>
    </row>
    <row r="110" spans="1:30" x14ac:dyDescent="0.25">
      <c r="A110" s="30" t="s">
        <v>199</v>
      </c>
      <c r="B110" s="30" t="s">
        <v>755</v>
      </c>
      <c r="C110" s="27">
        <v>16810.439999999999</v>
      </c>
      <c r="D110" s="28" t="str">
        <f t="shared" si="25"/>
        <v>Yes</v>
      </c>
      <c r="E110" s="28" t="s">
        <v>653</v>
      </c>
      <c r="F110" s="11">
        <v>220.94</v>
      </c>
      <c r="G110" s="11">
        <v>0</v>
      </c>
      <c r="H110" s="37">
        <f t="shared" si="26"/>
        <v>16810.439999999999</v>
      </c>
      <c r="I110" s="37">
        <f t="shared" si="27"/>
        <v>17035.300314148182</v>
      </c>
      <c r="J110" s="37">
        <f t="shared" si="28"/>
        <v>17328.951836328775</v>
      </c>
      <c r="K110" s="37">
        <f t="shared" si="29"/>
        <v>17627.665272000108</v>
      </c>
      <c r="L110" s="37">
        <f t="shared" si="30"/>
        <v>17931.527877540069</v>
      </c>
      <c r="M110" s="25">
        <f t="shared" si="31"/>
        <v>-220.94</v>
      </c>
      <c r="N110" s="25">
        <f t="shared" si="31"/>
        <v>-220.94</v>
      </c>
      <c r="O110" s="25">
        <f t="shared" si="24"/>
        <v>-220.94</v>
      </c>
      <c r="P110" s="25">
        <f t="shared" si="24"/>
        <v>-220.94</v>
      </c>
      <c r="Q110" s="25">
        <f t="shared" si="24"/>
        <v>-220.94</v>
      </c>
      <c r="R110" s="38">
        <v>16883.54</v>
      </c>
      <c r="S110" s="37">
        <f t="shared" si="32"/>
        <v>16589.5</v>
      </c>
      <c r="T110" s="37">
        <f t="shared" si="33"/>
        <v>16814.36</v>
      </c>
      <c r="U110" s="37">
        <f t="shared" si="34"/>
        <v>17108.009999999998</v>
      </c>
      <c r="V110" s="37">
        <f t="shared" si="35"/>
        <v>17406.73</v>
      </c>
      <c r="W110" s="37">
        <f t="shared" si="36"/>
        <v>17710.59</v>
      </c>
      <c r="X110" s="25"/>
      <c r="Y110" s="38">
        <v>16883.54</v>
      </c>
      <c r="Z110" s="25">
        <f t="shared" si="37"/>
        <v>16883.54</v>
      </c>
      <c r="AA110" s="25">
        <f t="shared" si="37"/>
        <v>16814.36</v>
      </c>
      <c r="AC110" s="25">
        <f t="shared" si="38"/>
        <v>17075.310000000001</v>
      </c>
      <c r="AD110" s="25">
        <v>-191.77</v>
      </c>
    </row>
    <row r="111" spans="1:30" x14ac:dyDescent="0.25">
      <c r="A111" s="30" t="s">
        <v>201</v>
      </c>
      <c r="B111" s="30" t="s">
        <v>756</v>
      </c>
      <c r="C111" s="27">
        <v>8670.7099999999991</v>
      </c>
      <c r="D111" s="28" t="str">
        <f t="shared" si="25"/>
        <v>Yes</v>
      </c>
      <c r="E111" s="28" t="s">
        <v>653</v>
      </c>
      <c r="F111" s="11">
        <v>0</v>
      </c>
      <c r="G111" s="11">
        <v>0</v>
      </c>
      <c r="H111" s="37">
        <f t="shared" si="26"/>
        <v>8670.7099999999991</v>
      </c>
      <c r="I111" s="37">
        <f t="shared" si="27"/>
        <v>8786.6914124132254</v>
      </c>
      <c r="J111" s="37">
        <f t="shared" si="28"/>
        <v>8938.1548595262393</v>
      </c>
      <c r="K111" s="37">
        <f t="shared" si="29"/>
        <v>9092.2292070037456</v>
      </c>
      <c r="L111" s="37">
        <f t="shared" si="30"/>
        <v>9248.9594610887907</v>
      </c>
      <c r="M111" s="25">
        <f t="shared" si="31"/>
        <v>0</v>
      </c>
      <c r="N111" s="25">
        <f t="shared" si="31"/>
        <v>0</v>
      </c>
      <c r="O111" s="25">
        <f t="shared" si="24"/>
        <v>0</v>
      </c>
      <c r="P111" s="25">
        <f t="shared" si="24"/>
        <v>0</v>
      </c>
      <c r="Q111" s="25">
        <f t="shared" si="24"/>
        <v>0</v>
      </c>
      <c r="R111" s="38">
        <v>8947.33</v>
      </c>
      <c r="S111" s="37">
        <f t="shared" si="32"/>
        <v>8670.7099999999991</v>
      </c>
      <c r="T111" s="37">
        <f t="shared" si="33"/>
        <v>8786.69</v>
      </c>
      <c r="U111" s="37">
        <f t="shared" si="34"/>
        <v>8938.15</v>
      </c>
      <c r="V111" s="37">
        <f t="shared" si="35"/>
        <v>9092.23</v>
      </c>
      <c r="W111" s="37">
        <f t="shared" si="36"/>
        <v>9248.9599999999991</v>
      </c>
      <c r="X111" s="25"/>
      <c r="Y111" s="38">
        <v>8947.33</v>
      </c>
      <c r="Z111" s="25">
        <f t="shared" si="37"/>
        <v>8947.33</v>
      </c>
      <c r="AA111" s="25">
        <f t="shared" si="37"/>
        <v>8786.69</v>
      </c>
      <c r="AC111" s="25">
        <f t="shared" si="38"/>
        <v>8947.33</v>
      </c>
      <c r="AD111" s="25">
        <v>0</v>
      </c>
    </row>
    <row r="112" spans="1:30" x14ac:dyDescent="0.25">
      <c r="A112" s="30" t="s">
        <v>203</v>
      </c>
      <c r="B112" s="30" t="s">
        <v>757</v>
      </c>
      <c r="C112" s="27">
        <v>7053.44</v>
      </c>
      <c r="D112" s="28" t="str">
        <f t="shared" si="25"/>
        <v>Yes</v>
      </c>
      <c r="E112" s="28" t="s">
        <v>653</v>
      </c>
      <c r="F112" s="11">
        <v>0</v>
      </c>
      <c r="G112" s="11">
        <v>0</v>
      </c>
      <c r="H112" s="37">
        <f t="shared" si="26"/>
        <v>7053.44</v>
      </c>
      <c r="I112" s="37">
        <f t="shared" si="27"/>
        <v>7147.7884366991793</v>
      </c>
      <c r="J112" s="37">
        <f t="shared" si="28"/>
        <v>7271.0007614574542</v>
      </c>
      <c r="K112" s="37">
        <f t="shared" si="29"/>
        <v>7396.3369986827502</v>
      </c>
      <c r="L112" s="37">
        <f t="shared" si="30"/>
        <v>7523.8337600060586</v>
      </c>
      <c r="M112" s="25">
        <f t="shared" si="31"/>
        <v>0</v>
      </c>
      <c r="N112" s="25">
        <f t="shared" si="31"/>
        <v>0</v>
      </c>
      <c r="O112" s="25">
        <f t="shared" si="24"/>
        <v>0</v>
      </c>
      <c r="P112" s="25">
        <f t="shared" si="24"/>
        <v>0</v>
      </c>
      <c r="Q112" s="25">
        <f t="shared" si="24"/>
        <v>0</v>
      </c>
      <c r="R112" s="38">
        <v>7182.37</v>
      </c>
      <c r="S112" s="37">
        <f t="shared" si="32"/>
        <v>7053.44</v>
      </c>
      <c r="T112" s="37">
        <f t="shared" si="33"/>
        <v>7147.79</v>
      </c>
      <c r="U112" s="37">
        <f t="shared" si="34"/>
        <v>7271</v>
      </c>
      <c r="V112" s="37">
        <f t="shared" si="35"/>
        <v>7396.34</v>
      </c>
      <c r="W112" s="37">
        <f t="shared" si="36"/>
        <v>7523.83</v>
      </c>
      <c r="X112" s="25"/>
      <c r="Y112" s="38">
        <v>7182.37</v>
      </c>
      <c r="Z112" s="25">
        <f t="shared" si="37"/>
        <v>7182.37</v>
      </c>
      <c r="AA112" s="25">
        <f t="shared" si="37"/>
        <v>7147.79</v>
      </c>
      <c r="AC112" s="25">
        <f t="shared" si="38"/>
        <v>7182.37</v>
      </c>
      <c r="AD112" s="25">
        <v>0</v>
      </c>
    </row>
    <row r="113" spans="1:30" x14ac:dyDescent="0.25">
      <c r="A113" s="30" t="s">
        <v>205</v>
      </c>
      <c r="B113" s="30" t="s">
        <v>758</v>
      </c>
      <c r="C113" s="27">
        <v>19209.82</v>
      </c>
      <c r="D113" s="28" t="str">
        <f t="shared" si="25"/>
        <v>Yes</v>
      </c>
      <c r="E113" s="28" t="s">
        <v>653</v>
      </c>
      <c r="F113" s="11">
        <v>0</v>
      </c>
      <c r="G113" s="11">
        <v>0</v>
      </c>
      <c r="H113" s="37">
        <f t="shared" si="26"/>
        <v>19209.82</v>
      </c>
      <c r="I113" s="37">
        <f t="shared" si="27"/>
        <v>19466.774973214862</v>
      </c>
      <c r="J113" s="37">
        <f t="shared" si="28"/>
        <v>19802.339829566939</v>
      </c>
      <c r="K113" s="37">
        <f t="shared" si="29"/>
        <v>20143.689094120866</v>
      </c>
      <c r="L113" s="37">
        <f t="shared" si="30"/>
        <v>20490.922477491778</v>
      </c>
      <c r="M113" s="25">
        <f t="shared" si="31"/>
        <v>0</v>
      </c>
      <c r="N113" s="25">
        <f t="shared" si="31"/>
        <v>0</v>
      </c>
      <c r="O113" s="25">
        <f t="shared" si="24"/>
        <v>0</v>
      </c>
      <c r="P113" s="25">
        <f t="shared" si="24"/>
        <v>0</v>
      </c>
      <c r="Q113" s="25">
        <f t="shared" si="24"/>
        <v>0</v>
      </c>
      <c r="R113" s="38">
        <v>20871.990000000002</v>
      </c>
      <c r="S113" s="37">
        <f t="shared" si="32"/>
        <v>19209.82</v>
      </c>
      <c r="T113" s="37">
        <f t="shared" si="33"/>
        <v>19466.77</v>
      </c>
      <c r="U113" s="37">
        <f t="shared" si="34"/>
        <v>19802.34</v>
      </c>
      <c r="V113" s="37">
        <f t="shared" si="35"/>
        <v>20143.689999999999</v>
      </c>
      <c r="W113" s="37">
        <f t="shared" si="36"/>
        <v>20490.919999999998</v>
      </c>
      <c r="X113" s="25"/>
      <c r="Y113" s="38">
        <v>20871.990000000002</v>
      </c>
      <c r="Z113" s="25">
        <f t="shared" si="37"/>
        <v>20871.990000000002</v>
      </c>
      <c r="AA113" s="25">
        <f t="shared" si="37"/>
        <v>19466.77</v>
      </c>
      <c r="AC113" s="25">
        <f t="shared" si="38"/>
        <v>20871.990000000002</v>
      </c>
      <c r="AD113" s="25">
        <v>0</v>
      </c>
    </row>
    <row r="114" spans="1:30" x14ac:dyDescent="0.25">
      <c r="A114" s="30" t="s">
        <v>207</v>
      </c>
      <c r="B114" s="30" t="s">
        <v>759</v>
      </c>
      <c r="C114" s="27">
        <v>9074.5400000000009</v>
      </c>
      <c r="D114" s="28" t="str">
        <f t="shared" si="25"/>
        <v>Yes</v>
      </c>
      <c r="E114" s="28" t="s">
        <v>653</v>
      </c>
      <c r="F114" s="11">
        <v>0</v>
      </c>
      <c r="G114" s="11">
        <v>0</v>
      </c>
      <c r="H114" s="37">
        <f t="shared" si="26"/>
        <v>9074.5400000000009</v>
      </c>
      <c r="I114" s="37">
        <f t="shared" si="27"/>
        <v>9195.9231354295462</v>
      </c>
      <c r="J114" s="37">
        <f t="shared" si="28"/>
        <v>9354.4408472853156</v>
      </c>
      <c r="K114" s="37">
        <f t="shared" si="29"/>
        <v>9515.6910596852849</v>
      </c>
      <c r="L114" s="37">
        <f t="shared" si="30"/>
        <v>9679.7208749950933</v>
      </c>
      <c r="M114" s="25">
        <f t="shared" si="31"/>
        <v>0</v>
      </c>
      <c r="N114" s="25">
        <f t="shared" si="31"/>
        <v>0</v>
      </c>
      <c r="O114" s="25">
        <f t="shared" si="24"/>
        <v>0</v>
      </c>
      <c r="P114" s="25">
        <f t="shared" si="24"/>
        <v>0</v>
      </c>
      <c r="Q114" s="25">
        <f t="shared" si="24"/>
        <v>0</v>
      </c>
      <c r="R114" s="38">
        <v>9613.17</v>
      </c>
      <c r="S114" s="37">
        <f t="shared" si="32"/>
        <v>9074.5400000000009</v>
      </c>
      <c r="T114" s="37">
        <f t="shared" si="33"/>
        <v>9195.92</v>
      </c>
      <c r="U114" s="37">
        <f t="shared" si="34"/>
        <v>9354.44</v>
      </c>
      <c r="V114" s="37">
        <f t="shared" si="35"/>
        <v>9515.69</v>
      </c>
      <c r="W114" s="37">
        <f t="shared" si="36"/>
        <v>9679.7199999999993</v>
      </c>
      <c r="X114" s="25"/>
      <c r="Y114" s="38">
        <v>9613.17</v>
      </c>
      <c r="Z114" s="25">
        <f t="shared" si="37"/>
        <v>9613.17</v>
      </c>
      <c r="AA114" s="25">
        <f t="shared" si="37"/>
        <v>9195.92</v>
      </c>
      <c r="AC114" s="25">
        <f t="shared" si="38"/>
        <v>9613.17</v>
      </c>
      <c r="AD114" s="25">
        <v>0</v>
      </c>
    </row>
    <row r="115" spans="1:30" x14ac:dyDescent="0.25">
      <c r="A115" s="30" t="s">
        <v>209</v>
      </c>
      <c r="B115" s="30" t="s">
        <v>760</v>
      </c>
      <c r="C115" s="27">
        <v>30606.91</v>
      </c>
      <c r="D115" s="28" t="str">
        <f t="shared" si="25"/>
        <v>Yes</v>
      </c>
      <c r="E115" s="28" t="s">
        <v>653</v>
      </c>
      <c r="F115" s="11">
        <v>0</v>
      </c>
      <c r="G115" s="11">
        <v>0</v>
      </c>
      <c r="H115" s="37">
        <f t="shared" si="26"/>
        <v>30606.91</v>
      </c>
      <c r="I115" s="37">
        <f t="shared" si="27"/>
        <v>31016.315071949641</v>
      </c>
      <c r="J115" s="37">
        <f t="shared" si="28"/>
        <v>31550.968877010331</v>
      </c>
      <c r="K115" s="37">
        <f t="shared" si="29"/>
        <v>32094.83895068974</v>
      </c>
      <c r="L115" s="37">
        <f t="shared" si="30"/>
        <v>32648.0841614116</v>
      </c>
      <c r="M115" s="25">
        <f t="shared" si="31"/>
        <v>0</v>
      </c>
      <c r="N115" s="25">
        <f t="shared" si="31"/>
        <v>0</v>
      </c>
      <c r="O115" s="25">
        <f t="shared" si="24"/>
        <v>0</v>
      </c>
      <c r="P115" s="25">
        <f t="shared" si="24"/>
        <v>0</v>
      </c>
      <c r="Q115" s="25">
        <f t="shared" si="24"/>
        <v>0</v>
      </c>
      <c r="R115" s="38">
        <v>31392.03</v>
      </c>
      <c r="S115" s="37">
        <f t="shared" si="32"/>
        <v>30606.91</v>
      </c>
      <c r="T115" s="37">
        <f t="shared" si="33"/>
        <v>31016.32</v>
      </c>
      <c r="U115" s="37">
        <f t="shared" si="34"/>
        <v>31550.97</v>
      </c>
      <c r="V115" s="37">
        <f t="shared" si="35"/>
        <v>32094.84</v>
      </c>
      <c r="W115" s="37">
        <f t="shared" si="36"/>
        <v>32648.080000000002</v>
      </c>
      <c r="X115" s="25"/>
      <c r="Y115" s="38">
        <v>31392.03</v>
      </c>
      <c r="Z115" s="25">
        <f t="shared" si="37"/>
        <v>31392.03</v>
      </c>
      <c r="AA115" s="25">
        <f t="shared" si="37"/>
        <v>31016.32</v>
      </c>
      <c r="AC115" s="25">
        <f t="shared" si="38"/>
        <v>31392.03</v>
      </c>
      <c r="AD115" s="25">
        <v>0</v>
      </c>
    </row>
    <row r="116" spans="1:30" x14ac:dyDescent="0.25">
      <c r="A116" s="30" t="s">
        <v>211</v>
      </c>
      <c r="B116" s="30" t="s">
        <v>761</v>
      </c>
      <c r="C116" s="27">
        <v>24696.959999999999</v>
      </c>
      <c r="D116" s="28" t="str">
        <f t="shared" si="25"/>
        <v>Yes</v>
      </c>
      <c r="E116" s="28" t="s">
        <v>653</v>
      </c>
      <c r="F116" s="11">
        <v>0</v>
      </c>
      <c r="G116" s="11">
        <v>0</v>
      </c>
      <c r="H116" s="37">
        <f t="shared" si="26"/>
        <v>24696.959999999999</v>
      </c>
      <c r="I116" s="37">
        <f t="shared" si="27"/>
        <v>25027.312220650088</v>
      </c>
      <c r="J116" s="37">
        <f t="shared" si="28"/>
        <v>25458.728643850984</v>
      </c>
      <c r="K116" s="37">
        <f t="shared" si="29"/>
        <v>25897.581747769589</v>
      </c>
      <c r="L116" s="37">
        <f t="shared" si="30"/>
        <v>26343.99972460519</v>
      </c>
      <c r="M116" s="25">
        <f t="shared" si="31"/>
        <v>0</v>
      </c>
      <c r="N116" s="25">
        <f t="shared" si="31"/>
        <v>0</v>
      </c>
      <c r="O116" s="25">
        <f t="shared" si="24"/>
        <v>0</v>
      </c>
      <c r="P116" s="25">
        <f t="shared" si="24"/>
        <v>0</v>
      </c>
      <c r="Q116" s="25">
        <f t="shared" si="24"/>
        <v>0</v>
      </c>
      <c r="R116" s="38">
        <v>26724.15</v>
      </c>
      <c r="S116" s="37">
        <f t="shared" si="32"/>
        <v>24696.959999999999</v>
      </c>
      <c r="T116" s="37">
        <f t="shared" si="33"/>
        <v>25027.31</v>
      </c>
      <c r="U116" s="37">
        <f t="shared" si="34"/>
        <v>25458.73</v>
      </c>
      <c r="V116" s="37">
        <f t="shared" si="35"/>
        <v>25897.58</v>
      </c>
      <c r="W116" s="37">
        <f t="shared" si="36"/>
        <v>26344</v>
      </c>
      <c r="X116" s="25"/>
      <c r="Y116" s="38">
        <v>26724.15</v>
      </c>
      <c r="Z116" s="25">
        <f t="shared" si="37"/>
        <v>26724.15</v>
      </c>
      <c r="AA116" s="25">
        <f t="shared" si="37"/>
        <v>25027.31</v>
      </c>
      <c r="AC116" s="25">
        <f t="shared" si="38"/>
        <v>26724.15</v>
      </c>
      <c r="AD116" s="25">
        <v>0</v>
      </c>
    </row>
    <row r="117" spans="1:30" x14ac:dyDescent="0.25">
      <c r="A117" s="30" t="s">
        <v>213</v>
      </c>
      <c r="B117" s="30" t="s">
        <v>762</v>
      </c>
      <c r="C117" s="27">
        <v>22402.2</v>
      </c>
      <c r="D117" s="28" t="str">
        <f t="shared" si="25"/>
        <v>Yes</v>
      </c>
      <c r="E117" s="28" t="s">
        <v>653</v>
      </c>
      <c r="F117" s="11">
        <v>0</v>
      </c>
      <c r="G117" s="11">
        <v>0</v>
      </c>
      <c r="H117" s="37">
        <f t="shared" si="26"/>
        <v>22402.2</v>
      </c>
      <c r="I117" s="37">
        <f t="shared" si="27"/>
        <v>22701.856982780369</v>
      </c>
      <c r="J117" s="37">
        <f t="shared" si="28"/>
        <v>23093.187616017458</v>
      </c>
      <c r="K117" s="37">
        <f t="shared" si="29"/>
        <v>23491.263938148011</v>
      </c>
      <c r="L117" s="37">
        <f t="shared" si="30"/>
        <v>23896.20223017531</v>
      </c>
      <c r="M117" s="25">
        <f t="shared" si="31"/>
        <v>0</v>
      </c>
      <c r="N117" s="25">
        <f t="shared" si="31"/>
        <v>0</v>
      </c>
      <c r="O117" s="25">
        <f t="shared" si="24"/>
        <v>0</v>
      </c>
      <c r="P117" s="25">
        <f t="shared" si="24"/>
        <v>0</v>
      </c>
      <c r="Q117" s="25">
        <f t="shared" si="24"/>
        <v>0</v>
      </c>
      <c r="R117" s="38">
        <v>23131.85</v>
      </c>
      <c r="S117" s="37">
        <f t="shared" si="32"/>
        <v>22402.2</v>
      </c>
      <c r="T117" s="37">
        <f t="shared" si="33"/>
        <v>22701.86</v>
      </c>
      <c r="U117" s="37">
        <f t="shared" si="34"/>
        <v>23093.19</v>
      </c>
      <c r="V117" s="37">
        <f t="shared" si="35"/>
        <v>23491.26</v>
      </c>
      <c r="W117" s="37">
        <f t="shared" si="36"/>
        <v>23896.2</v>
      </c>
      <c r="X117" s="25"/>
      <c r="Y117" s="38">
        <v>23131.85</v>
      </c>
      <c r="Z117" s="25">
        <f t="shared" si="37"/>
        <v>23131.85</v>
      </c>
      <c r="AA117" s="25">
        <f t="shared" si="37"/>
        <v>22701.86</v>
      </c>
      <c r="AC117" s="25">
        <f t="shared" si="38"/>
        <v>23131.85</v>
      </c>
      <c r="AD117" s="25">
        <v>0</v>
      </c>
    </row>
    <row r="118" spans="1:30" x14ac:dyDescent="0.25">
      <c r="A118" s="33" t="s">
        <v>763</v>
      </c>
      <c r="B118" s="30" t="s">
        <v>764</v>
      </c>
      <c r="C118" s="27">
        <v>534.53</v>
      </c>
      <c r="D118" s="28" t="str">
        <f t="shared" si="25"/>
        <v>Yes</v>
      </c>
      <c r="E118" s="28" t="s">
        <v>653</v>
      </c>
      <c r="F118" s="11">
        <v>0</v>
      </c>
      <c r="G118" s="11">
        <v>0</v>
      </c>
      <c r="H118" s="37">
        <f t="shared" si="26"/>
        <v>534.53</v>
      </c>
      <c r="I118" s="37">
        <f t="shared" si="27"/>
        <v>541.67999629525627</v>
      </c>
      <c r="J118" s="37">
        <f t="shared" si="28"/>
        <v>551.01738116746617</v>
      </c>
      <c r="K118" s="37">
        <f t="shared" si="29"/>
        <v>560.515722244166</v>
      </c>
      <c r="L118" s="37">
        <f t="shared" si="30"/>
        <v>570.17779406020873</v>
      </c>
      <c r="M118" s="25">
        <f t="shared" si="31"/>
        <v>0</v>
      </c>
      <c r="N118" s="25">
        <f t="shared" si="31"/>
        <v>0</v>
      </c>
      <c r="O118" s="25">
        <f t="shared" si="24"/>
        <v>0</v>
      </c>
      <c r="P118" s="25">
        <f t="shared" si="24"/>
        <v>0</v>
      </c>
      <c r="Q118" s="25">
        <f t="shared" si="24"/>
        <v>0</v>
      </c>
      <c r="R118" s="43">
        <v>531.62</v>
      </c>
      <c r="S118" s="37">
        <f t="shared" si="32"/>
        <v>534.53</v>
      </c>
      <c r="T118" s="37">
        <f t="shared" si="33"/>
        <v>541.67999999999995</v>
      </c>
      <c r="U118" s="37">
        <f t="shared" si="34"/>
        <v>551.02</v>
      </c>
      <c r="V118" s="37">
        <f t="shared" si="35"/>
        <v>560.52</v>
      </c>
      <c r="W118" s="37">
        <f t="shared" si="36"/>
        <v>570.17999999999995</v>
      </c>
      <c r="X118" s="25"/>
      <c r="Y118" s="38">
        <v>0</v>
      </c>
      <c r="Z118" s="25">
        <f t="shared" si="37"/>
        <v>534.53</v>
      </c>
      <c r="AA118" s="25">
        <f t="shared" si="37"/>
        <v>541.67999999999995</v>
      </c>
      <c r="AC118" s="25">
        <f t="shared" si="38"/>
        <v>531.62</v>
      </c>
      <c r="AD118" s="25">
        <v>0</v>
      </c>
    </row>
    <row r="119" spans="1:30" x14ac:dyDescent="0.25">
      <c r="A119" s="30" t="s">
        <v>215</v>
      </c>
      <c r="B119" s="30" t="s">
        <v>765</v>
      </c>
      <c r="C119" s="27">
        <v>4554.05</v>
      </c>
      <c r="D119" s="28" t="str">
        <f t="shared" si="25"/>
        <v>Yes</v>
      </c>
      <c r="E119" s="28" t="s">
        <v>653</v>
      </c>
      <c r="F119" s="11">
        <v>0</v>
      </c>
      <c r="G119" s="11">
        <v>0</v>
      </c>
      <c r="H119" s="37">
        <f t="shared" si="26"/>
        <v>4554.05</v>
      </c>
      <c r="I119" s="37">
        <f t="shared" si="27"/>
        <v>4614.9660208564756</v>
      </c>
      <c r="J119" s="37">
        <f t="shared" si="28"/>
        <v>4694.5179965683865</v>
      </c>
      <c r="K119" s="37">
        <f t="shared" si="29"/>
        <v>4775.4412752998796</v>
      </c>
      <c r="L119" s="37">
        <f t="shared" si="30"/>
        <v>4857.7594953321495</v>
      </c>
      <c r="M119" s="25">
        <f t="shared" si="31"/>
        <v>0</v>
      </c>
      <c r="N119" s="25">
        <f t="shared" si="31"/>
        <v>0</v>
      </c>
      <c r="O119" s="25">
        <f t="shared" si="24"/>
        <v>0</v>
      </c>
      <c r="P119" s="25">
        <f t="shared" si="24"/>
        <v>0</v>
      </c>
      <c r="Q119" s="25">
        <f t="shared" si="24"/>
        <v>0</v>
      </c>
      <c r="R119" s="38">
        <v>4979.9399999999996</v>
      </c>
      <c r="S119" s="37">
        <f t="shared" si="32"/>
        <v>4554.05</v>
      </c>
      <c r="T119" s="37">
        <f t="shared" si="33"/>
        <v>4614.97</v>
      </c>
      <c r="U119" s="37">
        <f t="shared" si="34"/>
        <v>4694.5200000000004</v>
      </c>
      <c r="V119" s="37">
        <f t="shared" si="35"/>
        <v>4775.4399999999996</v>
      </c>
      <c r="W119" s="37">
        <f t="shared" si="36"/>
        <v>4857.76</v>
      </c>
      <c r="X119" s="25"/>
      <c r="Y119" s="38">
        <v>4979.9399999999996</v>
      </c>
      <c r="Z119" s="25">
        <f t="shared" si="37"/>
        <v>4979.9399999999996</v>
      </c>
      <c r="AA119" s="25">
        <f t="shared" si="37"/>
        <v>4614.97</v>
      </c>
      <c r="AC119" s="25">
        <f t="shared" si="38"/>
        <v>4979.9399999999996</v>
      </c>
      <c r="AD119" s="25">
        <v>0</v>
      </c>
    </row>
    <row r="120" spans="1:30" x14ac:dyDescent="0.25">
      <c r="A120" s="30" t="s">
        <v>217</v>
      </c>
      <c r="B120" s="30" t="s">
        <v>766</v>
      </c>
      <c r="C120" s="27">
        <v>3574.94</v>
      </c>
      <c r="D120" s="28" t="str">
        <f t="shared" si="25"/>
        <v>Yes</v>
      </c>
      <c r="E120" s="28" t="s">
        <v>653</v>
      </c>
      <c r="F120" s="11">
        <v>0</v>
      </c>
      <c r="G120" s="11">
        <v>0</v>
      </c>
      <c r="H120" s="37">
        <f t="shared" si="26"/>
        <v>3574.94</v>
      </c>
      <c r="I120" s="37">
        <f t="shared" si="27"/>
        <v>3622.7592201668072</v>
      </c>
      <c r="J120" s="37">
        <f t="shared" si="28"/>
        <v>3685.2077088859778</v>
      </c>
      <c r="K120" s="37">
        <f t="shared" si="29"/>
        <v>3748.7326737125304</v>
      </c>
      <c r="L120" s="37">
        <f t="shared" si="30"/>
        <v>3813.3526707530027</v>
      </c>
      <c r="M120" s="25">
        <f t="shared" si="31"/>
        <v>0</v>
      </c>
      <c r="N120" s="25">
        <f t="shared" si="31"/>
        <v>0</v>
      </c>
      <c r="O120" s="25">
        <f t="shared" si="24"/>
        <v>0</v>
      </c>
      <c r="P120" s="25">
        <f t="shared" si="24"/>
        <v>0</v>
      </c>
      <c r="Q120" s="25">
        <f t="shared" si="24"/>
        <v>0</v>
      </c>
      <c r="R120" s="38">
        <v>3772.84</v>
      </c>
      <c r="S120" s="37">
        <f t="shared" si="32"/>
        <v>3574.94</v>
      </c>
      <c r="T120" s="37">
        <f t="shared" si="33"/>
        <v>3622.76</v>
      </c>
      <c r="U120" s="37">
        <f t="shared" si="34"/>
        <v>3685.21</v>
      </c>
      <c r="V120" s="37">
        <f t="shared" si="35"/>
        <v>3748.73</v>
      </c>
      <c r="W120" s="37">
        <f t="shared" si="36"/>
        <v>3813.35</v>
      </c>
      <c r="X120" s="25"/>
      <c r="Y120" s="38">
        <v>3772.84</v>
      </c>
      <c r="Z120" s="25">
        <f t="shared" si="37"/>
        <v>3772.84</v>
      </c>
      <c r="AA120" s="25">
        <f t="shared" si="37"/>
        <v>3622.76</v>
      </c>
      <c r="AC120" s="25">
        <f t="shared" si="38"/>
        <v>3772.84</v>
      </c>
      <c r="AD120" s="25">
        <v>0</v>
      </c>
    </row>
    <row r="121" spans="1:30" x14ac:dyDescent="0.25">
      <c r="A121" s="30" t="s">
        <v>219</v>
      </c>
      <c r="B121" s="30" t="s">
        <v>767</v>
      </c>
      <c r="C121" s="27">
        <v>5393.86</v>
      </c>
      <c r="D121" s="28" t="str">
        <f t="shared" si="25"/>
        <v>Yes</v>
      </c>
      <c r="E121" s="28" t="s">
        <v>653</v>
      </c>
      <c r="F121" s="11">
        <v>0</v>
      </c>
      <c r="G121" s="11">
        <v>0</v>
      </c>
      <c r="H121" s="37">
        <f t="shared" si="26"/>
        <v>5393.86</v>
      </c>
      <c r="I121" s="37">
        <f t="shared" si="27"/>
        <v>5466.0095126880269</v>
      </c>
      <c r="J121" s="37">
        <f t="shared" si="28"/>
        <v>5560.2316270068086</v>
      </c>
      <c r="K121" s="37">
        <f t="shared" si="29"/>
        <v>5656.0779256242258</v>
      </c>
      <c r="L121" s="37">
        <f t="shared" si="30"/>
        <v>5753.5764059446565</v>
      </c>
      <c r="M121" s="25">
        <f t="shared" si="31"/>
        <v>0</v>
      </c>
      <c r="N121" s="25">
        <f t="shared" si="31"/>
        <v>0</v>
      </c>
      <c r="O121" s="25">
        <f t="shared" si="24"/>
        <v>0</v>
      </c>
      <c r="P121" s="25">
        <f t="shared" si="24"/>
        <v>0</v>
      </c>
      <c r="Q121" s="25">
        <f t="shared" si="24"/>
        <v>0</v>
      </c>
      <c r="R121" s="43">
        <v>5847.63</v>
      </c>
      <c r="S121" s="37">
        <f t="shared" si="32"/>
        <v>5393.86</v>
      </c>
      <c r="T121" s="37">
        <f t="shared" si="33"/>
        <v>5466.01</v>
      </c>
      <c r="U121" s="37">
        <f t="shared" si="34"/>
        <v>5560.23</v>
      </c>
      <c r="V121" s="37">
        <f t="shared" si="35"/>
        <v>5656.08</v>
      </c>
      <c r="W121" s="37">
        <f t="shared" si="36"/>
        <v>5753.58</v>
      </c>
      <c r="X121" s="25"/>
      <c r="Y121" s="38">
        <v>5930.33</v>
      </c>
      <c r="Z121" s="25">
        <f t="shared" si="37"/>
        <v>5847.63</v>
      </c>
      <c r="AA121" s="25">
        <f t="shared" si="37"/>
        <v>5466.01</v>
      </c>
      <c r="AC121" s="25">
        <f t="shared" si="38"/>
        <v>5847.63</v>
      </c>
      <c r="AD121" s="25">
        <v>0</v>
      </c>
    </row>
    <row r="122" spans="1:30" x14ac:dyDescent="0.25">
      <c r="A122" s="33" t="s">
        <v>221</v>
      </c>
      <c r="B122" s="30" t="s">
        <v>768</v>
      </c>
      <c r="C122" s="27">
        <v>11096.32</v>
      </c>
      <c r="D122" s="28" t="str">
        <f t="shared" si="25"/>
        <v>Yes</v>
      </c>
      <c r="E122" s="28" t="s">
        <v>653</v>
      </c>
      <c r="F122" s="11">
        <v>0</v>
      </c>
      <c r="G122" s="11">
        <v>0</v>
      </c>
      <c r="H122" s="37">
        <f t="shared" si="26"/>
        <v>11096.32</v>
      </c>
      <c r="I122" s="37">
        <f t="shared" si="27"/>
        <v>11244.746929996405</v>
      </c>
      <c r="J122" s="37">
        <f t="shared" si="28"/>
        <v>11438.581907462965</v>
      </c>
      <c r="K122" s="37">
        <f t="shared" si="29"/>
        <v>11635.758178310636</v>
      </c>
      <c r="L122" s="37">
        <f t="shared" si="30"/>
        <v>11836.333339169318</v>
      </c>
      <c r="M122" s="25">
        <f t="shared" si="31"/>
        <v>0</v>
      </c>
      <c r="N122" s="25">
        <f t="shared" si="31"/>
        <v>0</v>
      </c>
      <c r="O122" s="25">
        <f t="shared" si="24"/>
        <v>0</v>
      </c>
      <c r="P122" s="25">
        <f t="shared" si="24"/>
        <v>0</v>
      </c>
      <c r="Q122" s="25">
        <f t="shared" si="24"/>
        <v>0</v>
      </c>
      <c r="R122" s="38">
        <v>11630.25</v>
      </c>
      <c r="S122" s="37">
        <f t="shared" si="32"/>
        <v>11096.32</v>
      </c>
      <c r="T122" s="37">
        <f t="shared" si="33"/>
        <v>11244.75</v>
      </c>
      <c r="U122" s="37">
        <f t="shared" si="34"/>
        <v>11438.58</v>
      </c>
      <c r="V122" s="37">
        <f t="shared" si="35"/>
        <v>11635.76</v>
      </c>
      <c r="W122" s="37">
        <f t="shared" si="36"/>
        <v>11836.33</v>
      </c>
      <c r="X122" s="25"/>
      <c r="Y122" s="38">
        <v>11630.25</v>
      </c>
      <c r="Z122" s="25">
        <f t="shared" si="37"/>
        <v>11630.25</v>
      </c>
      <c r="AA122" s="25">
        <f t="shared" si="37"/>
        <v>11244.75</v>
      </c>
      <c r="AC122" s="25">
        <f t="shared" si="38"/>
        <v>11630.25</v>
      </c>
      <c r="AD122" s="25">
        <v>0</v>
      </c>
    </row>
    <row r="123" spans="1:30" x14ac:dyDescent="0.25">
      <c r="A123" s="30" t="s">
        <v>223</v>
      </c>
      <c r="B123" s="30" t="s">
        <v>769</v>
      </c>
      <c r="C123" s="27">
        <v>9612.17</v>
      </c>
      <c r="D123" s="28" t="str">
        <f t="shared" si="25"/>
        <v>Yes</v>
      </c>
      <c r="E123" s="28" t="s">
        <v>655</v>
      </c>
      <c r="F123" s="11">
        <v>0</v>
      </c>
      <c r="G123" s="11">
        <v>0</v>
      </c>
      <c r="H123" s="37">
        <f t="shared" si="26"/>
        <v>9612.17</v>
      </c>
      <c r="I123" s="37">
        <f t="shared" si="27"/>
        <v>9740.7445980382272</v>
      </c>
      <c r="J123" s="37">
        <f t="shared" si="28"/>
        <v>9908.6538468121216</v>
      </c>
      <c r="K123" s="37">
        <f t="shared" si="29"/>
        <v>10079.457485798188</v>
      </c>
      <c r="L123" s="37">
        <f t="shared" si="30"/>
        <v>10253.205407987796</v>
      </c>
      <c r="M123" s="25">
        <f t="shared" si="31"/>
        <v>0</v>
      </c>
      <c r="N123" s="25">
        <f t="shared" si="31"/>
        <v>0</v>
      </c>
      <c r="O123" s="25">
        <f t="shared" si="24"/>
        <v>0</v>
      </c>
      <c r="P123" s="25">
        <f t="shared" si="24"/>
        <v>0</v>
      </c>
      <c r="Q123" s="25">
        <f t="shared" si="24"/>
        <v>0</v>
      </c>
      <c r="R123" s="38">
        <v>9874.0300000000007</v>
      </c>
      <c r="S123" s="37">
        <f t="shared" si="32"/>
        <v>9612.17</v>
      </c>
      <c r="T123" s="37">
        <f t="shared" si="33"/>
        <v>9740.74</v>
      </c>
      <c r="U123" s="37">
        <f t="shared" si="34"/>
        <v>9908.65</v>
      </c>
      <c r="V123" s="37">
        <f t="shared" si="35"/>
        <v>10079.459999999999</v>
      </c>
      <c r="W123" s="37">
        <f t="shared" si="36"/>
        <v>10253.209999999999</v>
      </c>
      <c r="X123" s="25"/>
      <c r="Y123" s="38">
        <v>9874.0300000000007</v>
      </c>
      <c r="Z123" s="25">
        <f t="shared" si="37"/>
        <v>9874.0300000000007</v>
      </c>
      <c r="AA123" s="25">
        <f t="shared" si="37"/>
        <v>9740.74</v>
      </c>
      <c r="AC123" s="25">
        <f t="shared" si="38"/>
        <v>9874.0300000000007</v>
      </c>
      <c r="AD123" s="25">
        <v>0</v>
      </c>
    </row>
    <row r="124" spans="1:30" x14ac:dyDescent="0.25">
      <c r="A124" s="30" t="s">
        <v>770</v>
      </c>
      <c r="B124" s="30" t="s">
        <v>771</v>
      </c>
      <c r="C124" s="27">
        <v>84.24</v>
      </c>
      <c r="D124" s="28" t="str">
        <f t="shared" si="25"/>
        <v>No</v>
      </c>
      <c r="E124" s="28" t="s">
        <v>653</v>
      </c>
      <c r="F124" s="11">
        <v>0</v>
      </c>
      <c r="G124" s="11">
        <v>0</v>
      </c>
      <c r="H124" s="37">
        <f t="shared" si="26"/>
        <v>84.24</v>
      </c>
      <c r="I124" s="37">
        <f t="shared" si="27"/>
        <v>84.24</v>
      </c>
      <c r="J124" s="37">
        <f t="shared" si="28"/>
        <v>84.24</v>
      </c>
      <c r="K124" s="37">
        <f t="shared" si="29"/>
        <v>84.24</v>
      </c>
      <c r="L124" s="37">
        <f t="shared" si="30"/>
        <v>84.24</v>
      </c>
      <c r="M124" s="25">
        <f t="shared" si="31"/>
        <v>0</v>
      </c>
      <c r="N124" s="25">
        <f t="shared" si="31"/>
        <v>0</v>
      </c>
      <c r="O124" s="25">
        <f t="shared" si="24"/>
        <v>0</v>
      </c>
      <c r="P124" s="25">
        <f t="shared" si="24"/>
        <v>0</v>
      </c>
      <c r="Q124" s="25">
        <f t="shared" si="24"/>
        <v>0</v>
      </c>
      <c r="R124" s="38">
        <v>82.7</v>
      </c>
      <c r="S124" s="37">
        <f t="shared" si="32"/>
        <v>84.24</v>
      </c>
      <c r="T124" s="37">
        <f t="shared" si="33"/>
        <v>84.24</v>
      </c>
      <c r="U124" s="37">
        <f t="shared" si="34"/>
        <v>84.24</v>
      </c>
      <c r="V124" s="37">
        <f t="shared" si="35"/>
        <v>84.24</v>
      </c>
      <c r="W124" s="37">
        <f t="shared" si="36"/>
        <v>84.24</v>
      </c>
      <c r="X124" s="25"/>
      <c r="Y124" s="38">
        <v>0</v>
      </c>
      <c r="Z124" s="25">
        <f t="shared" si="37"/>
        <v>84.24</v>
      </c>
      <c r="AA124" s="25">
        <f t="shared" si="37"/>
        <v>84.24</v>
      </c>
      <c r="AC124" s="25">
        <f t="shared" si="38"/>
        <v>82.7</v>
      </c>
      <c r="AD124" s="25">
        <v>0</v>
      </c>
    </row>
    <row r="125" spans="1:30" x14ac:dyDescent="0.25">
      <c r="A125" s="30" t="s">
        <v>225</v>
      </c>
      <c r="B125" s="30" t="s">
        <v>772</v>
      </c>
      <c r="C125" s="27">
        <v>41</v>
      </c>
      <c r="D125" s="28" t="str">
        <f t="shared" si="25"/>
        <v>No</v>
      </c>
      <c r="E125" s="28" t="s">
        <v>653</v>
      </c>
      <c r="F125" s="11">
        <v>0</v>
      </c>
      <c r="G125" s="11">
        <v>42.64</v>
      </c>
      <c r="H125" s="37">
        <f t="shared" si="26"/>
        <v>41</v>
      </c>
      <c r="I125" s="37">
        <f t="shared" si="27"/>
        <v>41</v>
      </c>
      <c r="J125" s="37">
        <f t="shared" si="28"/>
        <v>41</v>
      </c>
      <c r="K125" s="37">
        <f t="shared" si="29"/>
        <v>41</v>
      </c>
      <c r="L125" s="37">
        <f t="shared" si="30"/>
        <v>41</v>
      </c>
      <c r="M125" s="25">
        <f t="shared" si="31"/>
        <v>42.64</v>
      </c>
      <c r="N125" s="25">
        <f t="shared" si="31"/>
        <v>42.64</v>
      </c>
      <c r="O125" s="25">
        <f t="shared" si="24"/>
        <v>42.64</v>
      </c>
      <c r="P125" s="25">
        <f t="shared" si="24"/>
        <v>42.64</v>
      </c>
      <c r="Q125" s="25">
        <f t="shared" si="24"/>
        <v>42.64</v>
      </c>
      <c r="R125" s="38">
        <v>77.459999999999994</v>
      </c>
      <c r="S125" s="37">
        <f t="shared" si="32"/>
        <v>83.64</v>
      </c>
      <c r="T125" s="37">
        <f t="shared" si="33"/>
        <v>83.64</v>
      </c>
      <c r="U125" s="37">
        <f t="shared" si="34"/>
        <v>83.64</v>
      </c>
      <c r="V125" s="37">
        <f t="shared" si="35"/>
        <v>83.64</v>
      </c>
      <c r="W125" s="37">
        <f t="shared" si="36"/>
        <v>83.64</v>
      </c>
      <c r="X125" s="25"/>
      <c r="Y125" s="38">
        <v>77.459999999999994</v>
      </c>
      <c r="Z125" s="25">
        <f t="shared" si="37"/>
        <v>83.64</v>
      </c>
      <c r="AA125" s="25">
        <f t="shared" si="37"/>
        <v>83.64</v>
      </c>
      <c r="AC125" s="25">
        <f t="shared" si="38"/>
        <v>35.599999999999994</v>
      </c>
      <c r="AD125" s="25">
        <v>41.86</v>
      </c>
    </row>
    <row r="126" spans="1:30" x14ac:dyDescent="0.25">
      <c r="A126" s="30" t="s">
        <v>227</v>
      </c>
      <c r="B126" s="30" t="s">
        <v>773</v>
      </c>
      <c r="C126" s="27">
        <v>86.38</v>
      </c>
      <c r="D126" s="28" t="str">
        <f t="shared" si="25"/>
        <v>No</v>
      </c>
      <c r="E126" s="28" t="s">
        <v>653</v>
      </c>
      <c r="F126" s="11">
        <v>0</v>
      </c>
      <c r="G126" s="11">
        <v>0</v>
      </c>
      <c r="H126" s="37">
        <f t="shared" si="26"/>
        <v>86.38</v>
      </c>
      <c r="I126" s="37">
        <f t="shared" si="27"/>
        <v>86.38</v>
      </c>
      <c r="J126" s="37">
        <f t="shared" si="28"/>
        <v>86.38</v>
      </c>
      <c r="K126" s="37">
        <f t="shared" si="29"/>
        <v>86.38</v>
      </c>
      <c r="L126" s="37">
        <f t="shared" si="30"/>
        <v>86.38</v>
      </c>
      <c r="M126" s="25">
        <f t="shared" si="31"/>
        <v>0</v>
      </c>
      <c r="N126" s="25">
        <f t="shared" si="31"/>
        <v>0</v>
      </c>
      <c r="O126" s="25">
        <f t="shared" si="24"/>
        <v>0</v>
      </c>
      <c r="P126" s="25">
        <f t="shared" si="24"/>
        <v>0</v>
      </c>
      <c r="Q126" s="25">
        <f t="shared" si="24"/>
        <v>0</v>
      </c>
      <c r="R126" s="38">
        <v>93.74</v>
      </c>
      <c r="S126" s="37">
        <f t="shared" si="32"/>
        <v>86.38</v>
      </c>
      <c r="T126" s="37">
        <f t="shared" si="33"/>
        <v>86.38</v>
      </c>
      <c r="U126" s="37">
        <f t="shared" si="34"/>
        <v>86.38</v>
      </c>
      <c r="V126" s="37">
        <f t="shared" si="35"/>
        <v>86.38</v>
      </c>
      <c r="W126" s="37">
        <f t="shared" si="36"/>
        <v>86.38</v>
      </c>
      <c r="X126" s="25"/>
      <c r="Y126" s="38">
        <v>93.74</v>
      </c>
      <c r="Z126" s="25">
        <f t="shared" si="37"/>
        <v>93.74</v>
      </c>
      <c r="AA126" s="25">
        <f t="shared" si="37"/>
        <v>86.38</v>
      </c>
      <c r="AC126" s="25">
        <f t="shared" si="38"/>
        <v>93.74</v>
      </c>
      <c r="AD126" s="25">
        <v>0</v>
      </c>
    </row>
    <row r="127" spans="1:30" x14ac:dyDescent="0.25">
      <c r="A127" s="30" t="s">
        <v>229</v>
      </c>
      <c r="B127" s="30" t="s">
        <v>774</v>
      </c>
      <c r="C127" s="27">
        <v>219.17</v>
      </c>
      <c r="D127" s="28" t="str">
        <f t="shared" si="25"/>
        <v>Yes</v>
      </c>
      <c r="E127" s="28" t="s">
        <v>653</v>
      </c>
      <c r="F127" s="11">
        <v>0</v>
      </c>
      <c r="G127" s="11">
        <v>0</v>
      </c>
      <c r="H127" s="37">
        <f t="shared" si="26"/>
        <v>219.17</v>
      </c>
      <c r="I127" s="37">
        <f t="shared" si="27"/>
        <v>222.10166835917781</v>
      </c>
      <c r="J127" s="37">
        <f t="shared" si="28"/>
        <v>225.93021800548811</v>
      </c>
      <c r="K127" s="37">
        <f t="shared" si="29"/>
        <v>229.82476351982837</v>
      </c>
      <c r="L127" s="37">
        <f t="shared" si="30"/>
        <v>233.78644252740901</v>
      </c>
      <c r="M127" s="25">
        <f t="shared" si="31"/>
        <v>0</v>
      </c>
      <c r="N127" s="25">
        <f t="shared" si="31"/>
        <v>0</v>
      </c>
      <c r="O127" s="25">
        <f t="shared" si="24"/>
        <v>0</v>
      </c>
      <c r="P127" s="25">
        <f t="shared" si="24"/>
        <v>0</v>
      </c>
      <c r="Q127" s="25">
        <f t="shared" si="24"/>
        <v>0</v>
      </c>
      <c r="R127" s="38">
        <v>224.07</v>
      </c>
      <c r="S127" s="37">
        <f t="shared" si="32"/>
        <v>219.17</v>
      </c>
      <c r="T127" s="37">
        <f t="shared" si="33"/>
        <v>222.1</v>
      </c>
      <c r="U127" s="37">
        <f t="shared" si="34"/>
        <v>225.93</v>
      </c>
      <c r="V127" s="37">
        <f t="shared" si="35"/>
        <v>229.82</v>
      </c>
      <c r="W127" s="37">
        <f t="shared" si="36"/>
        <v>233.79</v>
      </c>
      <c r="X127" s="25"/>
      <c r="Y127" s="38">
        <v>224.07</v>
      </c>
      <c r="Z127" s="25">
        <f t="shared" si="37"/>
        <v>224.07</v>
      </c>
      <c r="AA127" s="25">
        <f t="shared" si="37"/>
        <v>222.1</v>
      </c>
      <c r="AC127" s="25">
        <f t="shared" si="38"/>
        <v>224.07</v>
      </c>
      <c r="AD127" s="25">
        <v>0</v>
      </c>
    </row>
    <row r="128" spans="1:30" x14ac:dyDescent="0.25">
      <c r="A128" s="30" t="s">
        <v>231</v>
      </c>
      <c r="B128" s="30" t="s">
        <v>775</v>
      </c>
      <c r="C128" s="27">
        <v>3229.45</v>
      </c>
      <c r="D128" s="28" t="str">
        <f t="shared" si="25"/>
        <v>Yes</v>
      </c>
      <c r="E128" s="28" t="s">
        <v>653</v>
      </c>
      <c r="F128" s="11">
        <v>42.64</v>
      </c>
      <c r="G128" s="11">
        <v>0</v>
      </c>
      <c r="H128" s="37">
        <f t="shared" si="26"/>
        <v>3229.45</v>
      </c>
      <c r="I128" s="37">
        <f t="shared" si="27"/>
        <v>3272.6478664166939</v>
      </c>
      <c r="J128" s="37">
        <f t="shared" si="28"/>
        <v>3329.0611969604583</v>
      </c>
      <c r="K128" s="37">
        <f t="shared" si="29"/>
        <v>3386.446970612355</v>
      </c>
      <c r="L128" s="37">
        <f t="shared" si="30"/>
        <v>3444.8219501763065</v>
      </c>
      <c r="M128" s="25">
        <f t="shared" si="31"/>
        <v>-42.64</v>
      </c>
      <c r="N128" s="25">
        <f t="shared" si="31"/>
        <v>-42.64</v>
      </c>
      <c r="O128" s="25">
        <f t="shared" si="24"/>
        <v>-42.64</v>
      </c>
      <c r="P128" s="25">
        <f t="shared" si="24"/>
        <v>-42.64</v>
      </c>
      <c r="Q128" s="25">
        <f t="shared" si="24"/>
        <v>-42.64</v>
      </c>
      <c r="R128" s="38">
        <v>3274.7</v>
      </c>
      <c r="S128" s="37">
        <f t="shared" si="32"/>
        <v>3186.81</v>
      </c>
      <c r="T128" s="37">
        <f t="shared" si="33"/>
        <v>3230.01</v>
      </c>
      <c r="U128" s="37">
        <f t="shared" si="34"/>
        <v>3286.42</v>
      </c>
      <c r="V128" s="37">
        <f t="shared" si="35"/>
        <v>3343.81</v>
      </c>
      <c r="W128" s="37">
        <f t="shared" si="36"/>
        <v>3402.18</v>
      </c>
      <c r="X128" s="25"/>
      <c r="Y128" s="38">
        <v>3274.7</v>
      </c>
      <c r="Z128" s="25">
        <f t="shared" si="37"/>
        <v>3274.7</v>
      </c>
      <c r="AA128" s="25">
        <f t="shared" si="37"/>
        <v>3230.01</v>
      </c>
      <c r="AC128" s="25">
        <f t="shared" si="38"/>
        <v>3316.56</v>
      </c>
      <c r="AD128" s="25">
        <v>-41.86</v>
      </c>
    </row>
    <row r="129" spans="1:30" x14ac:dyDescent="0.25">
      <c r="A129" s="30" t="s">
        <v>233</v>
      </c>
      <c r="B129" s="30" t="s">
        <v>776</v>
      </c>
      <c r="C129" s="27">
        <v>575.37</v>
      </c>
      <c r="D129" s="28" t="str">
        <f t="shared" si="25"/>
        <v>Yes</v>
      </c>
      <c r="E129" s="28" t="s">
        <v>653</v>
      </c>
      <c r="F129" s="11">
        <v>0</v>
      </c>
      <c r="G129" s="11">
        <v>0</v>
      </c>
      <c r="H129" s="37">
        <f t="shared" si="26"/>
        <v>575.37</v>
      </c>
      <c r="I129" s="37">
        <f t="shared" si="27"/>
        <v>583.06628153406098</v>
      </c>
      <c r="J129" s="37">
        <f t="shared" si="28"/>
        <v>593.11707594021857</v>
      </c>
      <c r="K129" s="37">
        <f t="shared" si="29"/>
        <v>603.34112417942083</v>
      </c>
      <c r="L129" s="37">
        <f t="shared" si="30"/>
        <v>613.74141277088711</v>
      </c>
      <c r="M129" s="25">
        <f t="shared" si="31"/>
        <v>0</v>
      </c>
      <c r="N129" s="25">
        <f t="shared" si="31"/>
        <v>0</v>
      </c>
      <c r="O129" s="25">
        <f t="shared" si="24"/>
        <v>0</v>
      </c>
      <c r="P129" s="25">
        <f t="shared" si="24"/>
        <v>0</v>
      </c>
      <c r="Q129" s="25">
        <f t="shared" si="24"/>
        <v>0</v>
      </c>
      <c r="R129" s="38">
        <v>648.71</v>
      </c>
      <c r="S129" s="37">
        <f t="shared" si="32"/>
        <v>575.37</v>
      </c>
      <c r="T129" s="37">
        <f t="shared" si="33"/>
        <v>583.07000000000005</v>
      </c>
      <c r="U129" s="37">
        <f t="shared" si="34"/>
        <v>593.12</v>
      </c>
      <c r="V129" s="37">
        <f t="shared" si="35"/>
        <v>603.34</v>
      </c>
      <c r="W129" s="37">
        <f t="shared" si="36"/>
        <v>613.74</v>
      </c>
      <c r="X129" s="25"/>
      <c r="Y129" s="38">
        <v>648.71</v>
      </c>
      <c r="Z129" s="25">
        <f t="shared" si="37"/>
        <v>648.71</v>
      </c>
      <c r="AA129" s="25">
        <f t="shared" si="37"/>
        <v>583.07000000000005</v>
      </c>
      <c r="AC129" s="25">
        <f t="shared" si="38"/>
        <v>648.71</v>
      </c>
      <c r="AD129" s="25">
        <v>0</v>
      </c>
    </row>
    <row r="130" spans="1:30" x14ac:dyDescent="0.25">
      <c r="A130" s="30" t="s">
        <v>235</v>
      </c>
      <c r="B130" s="30" t="s">
        <v>777</v>
      </c>
      <c r="C130" s="27">
        <v>880.51</v>
      </c>
      <c r="D130" s="28" t="str">
        <f t="shared" si="25"/>
        <v>Yes</v>
      </c>
      <c r="E130" s="28" t="s">
        <v>653</v>
      </c>
      <c r="F130" s="11">
        <v>0</v>
      </c>
      <c r="G130" s="11">
        <v>0</v>
      </c>
      <c r="H130" s="37">
        <f t="shared" si="26"/>
        <v>880.51</v>
      </c>
      <c r="I130" s="37">
        <f t="shared" si="27"/>
        <v>892.2879043981369</v>
      </c>
      <c r="J130" s="37">
        <f t="shared" si="28"/>
        <v>907.66900696268817</v>
      </c>
      <c r="K130" s="37">
        <f t="shared" si="29"/>
        <v>923.31524627843271</v>
      </c>
      <c r="L130" s="37">
        <f t="shared" si="30"/>
        <v>939.23119272623501</v>
      </c>
      <c r="M130" s="25">
        <f t="shared" si="31"/>
        <v>0</v>
      </c>
      <c r="N130" s="25">
        <f t="shared" si="31"/>
        <v>0</v>
      </c>
      <c r="O130" s="25">
        <f t="shared" si="24"/>
        <v>0</v>
      </c>
      <c r="P130" s="25">
        <f t="shared" si="24"/>
        <v>0</v>
      </c>
      <c r="Q130" s="25">
        <f t="shared" si="24"/>
        <v>0</v>
      </c>
      <c r="R130" s="38">
        <v>902.71</v>
      </c>
      <c r="S130" s="37">
        <f t="shared" si="32"/>
        <v>880.51</v>
      </c>
      <c r="T130" s="37">
        <f t="shared" si="33"/>
        <v>892.29</v>
      </c>
      <c r="U130" s="37">
        <f t="shared" si="34"/>
        <v>907.67</v>
      </c>
      <c r="V130" s="37">
        <f t="shared" si="35"/>
        <v>923.32</v>
      </c>
      <c r="W130" s="37">
        <f t="shared" si="36"/>
        <v>939.23</v>
      </c>
      <c r="X130" s="25"/>
      <c r="Y130" s="38">
        <v>902.71</v>
      </c>
      <c r="Z130" s="25">
        <f t="shared" si="37"/>
        <v>902.71</v>
      </c>
      <c r="AA130" s="25">
        <f t="shared" si="37"/>
        <v>892.29</v>
      </c>
      <c r="AC130" s="25">
        <f t="shared" si="38"/>
        <v>902.71</v>
      </c>
      <c r="AD130" s="25">
        <v>0</v>
      </c>
    </row>
    <row r="131" spans="1:30" x14ac:dyDescent="0.25">
      <c r="A131" s="30" t="s">
        <v>237</v>
      </c>
      <c r="B131" s="30" t="s">
        <v>778</v>
      </c>
      <c r="C131" s="27">
        <v>60.02</v>
      </c>
      <c r="D131" s="28" t="str">
        <f t="shared" si="25"/>
        <v>No</v>
      </c>
      <c r="E131" s="28" t="s">
        <v>655</v>
      </c>
      <c r="F131" s="11">
        <v>0</v>
      </c>
      <c r="G131" s="11">
        <v>0</v>
      </c>
      <c r="H131" s="37">
        <f t="shared" si="26"/>
        <v>60.02</v>
      </c>
      <c r="I131" s="37">
        <f t="shared" si="27"/>
        <v>60.02</v>
      </c>
      <c r="J131" s="37">
        <f t="shared" si="28"/>
        <v>60.02</v>
      </c>
      <c r="K131" s="37">
        <f t="shared" si="29"/>
        <v>60.02</v>
      </c>
      <c r="L131" s="37">
        <f t="shared" si="30"/>
        <v>60.02</v>
      </c>
      <c r="M131" s="25">
        <f t="shared" si="31"/>
        <v>0</v>
      </c>
      <c r="N131" s="25">
        <f t="shared" si="31"/>
        <v>0</v>
      </c>
      <c r="O131" s="25">
        <f t="shared" si="24"/>
        <v>0</v>
      </c>
      <c r="P131" s="25">
        <f t="shared" si="24"/>
        <v>0</v>
      </c>
      <c r="Q131" s="25">
        <f t="shared" si="24"/>
        <v>0</v>
      </c>
      <c r="R131" s="38">
        <v>67.8</v>
      </c>
      <c r="S131" s="37">
        <f t="shared" si="32"/>
        <v>60.02</v>
      </c>
      <c r="T131" s="37">
        <f t="shared" si="33"/>
        <v>60.02</v>
      </c>
      <c r="U131" s="37">
        <f t="shared" si="34"/>
        <v>60.02</v>
      </c>
      <c r="V131" s="37">
        <f t="shared" si="35"/>
        <v>60.02</v>
      </c>
      <c r="W131" s="37">
        <f t="shared" si="36"/>
        <v>60.02</v>
      </c>
      <c r="X131" s="25"/>
      <c r="Y131" s="38">
        <v>67.8</v>
      </c>
      <c r="Z131" s="25">
        <f t="shared" si="37"/>
        <v>67.8</v>
      </c>
      <c r="AA131" s="25">
        <f t="shared" si="37"/>
        <v>60.02</v>
      </c>
      <c r="AC131" s="25">
        <f t="shared" si="38"/>
        <v>67.8</v>
      </c>
      <c r="AD131" s="25">
        <v>0</v>
      </c>
    </row>
    <row r="132" spans="1:30" x14ac:dyDescent="0.25">
      <c r="A132" s="30" t="s">
        <v>239</v>
      </c>
      <c r="B132" s="30" t="s">
        <v>779</v>
      </c>
      <c r="C132" s="27">
        <v>112.7</v>
      </c>
      <c r="D132" s="28" t="str">
        <f t="shared" si="25"/>
        <v>Yes</v>
      </c>
      <c r="E132" s="28" t="s">
        <v>653</v>
      </c>
      <c r="F132" s="11">
        <v>5</v>
      </c>
      <c r="G132" s="11">
        <v>0</v>
      </c>
      <c r="H132" s="37">
        <f t="shared" si="26"/>
        <v>112.7</v>
      </c>
      <c r="I132" s="37">
        <f t="shared" si="27"/>
        <v>114.20750113646641</v>
      </c>
      <c r="J132" s="37">
        <f t="shared" si="28"/>
        <v>116.17619003156689</v>
      </c>
      <c r="K132" s="37">
        <f t="shared" si="29"/>
        <v>118.17881484092104</v>
      </c>
      <c r="L132" s="37">
        <f t="shared" si="30"/>
        <v>120.21596054587307</v>
      </c>
      <c r="M132" s="25">
        <f t="shared" si="31"/>
        <v>-5</v>
      </c>
      <c r="N132" s="25">
        <f t="shared" si="31"/>
        <v>-5</v>
      </c>
      <c r="O132" s="25">
        <f t="shared" si="24"/>
        <v>-5</v>
      </c>
      <c r="P132" s="25">
        <f t="shared" si="24"/>
        <v>-5</v>
      </c>
      <c r="Q132" s="25">
        <f t="shared" si="24"/>
        <v>-5</v>
      </c>
      <c r="R132" s="38">
        <v>113.4</v>
      </c>
      <c r="S132" s="37">
        <f t="shared" si="32"/>
        <v>107.7</v>
      </c>
      <c r="T132" s="37">
        <f t="shared" si="33"/>
        <v>109.21</v>
      </c>
      <c r="U132" s="37">
        <f t="shared" si="34"/>
        <v>111.18</v>
      </c>
      <c r="V132" s="37">
        <f t="shared" si="35"/>
        <v>113.18</v>
      </c>
      <c r="W132" s="37">
        <f t="shared" si="36"/>
        <v>115.22</v>
      </c>
      <c r="X132" s="25"/>
      <c r="Y132" s="38">
        <v>113.4</v>
      </c>
      <c r="Z132" s="25">
        <f t="shared" si="37"/>
        <v>113.4</v>
      </c>
      <c r="AA132" s="25">
        <f t="shared" si="37"/>
        <v>109.21</v>
      </c>
      <c r="AC132" s="25">
        <f t="shared" si="38"/>
        <v>118.80000000000001</v>
      </c>
      <c r="AD132" s="25">
        <v>-5.4</v>
      </c>
    </row>
    <row r="133" spans="1:30" x14ac:dyDescent="0.25">
      <c r="A133" s="30" t="s">
        <v>241</v>
      </c>
      <c r="B133" s="30" t="s">
        <v>780</v>
      </c>
      <c r="C133" s="27">
        <v>86.3</v>
      </c>
      <c r="D133" s="28" t="str">
        <f t="shared" si="25"/>
        <v>No</v>
      </c>
      <c r="E133" s="28" t="s">
        <v>653</v>
      </c>
      <c r="F133" s="11">
        <v>0</v>
      </c>
      <c r="G133" s="11">
        <v>0</v>
      </c>
      <c r="H133" s="37">
        <f t="shared" si="26"/>
        <v>86.3</v>
      </c>
      <c r="I133" s="37">
        <f t="shared" si="27"/>
        <v>86.3</v>
      </c>
      <c r="J133" s="37">
        <f t="shared" si="28"/>
        <v>86.3</v>
      </c>
      <c r="K133" s="37">
        <f t="shared" si="29"/>
        <v>86.3</v>
      </c>
      <c r="L133" s="37">
        <f t="shared" si="30"/>
        <v>86.3</v>
      </c>
      <c r="M133" s="25">
        <f t="shared" si="31"/>
        <v>0</v>
      </c>
      <c r="N133" s="25">
        <f t="shared" si="31"/>
        <v>0</v>
      </c>
      <c r="O133" s="25">
        <f t="shared" ref="O133:Q136" si="39">-$F133+$G133</f>
        <v>0</v>
      </c>
      <c r="P133" s="25">
        <f t="shared" si="39"/>
        <v>0</v>
      </c>
      <c r="Q133" s="25">
        <f t="shared" si="39"/>
        <v>0</v>
      </c>
      <c r="R133" s="38">
        <v>96.09</v>
      </c>
      <c r="S133" s="37">
        <f t="shared" si="32"/>
        <v>86.3</v>
      </c>
      <c r="T133" s="37">
        <f t="shared" si="33"/>
        <v>86.3</v>
      </c>
      <c r="U133" s="37">
        <f t="shared" si="34"/>
        <v>86.3</v>
      </c>
      <c r="V133" s="37">
        <f t="shared" si="35"/>
        <v>86.3</v>
      </c>
      <c r="W133" s="37">
        <f t="shared" si="36"/>
        <v>86.3</v>
      </c>
      <c r="X133" s="25"/>
      <c r="Y133" s="38">
        <v>96.09</v>
      </c>
      <c r="Z133" s="25">
        <f t="shared" si="37"/>
        <v>96.09</v>
      </c>
      <c r="AA133" s="25">
        <f t="shared" si="37"/>
        <v>86.3</v>
      </c>
      <c r="AC133" s="25">
        <f t="shared" si="38"/>
        <v>85.09</v>
      </c>
      <c r="AD133" s="25">
        <v>11</v>
      </c>
    </row>
    <row r="134" spans="1:30" x14ac:dyDescent="0.25">
      <c r="A134" s="30" t="s">
        <v>243</v>
      </c>
      <c r="B134" s="30" t="s">
        <v>781</v>
      </c>
      <c r="C134" s="27">
        <v>186.49</v>
      </c>
      <c r="D134" s="28" t="str">
        <f t="shared" si="25"/>
        <v>Yes</v>
      </c>
      <c r="E134" s="28" t="s">
        <v>653</v>
      </c>
      <c r="F134" s="11">
        <v>0</v>
      </c>
      <c r="G134" s="11">
        <v>0</v>
      </c>
      <c r="H134" s="37">
        <f t="shared" si="26"/>
        <v>186.49</v>
      </c>
      <c r="I134" s="37">
        <f t="shared" si="27"/>
        <v>188.98453315829298</v>
      </c>
      <c r="J134" s="37">
        <f t="shared" si="28"/>
        <v>192.24221543022989</v>
      </c>
      <c r="K134" s="37">
        <f t="shared" si="29"/>
        <v>195.55605305841493</v>
      </c>
      <c r="L134" s="37">
        <f t="shared" si="30"/>
        <v>198.92701403904053</v>
      </c>
      <c r="M134" s="25">
        <f t="shared" si="31"/>
        <v>0</v>
      </c>
      <c r="N134" s="25">
        <f t="shared" si="31"/>
        <v>0</v>
      </c>
      <c r="O134" s="25">
        <f t="shared" si="39"/>
        <v>0</v>
      </c>
      <c r="P134" s="25">
        <f t="shared" si="39"/>
        <v>0</v>
      </c>
      <c r="Q134" s="25">
        <f t="shared" si="39"/>
        <v>0</v>
      </c>
      <c r="R134" s="38">
        <v>225.3</v>
      </c>
      <c r="S134" s="37">
        <f t="shared" si="32"/>
        <v>186.49</v>
      </c>
      <c r="T134" s="37">
        <f t="shared" si="33"/>
        <v>188.98</v>
      </c>
      <c r="U134" s="37">
        <f t="shared" si="34"/>
        <v>192.24</v>
      </c>
      <c r="V134" s="37">
        <f t="shared" si="35"/>
        <v>195.56</v>
      </c>
      <c r="W134" s="37">
        <f t="shared" si="36"/>
        <v>198.93</v>
      </c>
      <c r="X134" s="25"/>
      <c r="Y134" s="38">
        <v>225.3</v>
      </c>
      <c r="Z134" s="25">
        <f t="shared" si="37"/>
        <v>225.3</v>
      </c>
      <c r="AA134" s="25">
        <f t="shared" si="37"/>
        <v>188.98</v>
      </c>
      <c r="AC134" s="25">
        <f t="shared" si="38"/>
        <v>225.3</v>
      </c>
      <c r="AD134" s="25">
        <v>0</v>
      </c>
    </row>
    <row r="135" spans="1:30" x14ac:dyDescent="0.25">
      <c r="A135" s="30" t="s">
        <v>245</v>
      </c>
      <c r="B135" s="30" t="s">
        <v>782</v>
      </c>
      <c r="C135" s="27">
        <v>50.88</v>
      </c>
      <c r="D135" s="28" t="str">
        <f t="shared" si="25"/>
        <v>No</v>
      </c>
      <c r="E135" s="28" t="s">
        <v>655</v>
      </c>
      <c r="F135" s="11">
        <v>0</v>
      </c>
      <c r="G135" s="11">
        <v>0</v>
      </c>
      <c r="H135" s="37">
        <f t="shared" si="26"/>
        <v>50.88</v>
      </c>
      <c r="I135" s="37">
        <f t="shared" si="27"/>
        <v>50.88</v>
      </c>
      <c r="J135" s="37">
        <f t="shared" si="28"/>
        <v>50.88</v>
      </c>
      <c r="K135" s="37">
        <f t="shared" si="29"/>
        <v>50.88</v>
      </c>
      <c r="L135" s="37">
        <f t="shared" si="30"/>
        <v>50.88</v>
      </c>
      <c r="M135" s="25">
        <f t="shared" si="31"/>
        <v>0</v>
      </c>
      <c r="N135" s="25">
        <f t="shared" si="31"/>
        <v>0</v>
      </c>
      <c r="O135" s="25">
        <f t="shared" si="39"/>
        <v>0</v>
      </c>
      <c r="P135" s="25">
        <f t="shared" si="39"/>
        <v>0</v>
      </c>
      <c r="Q135" s="25">
        <f t="shared" si="39"/>
        <v>0</v>
      </c>
      <c r="R135" s="38">
        <v>65.430000000000007</v>
      </c>
      <c r="S135" s="37">
        <f t="shared" si="32"/>
        <v>50.88</v>
      </c>
      <c r="T135" s="37">
        <f t="shared" si="33"/>
        <v>50.88</v>
      </c>
      <c r="U135" s="37">
        <f t="shared" si="34"/>
        <v>50.88</v>
      </c>
      <c r="V135" s="37">
        <f t="shared" si="35"/>
        <v>50.88</v>
      </c>
      <c r="W135" s="37">
        <f t="shared" si="36"/>
        <v>50.88</v>
      </c>
      <c r="X135" s="25"/>
      <c r="Y135" s="38">
        <v>65.430000000000007</v>
      </c>
      <c r="Z135" s="25">
        <f t="shared" si="37"/>
        <v>65.430000000000007</v>
      </c>
      <c r="AA135" s="25">
        <f t="shared" si="37"/>
        <v>50.88</v>
      </c>
      <c r="AC135" s="25">
        <f t="shared" si="38"/>
        <v>65.430000000000007</v>
      </c>
      <c r="AD135" s="25">
        <v>0</v>
      </c>
    </row>
    <row r="136" spans="1:30" x14ac:dyDescent="0.25">
      <c r="A136" s="30" t="s">
        <v>247</v>
      </c>
      <c r="B136" s="30" t="s">
        <v>783</v>
      </c>
      <c r="C136" s="27">
        <v>94.67</v>
      </c>
      <c r="D136" s="28" t="str">
        <f t="shared" si="25"/>
        <v>No</v>
      </c>
      <c r="E136" s="28" t="s">
        <v>653</v>
      </c>
      <c r="F136" s="11">
        <v>0</v>
      </c>
      <c r="G136" s="11">
        <v>0</v>
      </c>
      <c r="H136" s="37">
        <f t="shared" si="26"/>
        <v>94.67</v>
      </c>
      <c r="I136" s="37">
        <f t="shared" si="27"/>
        <v>94.67</v>
      </c>
      <c r="J136" s="37">
        <f t="shared" si="28"/>
        <v>94.67</v>
      </c>
      <c r="K136" s="37">
        <f t="shared" si="29"/>
        <v>94.67</v>
      </c>
      <c r="L136" s="37">
        <f t="shared" si="30"/>
        <v>94.67</v>
      </c>
      <c r="M136" s="25">
        <f t="shared" si="31"/>
        <v>0</v>
      </c>
      <c r="N136" s="25">
        <f t="shared" si="31"/>
        <v>0</v>
      </c>
      <c r="O136" s="25">
        <f t="shared" si="39"/>
        <v>0</v>
      </c>
      <c r="P136" s="25">
        <f t="shared" si="39"/>
        <v>0</v>
      </c>
      <c r="Q136" s="25">
        <f t="shared" si="39"/>
        <v>0</v>
      </c>
      <c r="R136" s="38">
        <v>80.099999999999994</v>
      </c>
      <c r="S136" s="37">
        <f t="shared" si="32"/>
        <v>94.67</v>
      </c>
      <c r="T136" s="37">
        <f t="shared" si="33"/>
        <v>94.67</v>
      </c>
      <c r="U136" s="37">
        <f t="shared" si="34"/>
        <v>94.67</v>
      </c>
      <c r="V136" s="37">
        <f t="shared" si="35"/>
        <v>94.67</v>
      </c>
      <c r="W136" s="37">
        <f t="shared" si="36"/>
        <v>94.67</v>
      </c>
      <c r="X136" s="25"/>
      <c r="Y136" s="38">
        <v>80.099999999999994</v>
      </c>
      <c r="Z136" s="25">
        <f t="shared" si="37"/>
        <v>94.67</v>
      </c>
      <c r="AA136" s="25">
        <f t="shared" si="37"/>
        <v>94.67</v>
      </c>
      <c r="AC136" s="25">
        <f t="shared" si="38"/>
        <v>80.099999999999994</v>
      </c>
      <c r="AD136" s="25">
        <v>0</v>
      </c>
    </row>
    <row r="137" spans="1:30" x14ac:dyDescent="0.25">
      <c r="A137" s="30" t="s">
        <v>249</v>
      </c>
      <c r="B137" s="30" t="s">
        <v>784</v>
      </c>
      <c r="C137" s="27">
        <v>34.1</v>
      </c>
      <c r="D137" s="28" t="str">
        <f t="shared" ref="D137:D200" si="40">IF(C137&gt;100,"Yes","No")</f>
        <v>No</v>
      </c>
      <c r="E137" s="28" t="s">
        <v>653</v>
      </c>
      <c r="F137" s="11">
        <v>0</v>
      </c>
      <c r="G137" s="11">
        <v>5</v>
      </c>
      <c r="H137" s="37">
        <f t="shared" ref="H137:H200" si="41">(IF(D137="Yes",(C137*(1+SY202021Growth)),C137))</f>
        <v>34.1</v>
      </c>
      <c r="I137" s="37">
        <f t="shared" ref="I137:I200" si="42">(IF(D137="Yes",((C137*(1+SY202021Growth))*(1+SY202122Growth)),C137))</f>
        <v>34.1</v>
      </c>
      <c r="J137" s="37">
        <f t="shared" ref="J137:J200" si="43">(IF(D137="Yes",(((C137*(1+SY202021Growth))*(1+SY202122Growth))*(1+SY202223growth)),C137))</f>
        <v>34.1</v>
      </c>
      <c r="K137" s="37">
        <f t="shared" ref="K137:K200" si="44">(IF(D137="Yes",((((C137*(1+SY202021Growth))*(1+SY202122Growth))*(1+SY202223growth))*(1+SY202324growth)),C137))</f>
        <v>34.1</v>
      </c>
      <c r="L137" s="37">
        <f t="shared" ref="L137:L200" si="45">(IF($D137="Yes",((((($C137*(1+SY202021Growth))*(1+SY202122Growth))*(1+SY202223growth))*(1+SY202324growth))*(1+SY202425Growth)),$C137))</f>
        <v>34.1</v>
      </c>
      <c r="M137" s="25">
        <f t="shared" si="31"/>
        <v>5</v>
      </c>
      <c r="N137" s="25">
        <f t="shared" ref="M137:Q200" si="46">-$F137+$G137</f>
        <v>5</v>
      </c>
      <c r="O137" s="25">
        <f t="shared" si="46"/>
        <v>5</v>
      </c>
      <c r="P137" s="25">
        <f t="shared" si="46"/>
        <v>5</v>
      </c>
      <c r="Q137" s="25">
        <f t="shared" si="46"/>
        <v>5</v>
      </c>
      <c r="R137" s="38">
        <v>47.52</v>
      </c>
      <c r="S137" s="37">
        <f t="shared" si="32"/>
        <v>39.1</v>
      </c>
      <c r="T137" s="37">
        <f t="shared" si="33"/>
        <v>39.1</v>
      </c>
      <c r="U137" s="37">
        <f t="shared" si="34"/>
        <v>39.1</v>
      </c>
      <c r="V137" s="37">
        <f t="shared" si="35"/>
        <v>39.1</v>
      </c>
      <c r="W137" s="37">
        <f t="shared" si="36"/>
        <v>39.1</v>
      </c>
      <c r="X137" s="25"/>
      <c r="Y137" s="38">
        <v>47.52</v>
      </c>
      <c r="Z137" s="25">
        <f t="shared" si="37"/>
        <v>47.52</v>
      </c>
      <c r="AA137" s="25">
        <f t="shared" si="37"/>
        <v>39.1</v>
      </c>
      <c r="AC137" s="25">
        <f t="shared" si="38"/>
        <v>31.950000000000003</v>
      </c>
      <c r="AD137" s="25">
        <v>15.57</v>
      </c>
    </row>
    <row r="138" spans="1:30" x14ac:dyDescent="0.25">
      <c r="A138" s="30" t="s">
        <v>251</v>
      </c>
      <c r="B138" s="30" t="s">
        <v>785</v>
      </c>
      <c r="C138" s="27">
        <v>2283.1</v>
      </c>
      <c r="D138" s="28" t="str">
        <f t="shared" si="40"/>
        <v>Yes</v>
      </c>
      <c r="E138" s="28" t="s">
        <v>653</v>
      </c>
      <c r="F138" s="11">
        <v>0</v>
      </c>
      <c r="G138" s="11">
        <v>0</v>
      </c>
      <c r="H138" s="37">
        <f t="shared" si="41"/>
        <v>2283.1</v>
      </c>
      <c r="I138" s="37">
        <f t="shared" si="42"/>
        <v>2313.6392710263212</v>
      </c>
      <c r="J138" s="37">
        <f t="shared" si="43"/>
        <v>2353.5213794238716</v>
      </c>
      <c r="K138" s="37">
        <f t="shared" si="44"/>
        <v>2394.0909686185164</v>
      </c>
      <c r="L138" s="37">
        <f t="shared" si="45"/>
        <v>2435.3598892837867</v>
      </c>
      <c r="M138" s="25">
        <f t="shared" si="46"/>
        <v>0</v>
      </c>
      <c r="N138" s="25">
        <f t="shared" si="46"/>
        <v>0</v>
      </c>
      <c r="O138" s="25">
        <f t="shared" si="46"/>
        <v>0</v>
      </c>
      <c r="P138" s="25">
        <f t="shared" ref="P138:Q200" si="47">-$F138+$G138</f>
        <v>0</v>
      </c>
      <c r="Q138" s="25">
        <f t="shared" si="47"/>
        <v>0</v>
      </c>
      <c r="R138" s="38">
        <v>884.39</v>
      </c>
      <c r="S138" s="37">
        <f t="shared" ref="S138:S201" si="48">ROUND(SUM(H138,M138),2)</f>
        <v>2283.1</v>
      </c>
      <c r="T138" s="37">
        <f t="shared" ref="T138:T201" si="49">ROUND(SUM(I138,N138),2)</f>
        <v>2313.64</v>
      </c>
      <c r="U138" s="37">
        <f t="shared" ref="U138:U201" si="50">ROUND(SUM(J138,O138),2)</f>
        <v>2353.52</v>
      </c>
      <c r="V138" s="37">
        <f t="shared" ref="V138:V201" si="51">ROUND(SUM(K138,P138),2)</f>
        <v>2394.09</v>
      </c>
      <c r="W138" s="37">
        <f t="shared" ref="W138:W201" si="52">ROUND(SUM(L138,Q138),2)</f>
        <v>2435.36</v>
      </c>
      <c r="X138" s="25"/>
      <c r="Y138" s="38">
        <v>884.39</v>
      </c>
      <c r="Z138" s="25">
        <f t="shared" ref="Z138:AA201" si="53">MAX(S138,R138)</f>
        <v>2283.1</v>
      </c>
      <c r="AA138" s="25">
        <f t="shared" si="53"/>
        <v>2313.64</v>
      </c>
      <c r="AC138" s="25">
        <f t="shared" ref="AC138:AC201" si="54">R138-AD138</f>
        <v>905.56</v>
      </c>
      <c r="AD138" s="25">
        <v>-21.17</v>
      </c>
    </row>
    <row r="139" spans="1:30" x14ac:dyDescent="0.25">
      <c r="A139" s="30" t="s">
        <v>253</v>
      </c>
      <c r="B139" s="30" t="s">
        <v>786</v>
      </c>
      <c r="C139" s="27">
        <v>1103.1400000000001</v>
      </c>
      <c r="D139" s="28" t="str">
        <f t="shared" si="40"/>
        <v>Yes</v>
      </c>
      <c r="E139" s="28" t="s">
        <v>653</v>
      </c>
      <c r="F139" s="11">
        <v>0</v>
      </c>
      <c r="G139" s="11">
        <v>4</v>
      </c>
      <c r="H139" s="37">
        <f t="shared" si="41"/>
        <v>1103.1400000000001</v>
      </c>
      <c r="I139" s="37">
        <f t="shared" si="42"/>
        <v>1117.8958545135897</v>
      </c>
      <c r="J139" s="37">
        <f t="shared" si="43"/>
        <v>1137.1659473950551</v>
      </c>
      <c r="K139" s="37">
        <f t="shared" si="44"/>
        <v>1156.7682147614344</v>
      </c>
      <c r="L139" s="37">
        <f t="shared" si="45"/>
        <v>1176.7083825783002</v>
      </c>
      <c r="M139" s="25">
        <f t="shared" si="46"/>
        <v>4</v>
      </c>
      <c r="N139" s="25">
        <f t="shared" si="46"/>
        <v>4</v>
      </c>
      <c r="O139" s="25">
        <f t="shared" si="46"/>
        <v>4</v>
      </c>
      <c r="P139" s="25">
        <f t="shared" si="47"/>
        <v>4</v>
      </c>
      <c r="Q139" s="25">
        <f t="shared" si="47"/>
        <v>4</v>
      </c>
      <c r="R139" s="38">
        <v>1253.49</v>
      </c>
      <c r="S139" s="37">
        <f t="shared" si="48"/>
        <v>1107.1400000000001</v>
      </c>
      <c r="T139" s="37">
        <f t="shared" si="49"/>
        <v>1121.9000000000001</v>
      </c>
      <c r="U139" s="37">
        <f t="shared" si="50"/>
        <v>1141.17</v>
      </c>
      <c r="V139" s="37">
        <f t="shared" si="51"/>
        <v>1160.77</v>
      </c>
      <c r="W139" s="37">
        <f t="shared" si="52"/>
        <v>1180.71</v>
      </c>
      <c r="X139" s="25"/>
      <c r="Y139" s="38">
        <v>1253.49</v>
      </c>
      <c r="Z139" s="25">
        <f t="shared" si="53"/>
        <v>1253.49</v>
      </c>
      <c r="AA139" s="25">
        <f t="shared" si="53"/>
        <v>1121.9000000000001</v>
      </c>
      <c r="AC139" s="25">
        <f t="shared" si="54"/>
        <v>1250.49</v>
      </c>
      <c r="AD139" s="25">
        <v>3</v>
      </c>
    </row>
    <row r="140" spans="1:30" x14ac:dyDescent="0.25">
      <c r="A140" s="30" t="s">
        <v>255</v>
      </c>
      <c r="B140" s="30" t="s">
        <v>787</v>
      </c>
      <c r="C140" s="27">
        <v>205.16</v>
      </c>
      <c r="D140" s="28" t="str">
        <f t="shared" si="40"/>
        <v>Yes</v>
      </c>
      <c r="E140" s="28" t="s">
        <v>655</v>
      </c>
      <c r="F140" s="11">
        <v>0</v>
      </c>
      <c r="G140" s="11">
        <v>0</v>
      </c>
      <c r="H140" s="37">
        <f t="shared" si="41"/>
        <v>205.16</v>
      </c>
      <c r="I140" s="37">
        <f t="shared" si="42"/>
        <v>207.90426737495514</v>
      </c>
      <c r="J140" s="37">
        <f t="shared" si="43"/>
        <v>211.48808471052581</v>
      </c>
      <c r="K140" s="37">
        <f t="shared" si="44"/>
        <v>215.13367926143172</v>
      </c>
      <c r="L140" s="37">
        <f t="shared" si="45"/>
        <v>218.84211593248727</v>
      </c>
      <c r="M140" s="25">
        <f t="shared" si="46"/>
        <v>0</v>
      </c>
      <c r="N140" s="25">
        <f t="shared" si="46"/>
        <v>0</v>
      </c>
      <c r="O140" s="25">
        <f t="shared" si="46"/>
        <v>0</v>
      </c>
      <c r="P140" s="25">
        <f t="shared" si="47"/>
        <v>0</v>
      </c>
      <c r="Q140" s="25">
        <f t="shared" si="47"/>
        <v>0</v>
      </c>
      <c r="R140" s="38">
        <v>242.8</v>
      </c>
      <c r="S140" s="37">
        <f t="shared" si="48"/>
        <v>205.16</v>
      </c>
      <c r="T140" s="37">
        <f t="shared" si="49"/>
        <v>207.9</v>
      </c>
      <c r="U140" s="37">
        <f t="shared" si="50"/>
        <v>211.49</v>
      </c>
      <c r="V140" s="37">
        <f t="shared" si="51"/>
        <v>215.13</v>
      </c>
      <c r="W140" s="37">
        <f t="shared" si="52"/>
        <v>218.84</v>
      </c>
      <c r="X140" s="25"/>
      <c r="Y140" s="38">
        <v>242.8</v>
      </c>
      <c r="Z140" s="25">
        <f t="shared" si="53"/>
        <v>242.8</v>
      </c>
      <c r="AA140" s="25">
        <f t="shared" si="53"/>
        <v>207.9</v>
      </c>
      <c r="AC140" s="25">
        <f t="shared" si="54"/>
        <v>242.8</v>
      </c>
      <c r="AD140" s="25">
        <v>0</v>
      </c>
    </row>
    <row r="141" spans="1:30" x14ac:dyDescent="0.25">
      <c r="A141" s="30" t="s">
        <v>257</v>
      </c>
      <c r="B141" s="30" t="s">
        <v>788</v>
      </c>
      <c r="C141" s="27">
        <v>772.43</v>
      </c>
      <c r="D141" s="28" t="str">
        <f t="shared" si="40"/>
        <v>Yes</v>
      </c>
      <c r="E141" s="28" t="s">
        <v>653</v>
      </c>
      <c r="F141" s="11">
        <v>29.38</v>
      </c>
      <c r="G141" s="11">
        <v>0</v>
      </c>
      <c r="H141" s="37">
        <f t="shared" si="41"/>
        <v>772.43</v>
      </c>
      <c r="I141" s="37">
        <f t="shared" si="42"/>
        <v>782.76220144490446</v>
      </c>
      <c r="J141" s="37">
        <f t="shared" si="43"/>
        <v>796.255319131173</v>
      </c>
      <c r="K141" s="37">
        <f t="shared" si="44"/>
        <v>809.98102881608361</v>
      </c>
      <c r="L141" s="37">
        <f t="shared" si="45"/>
        <v>823.94333987975801</v>
      </c>
      <c r="M141" s="25">
        <f t="shared" si="46"/>
        <v>-29.38</v>
      </c>
      <c r="N141" s="25">
        <f t="shared" si="46"/>
        <v>-29.38</v>
      </c>
      <c r="O141" s="25">
        <f t="shared" si="46"/>
        <v>-29.38</v>
      </c>
      <c r="P141" s="25">
        <f t="shared" si="47"/>
        <v>-29.38</v>
      </c>
      <c r="Q141" s="25">
        <f t="shared" si="47"/>
        <v>-29.38</v>
      </c>
      <c r="R141" s="38">
        <v>782.68</v>
      </c>
      <c r="S141" s="37">
        <f t="shared" si="48"/>
        <v>743.05</v>
      </c>
      <c r="T141" s="37">
        <f t="shared" si="49"/>
        <v>753.38</v>
      </c>
      <c r="U141" s="37">
        <f t="shared" si="50"/>
        <v>766.88</v>
      </c>
      <c r="V141" s="37">
        <f t="shared" si="51"/>
        <v>780.6</v>
      </c>
      <c r="W141" s="37">
        <f t="shared" si="52"/>
        <v>794.56</v>
      </c>
      <c r="X141" s="25"/>
      <c r="Y141" s="38">
        <v>782.68</v>
      </c>
      <c r="Z141" s="25">
        <f t="shared" si="53"/>
        <v>782.68</v>
      </c>
      <c r="AA141" s="25">
        <f t="shared" si="53"/>
        <v>753.38</v>
      </c>
      <c r="AC141" s="25">
        <f t="shared" si="54"/>
        <v>824.9799999999999</v>
      </c>
      <c r="AD141" s="25">
        <v>-42.3</v>
      </c>
    </row>
    <row r="142" spans="1:30" x14ac:dyDescent="0.25">
      <c r="A142" s="30" t="s">
        <v>259</v>
      </c>
      <c r="B142" s="30" t="s">
        <v>789</v>
      </c>
      <c r="C142" s="27">
        <v>45.4</v>
      </c>
      <c r="D142" s="28" t="str">
        <f t="shared" si="40"/>
        <v>No</v>
      </c>
      <c r="E142" s="28" t="s">
        <v>653</v>
      </c>
      <c r="F142" s="11">
        <v>0</v>
      </c>
      <c r="G142" s="11">
        <v>42.35</v>
      </c>
      <c r="H142" s="37">
        <f t="shared" si="41"/>
        <v>45.4</v>
      </c>
      <c r="I142" s="37">
        <f t="shared" si="42"/>
        <v>45.4</v>
      </c>
      <c r="J142" s="37">
        <f t="shared" si="43"/>
        <v>45.4</v>
      </c>
      <c r="K142" s="37">
        <f t="shared" si="44"/>
        <v>45.4</v>
      </c>
      <c r="L142" s="37">
        <f t="shared" si="45"/>
        <v>45.4</v>
      </c>
      <c r="M142" s="25">
        <f t="shared" si="46"/>
        <v>42.35</v>
      </c>
      <c r="N142" s="25">
        <f t="shared" si="46"/>
        <v>42.35</v>
      </c>
      <c r="O142" s="25">
        <f t="shared" si="46"/>
        <v>42.35</v>
      </c>
      <c r="P142" s="25">
        <f t="shared" si="47"/>
        <v>42.35</v>
      </c>
      <c r="Q142" s="25">
        <f t="shared" si="47"/>
        <v>42.35</v>
      </c>
      <c r="R142" s="38">
        <v>120.29</v>
      </c>
      <c r="S142" s="37">
        <f t="shared" si="48"/>
        <v>87.75</v>
      </c>
      <c r="T142" s="37">
        <f t="shared" si="49"/>
        <v>87.75</v>
      </c>
      <c r="U142" s="37">
        <f t="shared" si="50"/>
        <v>87.75</v>
      </c>
      <c r="V142" s="37">
        <f t="shared" si="51"/>
        <v>87.75</v>
      </c>
      <c r="W142" s="37">
        <f t="shared" si="52"/>
        <v>87.75</v>
      </c>
      <c r="X142" s="25"/>
      <c r="Y142" s="38">
        <v>120.29</v>
      </c>
      <c r="Z142" s="25">
        <f t="shared" si="53"/>
        <v>120.29</v>
      </c>
      <c r="AA142" s="25">
        <f t="shared" si="53"/>
        <v>87.75</v>
      </c>
      <c r="AC142" s="25">
        <f t="shared" si="54"/>
        <v>50.460000000000008</v>
      </c>
      <c r="AD142" s="25">
        <v>69.83</v>
      </c>
    </row>
    <row r="143" spans="1:30" x14ac:dyDescent="0.25">
      <c r="A143" s="30" t="s">
        <v>261</v>
      </c>
      <c r="B143" s="30" t="s">
        <v>790</v>
      </c>
      <c r="C143" s="27">
        <v>575.51</v>
      </c>
      <c r="D143" s="28" t="str">
        <f t="shared" si="40"/>
        <v>Yes</v>
      </c>
      <c r="E143" s="28" t="s">
        <v>653</v>
      </c>
      <c r="F143" s="11">
        <v>0</v>
      </c>
      <c r="G143" s="11">
        <v>0</v>
      </c>
      <c r="H143" s="37">
        <f t="shared" si="41"/>
        <v>575.51</v>
      </c>
      <c r="I143" s="37">
        <f t="shared" si="42"/>
        <v>583.20815420628014</v>
      </c>
      <c r="J143" s="37">
        <f t="shared" si="43"/>
        <v>593.26139418870491</v>
      </c>
      <c r="K143" s="37">
        <f t="shared" si="44"/>
        <v>603.4879301605896</v>
      </c>
      <c r="L143" s="37">
        <f t="shared" si="45"/>
        <v>613.89074936783845</v>
      </c>
      <c r="M143" s="25">
        <f t="shared" si="46"/>
        <v>0</v>
      </c>
      <c r="N143" s="25">
        <f t="shared" si="46"/>
        <v>0</v>
      </c>
      <c r="O143" s="25">
        <f t="shared" si="46"/>
        <v>0</v>
      </c>
      <c r="P143" s="25">
        <f t="shared" si="47"/>
        <v>0</v>
      </c>
      <c r="Q143" s="25">
        <f t="shared" si="47"/>
        <v>0</v>
      </c>
      <c r="R143" s="38">
        <v>561.32000000000005</v>
      </c>
      <c r="S143" s="37">
        <f t="shared" si="48"/>
        <v>575.51</v>
      </c>
      <c r="T143" s="37">
        <f t="shared" si="49"/>
        <v>583.21</v>
      </c>
      <c r="U143" s="37">
        <f t="shared" si="50"/>
        <v>593.26</v>
      </c>
      <c r="V143" s="37">
        <f t="shared" si="51"/>
        <v>603.49</v>
      </c>
      <c r="W143" s="37">
        <f t="shared" si="52"/>
        <v>613.89</v>
      </c>
      <c r="X143" s="25"/>
      <c r="Y143" s="38">
        <v>561.32000000000005</v>
      </c>
      <c r="Z143" s="25">
        <f t="shared" si="53"/>
        <v>575.51</v>
      </c>
      <c r="AA143" s="25">
        <f t="shared" si="53"/>
        <v>583.21</v>
      </c>
      <c r="AC143" s="25">
        <f t="shared" si="54"/>
        <v>561.32000000000005</v>
      </c>
      <c r="AD143" s="25">
        <v>0</v>
      </c>
    </row>
    <row r="144" spans="1:30" x14ac:dyDescent="0.25">
      <c r="A144" s="30" t="s">
        <v>263</v>
      </c>
      <c r="B144" s="30" t="s">
        <v>791</v>
      </c>
      <c r="C144" s="27">
        <v>392.36</v>
      </c>
      <c r="D144" s="28" t="str">
        <f t="shared" si="40"/>
        <v>Yes</v>
      </c>
      <c r="E144" s="28" t="s">
        <v>653</v>
      </c>
      <c r="F144" s="11">
        <v>0</v>
      </c>
      <c r="G144" s="11">
        <v>0</v>
      </c>
      <c r="H144" s="37">
        <f t="shared" si="41"/>
        <v>392.36</v>
      </c>
      <c r="I144" s="37">
        <f t="shared" si="42"/>
        <v>397.60829765664556</v>
      </c>
      <c r="J144" s="37">
        <f t="shared" si="43"/>
        <v>404.46219982950822</v>
      </c>
      <c r="K144" s="37">
        <f t="shared" si="44"/>
        <v>411.43424836720288</v>
      </c>
      <c r="L144" s="37">
        <f t="shared" si="45"/>
        <v>418.52647985606694</v>
      </c>
      <c r="M144" s="25">
        <f t="shared" si="46"/>
        <v>0</v>
      </c>
      <c r="N144" s="25">
        <f t="shared" si="46"/>
        <v>0</v>
      </c>
      <c r="O144" s="25">
        <f t="shared" si="46"/>
        <v>0</v>
      </c>
      <c r="P144" s="25">
        <f t="shared" si="47"/>
        <v>0</v>
      </c>
      <c r="Q144" s="25">
        <f t="shared" si="47"/>
        <v>0</v>
      </c>
      <c r="R144" s="38">
        <v>342.65</v>
      </c>
      <c r="S144" s="37">
        <f t="shared" si="48"/>
        <v>392.36</v>
      </c>
      <c r="T144" s="37">
        <f t="shared" si="49"/>
        <v>397.61</v>
      </c>
      <c r="U144" s="37">
        <f t="shared" si="50"/>
        <v>404.46</v>
      </c>
      <c r="V144" s="37">
        <f t="shared" si="51"/>
        <v>411.43</v>
      </c>
      <c r="W144" s="37">
        <f t="shared" si="52"/>
        <v>418.53</v>
      </c>
      <c r="X144" s="25"/>
      <c r="Y144" s="38">
        <v>342.65</v>
      </c>
      <c r="Z144" s="25">
        <f t="shared" si="53"/>
        <v>392.36</v>
      </c>
      <c r="AA144" s="25">
        <f t="shared" si="53"/>
        <v>397.61</v>
      </c>
      <c r="AC144" s="25">
        <f t="shared" si="54"/>
        <v>342.65</v>
      </c>
      <c r="AD144" s="25">
        <v>0</v>
      </c>
    </row>
    <row r="145" spans="1:30" x14ac:dyDescent="0.25">
      <c r="A145" s="30" t="s">
        <v>265</v>
      </c>
      <c r="B145" s="30" t="s">
        <v>792</v>
      </c>
      <c r="C145" s="27">
        <v>615.55999999999995</v>
      </c>
      <c r="D145" s="28" t="str">
        <f t="shared" si="40"/>
        <v>Yes</v>
      </c>
      <c r="E145" s="28" t="s">
        <v>655</v>
      </c>
      <c r="F145" s="11">
        <v>16.5</v>
      </c>
      <c r="G145" s="11">
        <v>0</v>
      </c>
      <c r="H145" s="37">
        <f t="shared" si="41"/>
        <v>615.55999999999995</v>
      </c>
      <c r="I145" s="37">
        <f t="shared" si="42"/>
        <v>623.79387222327637</v>
      </c>
      <c r="J145" s="37">
        <f t="shared" si="43"/>
        <v>634.5467217021411</v>
      </c>
      <c r="K145" s="37">
        <f t="shared" si="44"/>
        <v>645.4849269163916</v>
      </c>
      <c r="L145" s="37">
        <f t="shared" si="45"/>
        <v>656.61168299571966</v>
      </c>
      <c r="M145" s="25">
        <f t="shared" si="46"/>
        <v>-16.5</v>
      </c>
      <c r="N145" s="25">
        <f t="shared" si="46"/>
        <v>-16.5</v>
      </c>
      <c r="O145" s="25">
        <f t="shared" si="46"/>
        <v>-16.5</v>
      </c>
      <c r="P145" s="25">
        <f t="shared" si="47"/>
        <v>-16.5</v>
      </c>
      <c r="Q145" s="25">
        <f t="shared" si="47"/>
        <v>-16.5</v>
      </c>
      <c r="R145" s="38">
        <v>626.29</v>
      </c>
      <c r="S145" s="37">
        <f t="shared" si="48"/>
        <v>599.05999999999995</v>
      </c>
      <c r="T145" s="37">
        <f t="shared" si="49"/>
        <v>607.29</v>
      </c>
      <c r="U145" s="37">
        <f t="shared" si="50"/>
        <v>618.04999999999995</v>
      </c>
      <c r="V145" s="37">
        <f t="shared" si="51"/>
        <v>628.98</v>
      </c>
      <c r="W145" s="37">
        <f t="shared" si="52"/>
        <v>640.11</v>
      </c>
      <c r="X145" s="25"/>
      <c r="Y145" s="38">
        <v>626.29</v>
      </c>
      <c r="Z145" s="25">
        <f t="shared" si="53"/>
        <v>626.29</v>
      </c>
      <c r="AA145" s="25">
        <f t="shared" si="53"/>
        <v>607.29</v>
      </c>
      <c r="AC145" s="25">
        <f t="shared" si="54"/>
        <v>640.68999999999994</v>
      </c>
      <c r="AD145" s="25">
        <v>-14.4</v>
      </c>
    </row>
    <row r="146" spans="1:30" x14ac:dyDescent="0.25">
      <c r="A146" s="30" t="s">
        <v>267</v>
      </c>
      <c r="B146" s="30" t="s">
        <v>793</v>
      </c>
      <c r="C146" s="27">
        <v>738.01</v>
      </c>
      <c r="D146" s="28" t="str">
        <f t="shared" si="40"/>
        <v>Yes</v>
      </c>
      <c r="E146" s="28" t="s">
        <v>653</v>
      </c>
      <c r="F146" s="11">
        <v>5</v>
      </c>
      <c r="G146" s="11">
        <v>0</v>
      </c>
      <c r="H146" s="37">
        <f t="shared" si="41"/>
        <v>738.01</v>
      </c>
      <c r="I146" s="37">
        <f t="shared" si="42"/>
        <v>747.88179160358084</v>
      </c>
      <c r="J146" s="37">
        <f t="shared" si="43"/>
        <v>760.77364689615501</v>
      </c>
      <c r="K146" s="37">
        <f t="shared" si="44"/>
        <v>773.88772973157165</v>
      </c>
      <c r="L146" s="37">
        <f t="shared" si="45"/>
        <v>787.22787082927925</v>
      </c>
      <c r="M146" s="25">
        <f t="shared" si="46"/>
        <v>-5</v>
      </c>
      <c r="N146" s="25">
        <f t="shared" si="46"/>
        <v>-5</v>
      </c>
      <c r="O146" s="25">
        <f t="shared" si="46"/>
        <v>-5</v>
      </c>
      <c r="P146" s="25">
        <f t="shared" si="47"/>
        <v>-5</v>
      </c>
      <c r="Q146" s="25">
        <f t="shared" si="47"/>
        <v>-5</v>
      </c>
      <c r="R146" s="38">
        <v>658.97</v>
      </c>
      <c r="S146" s="37">
        <f t="shared" si="48"/>
        <v>733.01</v>
      </c>
      <c r="T146" s="37">
        <f t="shared" si="49"/>
        <v>742.88</v>
      </c>
      <c r="U146" s="37">
        <f t="shared" si="50"/>
        <v>755.77</v>
      </c>
      <c r="V146" s="37">
        <f t="shared" si="51"/>
        <v>768.89</v>
      </c>
      <c r="W146" s="37">
        <f t="shared" si="52"/>
        <v>782.23</v>
      </c>
      <c r="X146" s="25"/>
      <c r="Y146" s="38">
        <v>658.97</v>
      </c>
      <c r="Z146" s="25">
        <f t="shared" si="53"/>
        <v>733.01</v>
      </c>
      <c r="AA146" s="25">
        <f t="shared" si="53"/>
        <v>742.88</v>
      </c>
      <c r="AC146" s="25">
        <f t="shared" si="54"/>
        <v>677.99</v>
      </c>
      <c r="AD146" s="25">
        <v>-19.02</v>
      </c>
    </row>
    <row r="147" spans="1:30" x14ac:dyDescent="0.25">
      <c r="A147" s="30" t="s">
        <v>269</v>
      </c>
      <c r="B147" s="30" t="s">
        <v>794</v>
      </c>
      <c r="C147" s="27">
        <v>85.68</v>
      </c>
      <c r="D147" s="28" t="str">
        <f t="shared" si="40"/>
        <v>No</v>
      </c>
      <c r="E147" s="28" t="s">
        <v>653</v>
      </c>
      <c r="F147" s="11">
        <v>0</v>
      </c>
      <c r="G147" s="11">
        <v>41.2</v>
      </c>
      <c r="H147" s="37">
        <f t="shared" si="41"/>
        <v>85.68</v>
      </c>
      <c r="I147" s="37">
        <f t="shared" si="42"/>
        <v>85.68</v>
      </c>
      <c r="J147" s="37">
        <f t="shared" si="43"/>
        <v>85.68</v>
      </c>
      <c r="K147" s="37">
        <f t="shared" si="44"/>
        <v>85.68</v>
      </c>
      <c r="L147" s="37">
        <f t="shared" si="45"/>
        <v>85.68</v>
      </c>
      <c r="M147" s="25">
        <f t="shared" si="46"/>
        <v>41.2</v>
      </c>
      <c r="N147" s="25">
        <f t="shared" si="46"/>
        <v>41.2</v>
      </c>
      <c r="O147" s="25">
        <f t="shared" si="46"/>
        <v>41.2</v>
      </c>
      <c r="P147" s="25">
        <f t="shared" si="47"/>
        <v>41.2</v>
      </c>
      <c r="Q147" s="25">
        <f t="shared" si="47"/>
        <v>41.2</v>
      </c>
      <c r="R147" s="38">
        <v>129.5</v>
      </c>
      <c r="S147" s="37">
        <f t="shared" si="48"/>
        <v>126.88</v>
      </c>
      <c r="T147" s="37">
        <f t="shared" si="49"/>
        <v>126.88</v>
      </c>
      <c r="U147" s="37">
        <f t="shared" si="50"/>
        <v>126.88</v>
      </c>
      <c r="V147" s="37">
        <f t="shared" si="51"/>
        <v>126.88</v>
      </c>
      <c r="W147" s="37">
        <f t="shared" si="52"/>
        <v>126.88</v>
      </c>
      <c r="X147" s="25"/>
      <c r="Y147" s="38">
        <v>129.5</v>
      </c>
      <c r="Z147" s="25">
        <f t="shared" si="53"/>
        <v>129.5</v>
      </c>
      <c r="AA147" s="25">
        <f t="shared" si="53"/>
        <v>126.88</v>
      </c>
      <c r="AC147" s="25">
        <f t="shared" si="54"/>
        <v>91.75</v>
      </c>
      <c r="AD147" s="25">
        <v>37.75</v>
      </c>
    </row>
    <row r="148" spans="1:30" x14ac:dyDescent="0.25">
      <c r="A148" s="30" t="s">
        <v>271</v>
      </c>
      <c r="B148" s="30" t="s">
        <v>795</v>
      </c>
      <c r="C148" s="27">
        <v>795.88</v>
      </c>
      <c r="D148" s="28" t="str">
        <f t="shared" si="40"/>
        <v>Yes</v>
      </c>
      <c r="E148" s="28" t="s">
        <v>653</v>
      </c>
      <c r="F148" s="11">
        <v>0</v>
      </c>
      <c r="G148" s="11">
        <v>0</v>
      </c>
      <c r="H148" s="37">
        <f t="shared" si="41"/>
        <v>795.88</v>
      </c>
      <c r="I148" s="37">
        <f t="shared" si="42"/>
        <v>806.52587404162261</v>
      </c>
      <c r="J148" s="37">
        <f t="shared" si="43"/>
        <v>820.42862575264814</v>
      </c>
      <c r="K148" s="37">
        <f t="shared" si="44"/>
        <v>834.57103066186528</v>
      </c>
      <c r="L148" s="37">
        <f t="shared" si="45"/>
        <v>848.95721986911667</v>
      </c>
      <c r="M148" s="25">
        <f t="shared" si="46"/>
        <v>0</v>
      </c>
      <c r="N148" s="25">
        <f t="shared" si="46"/>
        <v>0</v>
      </c>
      <c r="O148" s="25">
        <f t="shared" si="46"/>
        <v>0</v>
      </c>
      <c r="P148" s="25">
        <f t="shared" si="47"/>
        <v>0</v>
      </c>
      <c r="Q148" s="25">
        <f t="shared" si="47"/>
        <v>0</v>
      </c>
      <c r="R148" s="38">
        <v>825.67</v>
      </c>
      <c r="S148" s="37">
        <f t="shared" si="48"/>
        <v>795.88</v>
      </c>
      <c r="T148" s="37">
        <f t="shared" si="49"/>
        <v>806.53</v>
      </c>
      <c r="U148" s="37">
        <f t="shared" si="50"/>
        <v>820.43</v>
      </c>
      <c r="V148" s="37">
        <f t="shared" si="51"/>
        <v>834.57</v>
      </c>
      <c r="W148" s="37">
        <f t="shared" si="52"/>
        <v>848.96</v>
      </c>
      <c r="X148" s="25"/>
      <c r="Y148" s="38">
        <v>825.67</v>
      </c>
      <c r="Z148" s="25">
        <f t="shared" si="53"/>
        <v>825.67</v>
      </c>
      <c r="AA148" s="25">
        <f t="shared" si="53"/>
        <v>806.53</v>
      </c>
      <c r="AC148" s="25">
        <f t="shared" si="54"/>
        <v>825.67</v>
      </c>
      <c r="AD148" s="25">
        <v>0</v>
      </c>
    </row>
    <row r="149" spans="1:30" x14ac:dyDescent="0.25">
      <c r="A149" s="30" t="s">
        <v>273</v>
      </c>
      <c r="B149" s="30" t="s">
        <v>796</v>
      </c>
      <c r="C149" s="27">
        <v>792.22</v>
      </c>
      <c r="D149" s="28" t="str">
        <f t="shared" si="40"/>
        <v>Yes</v>
      </c>
      <c r="E149" s="28" t="s">
        <v>653</v>
      </c>
      <c r="F149" s="11">
        <v>0</v>
      </c>
      <c r="G149" s="11">
        <v>0</v>
      </c>
      <c r="H149" s="37">
        <f t="shared" si="41"/>
        <v>792.22</v>
      </c>
      <c r="I149" s="37">
        <f t="shared" si="42"/>
        <v>802.8169170393204</v>
      </c>
      <c r="J149" s="37">
        <f t="shared" si="43"/>
        <v>816.65573439936031</v>
      </c>
      <c r="K149" s="37">
        <f t="shared" si="44"/>
        <v>830.73310286845117</v>
      </c>
      <c r="L149" s="37">
        <f t="shared" si="45"/>
        <v>845.05313454881582</v>
      </c>
      <c r="M149" s="25">
        <f t="shared" si="46"/>
        <v>0</v>
      </c>
      <c r="N149" s="25">
        <f t="shared" si="46"/>
        <v>0</v>
      </c>
      <c r="O149" s="25">
        <f t="shared" si="46"/>
        <v>0</v>
      </c>
      <c r="P149" s="25">
        <f t="shared" si="47"/>
        <v>0</v>
      </c>
      <c r="Q149" s="25">
        <f t="shared" si="47"/>
        <v>0</v>
      </c>
      <c r="R149" s="38">
        <v>823.39</v>
      </c>
      <c r="S149" s="37">
        <f t="shared" si="48"/>
        <v>792.22</v>
      </c>
      <c r="T149" s="37">
        <f t="shared" si="49"/>
        <v>802.82</v>
      </c>
      <c r="U149" s="37">
        <f t="shared" si="50"/>
        <v>816.66</v>
      </c>
      <c r="V149" s="37">
        <f t="shared" si="51"/>
        <v>830.73</v>
      </c>
      <c r="W149" s="37">
        <f t="shared" si="52"/>
        <v>845.05</v>
      </c>
      <c r="X149" s="25"/>
      <c r="Y149" s="38">
        <v>823.39</v>
      </c>
      <c r="Z149" s="25">
        <f t="shared" si="53"/>
        <v>823.39</v>
      </c>
      <c r="AA149" s="25">
        <f t="shared" si="53"/>
        <v>802.82</v>
      </c>
      <c r="AC149" s="25">
        <f t="shared" si="54"/>
        <v>823.39</v>
      </c>
      <c r="AD149" s="25">
        <v>0</v>
      </c>
    </row>
    <row r="150" spans="1:30" x14ac:dyDescent="0.25">
      <c r="A150" s="30" t="s">
        <v>275</v>
      </c>
      <c r="B150" s="30" t="s">
        <v>797</v>
      </c>
      <c r="C150" s="27">
        <v>247.47</v>
      </c>
      <c r="D150" s="28" t="str">
        <f t="shared" si="40"/>
        <v>Yes</v>
      </c>
      <c r="E150" s="28" t="s">
        <v>653</v>
      </c>
      <c r="F150" s="11">
        <v>0</v>
      </c>
      <c r="G150" s="11">
        <v>0</v>
      </c>
      <c r="H150" s="37">
        <f t="shared" si="41"/>
        <v>247.47</v>
      </c>
      <c r="I150" s="37">
        <f t="shared" si="42"/>
        <v>250.78021567206156</v>
      </c>
      <c r="J150" s="37">
        <f t="shared" si="43"/>
        <v>255.10312109238558</v>
      </c>
      <c r="K150" s="37">
        <f t="shared" si="44"/>
        <v>259.50054399895942</v>
      </c>
      <c r="L150" s="37">
        <f t="shared" si="45"/>
        <v>263.97376891115533</v>
      </c>
      <c r="M150" s="25">
        <f t="shared" si="46"/>
        <v>0</v>
      </c>
      <c r="N150" s="25">
        <f t="shared" si="46"/>
        <v>0</v>
      </c>
      <c r="O150" s="25">
        <f t="shared" si="46"/>
        <v>0</v>
      </c>
      <c r="P150" s="25">
        <f t="shared" si="47"/>
        <v>0</v>
      </c>
      <c r="Q150" s="25">
        <f t="shared" si="47"/>
        <v>0</v>
      </c>
      <c r="R150" s="38">
        <v>254.41</v>
      </c>
      <c r="S150" s="37">
        <f t="shared" si="48"/>
        <v>247.47</v>
      </c>
      <c r="T150" s="37">
        <f t="shared" si="49"/>
        <v>250.78</v>
      </c>
      <c r="U150" s="37">
        <f t="shared" si="50"/>
        <v>255.1</v>
      </c>
      <c r="V150" s="37">
        <f t="shared" si="51"/>
        <v>259.5</v>
      </c>
      <c r="W150" s="37">
        <f t="shared" si="52"/>
        <v>263.97000000000003</v>
      </c>
      <c r="X150" s="25"/>
      <c r="Y150" s="38">
        <v>254.41</v>
      </c>
      <c r="Z150" s="25">
        <f t="shared" si="53"/>
        <v>254.41</v>
      </c>
      <c r="AA150" s="25">
        <f t="shared" si="53"/>
        <v>250.78</v>
      </c>
      <c r="AC150" s="25">
        <f t="shared" si="54"/>
        <v>254.41</v>
      </c>
      <c r="AD150" s="25">
        <v>0</v>
      </c>
    </row>
    <row r="151" spans="1:30" x14ac:dyDescent="0.25">
      <c r="A151" s="30" t="s">
        <v>277</v>
      </c>
      <c r="B151" s="30" t="s">
        <v>798</v>
      </c>
      <c r="C151" s="27">
        <v>2837.71</v>
      </c>
      <c r="D151" s="28" t="str">
        <f t="shared" si="40"/>
        <v>Yes</v>
      </c>
      <c r="E151" s="28" t="s">
        <v>653</v>
      </c>
      <c r="F151" s="11">
        <v>30.669999999999998</v>
      </c>
      <c r="G151" s="11">
        <v>0</v>
      </c>
      <c r="H151" s="37">
        <f t="shared" si="41"/>
        <v>2837.71</v>
      </c>
      <c r="I151" s="37">
        <f t="shared" si="42"/>
        <v>2875.6678620227335</v>
      </c>
      <c r="J151" s="37">
        <f t="shared" si="43"/>
        <v>2925.2381208028187</v>
      </c>
      <c r="K151" s="37">
        <f t="shared" si="44"/>
        <v>2975.6628630188998</v>
      </c>
      <c r="L151" s="37">
        <f t="shared" si="45"/>
        <v>3026.9568181067384</v>
      </c>
      <c r="M151" s="25">
        <f t="shared" si="46"/>
        <v>-30.669999999999998</v>
      </c>
      <c r="N151" s="25">
        <f t="shared" si="46"/>
        <v>-30.669999999999998</v>
      </c>
      <c r="O151" s="25">
        <f t="shared" si="46"/>
        <v>-30.669999999999998</v>
      </c>
      <c r="P151" s="25">
        <f t="shared" si="47"/>
        <v>-30.669999999999998</v>
      </c>
      <c r="Q151" s="25">
        <f t="shared" si="47"/>
        <v>-30.669999999999998</v>
      </c>
      <c r="R151" s="38">
        <v>2946.65</v>
      </c>
      <c r="S151" s="37">
        <f t="shared" si="48"/>
        <v>2807.04</v>
      </c>
      <c r="T151" s="37">
        <f t="shared" si="49"/>
        <v>2845</v>
      </c>
      <c r="U151" s="37">
        <f t="shared" si="50"/>
        <v>2894.57</v>
      </c>
      <c r="V151" s="37">
        <f t="shared" si="51"/>
        <v>2944.99</v>
      </c>
      <c r="W151" s="37">
        <f t="shared" si="52"/>
        <v>2996.29</v>
      </c>
      <c r="X151" s="25"/>
      <c r="Y151" s="38">
        <v>2946.65</v>
      </c>
      <c r="Z151" s="25">
        <f t="shared" si="53"/>
        <v>2946.65</v>
      </c>
      <c r="AA151" s="25">
        <f t="shared" si="53"/>
        <v>2845</v>
      </c>
      <c r="AC151" s="25">
        <f t="shared" si="54"/>
        <v>2974</v>
      </c>
      <c r="AD151" s="25">
        <v>-27.35</v>
      </c>
    </row>
    <row r="152" spans="1:30" x14ac:dyDescent="0.25">
      <c r="A152" s="30" t="s">
        <v>279</v>
      </c>
      <c r="B152" s="30" t="s">
        <v>799</v>
      </c>
      <c r="C152" s="27">
        <v>320.11</v>
      </c>
      <c r="D152" s="28" t="str">
        <f t="shared" si="40"/>
        <v>Yes</v>
      </c>
      <c r="E152" s="28" t="s">
        <v>653</v>
      </c>
      <c r="F152" s="11">
        <v>0</v>
      </c>
      <c r="G152" s="11">
        <v>0</v>
      </c>
      <c r="H152" s="37">
        <f t="shared" si="41"/>
        <v>320.11</v>
      </c>
      <c r="I152" s="37">
        <f t="shared" si="42"/>
        <v>324.39186502923036</v>
      </c>
      <c r="J152" s="37">
        <f t="shared" si="43"/>
        <v>329.98367516419592</v>
      </c>
      <c r="K152" s="37">
        <f t="shared" si="44"/>
        <v>335.67187594256643</v>
      </c>
      <c r="L152" s="37">
        <f t="shared" si="45"/>
        <v>341.45812892936499</v>
      </c>
      <c r="M152" s="25">
        <f t="shared" si="46"/>
        <v>0</v>
      </c>
      <c r="N152" s="25">
        <f t="shared" si="46"/>
        <v>0</v>
      </c>
      <c r="O152" s="25">
        <f t="shared" si="46"/>
        <v>0</v>
      </c>
      <c r="P152" s="25">
        <f t="shared" si="47"/>
        <v>0</v>
      </c>
      <c r="Q152" s="25">
        <f t="shared" si="47"/>
        <v>0</v>
      </c>
      <c r="R152" s="38">
        <v>370.29</v>
      </c>
      <c r="S152" s="37">
        <f t="shared" si="48"/>
        <v>320.11</v>
      </c>
      <c r="T152" s="37">
        <f t="shared" si="49"/>
        <v>324.39</v>
      </c>
      <c r="U152" s="37">
        <f t="shared" si="50"/>
        <v>329.98</v>
      </c>
      <c r="V152" s="37">
        <f t="shared" si="51"/>
        <v>335.67</v>
      </c>
      <c r="W152" s="37">
        <f t="shared" si="52"/>
        <v>341.46</v>
      </c>
      <c r="X152" s="25"/>
      <c r="Y152" s="38">
        <v>370.29</v>
      </c>
      <c r="Z152" s="25">
        <f t="shared" si="53"/>
        <v>370.29</v>
      </c>
      <c r="AA152" s="25">
        <f t="shared" si="53"/>
        <v>324.39</v>
      </c>
      <c r="AC152" s="25">
        <f t="shared" si="54"/>
        <v>370.29</v>
      </c>
      <c r="AD152" s="25">
        <v>0</v>
      </c>
    </row>
    <row r="153" spans="1:30" x14ac:dyDescent="0.25">
      <c r="A153" s="30" t="s">
        <v>281</v>
      </c>
      <c r="B153" s="30" t="s">
        <v>800</v>
      </c>
      <c r="C153" s="27">
        <v>3358.85</v>
      </c>
      <c r="D153" s="28" t="str">
        <f t="shared" si="40"/>
        <v>Yes</v>
      </c>
      <c r="E153" s="28" t="s">
        <v>653</v>
      </c>
      <c r="F153" s="11">
        <v>2</v>
      </c>
      <c r="G153" s="11">
        <v>0</v>
      </c>
      <c r="H153" s="37">
        <f t="shared" si="41"/>
        <v>3358.85</v>
      </c>
      <c r="I153" s="37">
        <f t="shared" si="42"/>
        <v>3403.778750596452</v>
      </c>
      <c r="J153" s="37">
        <f t="shared" si="43"/>
        <v>3462.4524923471909</v>
      </c>
      <c r="K153" s="37">
        <f t="shared" si="44"/>
        <v>3522.1376417784168</v>
      </c>
      <c r="L153" s="37">
        <f t="shared" si="45"/>
        <v>3582.8516333585244</v>
      </c>
      <c r="M153" s="25">
        <f t="shared" si="46"/>
        <v>-2</v>
      </c>
      <c r="N153" s="25">
        <f t="shared" si="46"/>
        <v>-2</v>
      </c>
      <c r="O153" s="25">
        <f t="shared" si="46"/>
        <v>-2</v>
      </c>
      <c r="P153" s="25">
        <f t="shared" si="47"/>
        <v>-2</v>
      </c>
      <c r="Q153" s="25">
        <f t="shared" si="47"/>
        <v>-2</v>
      </c>
      <c r="R153" s="38">
        <v>3466.9</v>
      </c>
      <c r="S153" s="37">
        <f t="shared" si="48"/>
        <v>3356.85</v>
      </c>
      <c r="T153" s="37">
        <f t="shared" si="49"/>
        <v>3401.78</v>
      </c>
      <c r="U153" s="37">
        <f t="shared" si="50"/>
        <v>3460.45</v>
      </c>
      <c r="V153" s="37">
        <f t="shared" si="51"/>
        <v>3520.14</v>
      </c>
      <c r="W153" s="37">
        <f t="shared" si="52"/>
        <v>3580.85</v>
      </c>
      <c r="X153" s="25"/>
      <c r="Y153" s="38">
        <v>3466.9</v>
      </c>
      <c r="Z153" s="25">
        <f t="shared" si="53"/>
        <v>3466.9</v>
      </c>
      <c r="AA153" s="25">
        <f t="shared" si="53"/>
        <v>3401.78</v>
      </c>
      <c r="AC153" s="25">
        <f t="shared" si="54"/>
        <v>3471.4100000000003</v>
      </c>
      <c r="AD153" s="25">
        <v>-4.51</v>
      </c>
    </row>
    <row r="154" spans="1:30" x14ac:dyDescent="0.25">
      <c r="A154" s="30" t="s">
        <v>283</v>
      </c>
      <c r="B154" s="30" t="s">
        <v>801</v>
      </c>
      <c r="C154" s="27">
        <v>71.8</v>
      </c>
      <c r="D154" s="28" t="str">
        <f t="shared" si="40"/>
        <v>No</v>
      </c>
      <c r="E154" s="28" t="s">
        <v>653</v>
      </c>
      <c r="F154" s="11">
        <v>1</v>
      </c>
      <c r="G154" s="11">
        <v>0</v>
      </c>
      <c r="H154" s="37">
        <f t="shared" si="41"/>
        <v>71.8</v>
      </c>
      <c r="I154" s="37">
        <f t="shared" si="42"/>
        <v>71.8</v>
      </c>
      <c r="J154" s="37">
        <f t="shared" si="43"/>
        <v>71.8</v>
      </c>
      <c r="K154" s="37">
        <f t="shared" si="44"/>
        <v>71.8</v>
      </c>
      <c r="L154" s="37">
        <f t="shared" si="45"/>
        <v>71.8</v>
      </c>
      <c r="M154" s="25">
        <f t="shared" si="46"/>
        <v>-1</v>
      </c>
      <c r="N154" s="25">
        <f t="shared" si="46"/>
        <v>-1</v>
      </c>
      <c r="O154" s="25">
        <f t="shared" si="46"/>
        <v>-1</v>
      </c>
      <c r="P154" s="25">
        <f t="shared" si="47"/>
        <v>-1</v>
      </c>
      <c r="Q154" s="25">
        <f t="shared" si="47"/>
        <v>-1</v>
      </c>
      <c r="R154" s="38">
        <v>65.260000000000005</v>
      </c>
      <c r="S154" s="37">
        <f t="shared" si="48"/>
        <v>70.8</v>
      </c>
      <c r="T154" s="37">
        <f t="shared" si="49"/>
        <v>70.8</v>
      </c>
      <c r="U154" s="37">
        <f t="shared" si="50"/>
        <v>70.8</v>
      </c>
      <c r="V154" s="37">
        <f t="shared" si="51"/>
        <v>70.8</v>
      </c>
      <c r="W154" s="37">
        <f t="shared" si="52"/>
        <v>70.8</v>
      </c>
      <c r="X154" s="25"/>
      <c r="Y154" s="38">
        <v>65.260000000000005</v>
      </c>
      <c r="Z154" s="25">
        <f t="shared" si="53"/>
        <v>70.8</v>
      </c>
      <c r="AA154" s="25">
        <f t="shared" si="53"/>
        <v>70.8</v>
      </c>
      <c r="AC154" s="25">
        <f t="shared" si="54"/>
        <v>74.260000000000005</v>
      </c>
      <c r="AD154" s="25">
        <v>-9</v>
      </c>
    </row>
    <row r="155" spans="1:30" x14ac:dyDescent="0.25">
      <c r="A155" s="30" t="s">
        <v>285</v>
      </c>
      <c r="B155" s="30" t="s">
        <v>802</v>
      </c>
      <c r="C155" s="27">
        <v>726.72</v>
      </c>
      <c r="D155" s="28" t="str">
        <f t="shared" si="40"/>
        <v>Yes</v>
      </c>
      <c r="E155" s="28" t="s">
        <v>653</v>
      </c>
      <c r="F155" s="11">
        <v>0</v>
      </c>
      <c r="G155" s="11">
        <v>0</v>
      </c>
      <c r="H155" s="37">
        <f t="shared" si="41"/>
        <v>726.72</v>
      </c>
      <c r="I155" s="37">
        <f t="shared" si="42"/>
        <v>736.44077396533157</v>
      </c>
      <c r="J155" s="37">
        <f t="shared" si="43"/>
        <v>749.13541100035752</v>
      </c>
      <c r="K155" s="37">
        <f t="shared" si="44"/>
        <v>762.04887596445553</v>
      </c>
      <c r="L155" s="37">
        <f t="shared" si="45"/>
        <v>775.18494097512757</v>
      </c>
      <c r="M155" s="25">
        <f t="shared" si="46"/>
        <v>0</v>
      </c>
      <c r="N155" s="25">
        <f t="shared" si="46"/>
        <v>0</v>
      </c>
      <c r="O155" s="25">
        <f t="shared" si="46"/>
        <v>0</v>
      </c>
      <c r="P155" s="25">
        <f t="shared" si="47"/>
        <v>0</v>
      </c>
      <c r="Q155" s="25">
        <f t="shared" si="47"/>
        <v>0</v>
      </c>
      <c r="R155" s="38">
        <v>649.27</v>
      </c>
      <c r="S155" s="37">
        <f t="shared" si="48"/>
        <v>726.72</v>
      </c>
      <c r="T155" s="37">
        <f t="shared" si="49"/>
        <v>736.44</v>
      </c>
      <c r="U155" s="37">
        <f t="shared" si="50"/>
        <v>749.14</v>
      </c>
      <c r="V155" s="37">
        <f t="shared" si="51"/>
        <v>762.05</v>
      </c>
      <c r="W155" s="37">
        <f t="shared" si="52"/>
        <v>775.18</v>
      </c>
      <c r="X155" s="25"/>
      <c r="Y155" s="38">
        <v>649.27</v>
      </c>
      <c r="Z155" s="25">
        <f t="shared" si="53"/>
        <v>726.72</v>
      </c>
      <c r="AA155" s="25">
        <f t="shared" si="53"/>
        <v>736.44</v>
      </c>
      <c r="AC155" s="25">
        <f t="shared" si="54"/>
        <v>649.27</v>
      </c>
      <c r="AD155" s="25">
        <v>0</v>
      </c>
    </row>
    <row r="156" spans="1:30" x14ac:dyDescent="0.25">
      <c r="A156" s="30" t="s">
        <v>287</v>
      </c>
      <c r="B156" s="30" t="s">
        <v>803</v>
      </c>
      <c r="C156" s="27">
        <v>97.32</v>
      </c>
      <c r="D156" s="28" t="str">
        <f t="shared" si="40"/>
        <v>No</v>
      </c>
      <c r="E156" s="28" t="s">
        <v>653</v>
      </c>
      <c r="F156" s="11">
        <v>0</v>
      </c>
      <c r="G156" s="11">
        <v>0</v>
      </c>
      <c r="H156" s="37">
        <f t="shared" si="41"/>
        <v>97.32</v>
      </c>
      <c r="I156" s="37">
        <f t="shared" si="42"/>
        <v>97.32</v>
      </c>
      <c r="J156" s="37">
        <f t="shared" si="43"/>
        <v>97.32</v>
      </c>
      <c r="K156" s="37">
        <f t="shared" si="44"/>
        <v>97.32</v>
      </c>
      <c r="L156" s="37">
        <f t="shared" si="45"/>
        <v>97.32</v>
      </c>
      <c r="M156" s="25">
        <f t="shared" si="46"/>
        <v>0</v>
      </c>
      <c r="N156" s="25">
        <f t="shared" si="46"/>
        <v>0</v>
      </c>
      <c r="O156" s="25">
        <f t="shared" si="46"/>
        <v>0</v>
      </c>
      <c r="P156" s="25">
        <f t="shared" si="47"/>
        <v>0</v>
      </c>
      <c r="Q156" s="25">
        <f t="shared" si="47"/>
        <v>0</v>
      </c>
      <c r="R156" s="38">
        <v>91.57</v>
      </c>
      <c r="S156" s="37">
        <f t="shared" si="48"/>
        <v>97.32</v>
      </c>
      <c r="T156" s="37">
        <f t="shared" si="49"/>
        <v>97.32</v>
      </c>
      <c r="U156" s="37">
        <f t="shared" si="50"/>
        <v>97.32</v>
      </c>
      <c r="V156" s="37">
        <f t="shared" si="51"/>
        <v>97.32</v>
      </c>
      <c r="W156" s="37">
        <f t="shared" si="52"/>
        <v>97.32</v>
      </c>
      <c r="X156" s="25"/>
      <c r="Y156" s="38">
        <v>91.57</v>
      </c>
      <c r="Z156" s="25">
        <f t="shared" si="53"/>
        <v>97.32</v>
      </c>
      <c r="AA156" s="25">
        <f t="shared" si="53"/>
        <v>97.32</v>
      </c>
      <c r="AC156" s="25">
        <f t="shared" si="54"/>
        <v>91.57</v>
      </c>
      <c r="AD156" s="25">
        <v>0</v>
      </c>
    </row>
    <row r="157" spans="1:30" x14ac:dyDescent="0.25">
      <c r="A157" s="30" t="s">
        <v>289</v>
      </c>
      <c r="B157" s="30" t="s">
        <v>804</v>
      </c>
      <c r="C157" s="27">
        <v>87.2</v>
      </c>
      <c r="D157" s="28" t="str">
        <f t="shared" si="40"/>
        <v>No</v>
      </c>
      <c r="E157" s="28" t="s">
        <v>653</v>
      </c>
      <c r="F157" s="11">
        <v>0</v>
      </c>
      <c r="G157" s="11">
        <v>0</v>
      </c>
      <c r="H157" s="37">
        <f t="shared" si="41"/>
        <v>87.2</v>
      </c>
      <c r="I157" s="37">
        <f t="shared" si="42"/>
        <v>87.2</v>
      </c>
      <c r="J157" s="37">
        <f t="shared" si="43"/>
        <v>87.2</v>
      </c>
      <c r="K157" s="37">
        <f t="shared" si="44"/>
        <v>87.2</v>
      </c>
      <c r="L157" s="37">
        <f t="shared" si="45"/>
        <v>87.2</v>
      </c>
      <c r="M157" s="25">
        <f t="shared" si="46"/>
        <v>0</v>
      </c>
      <c r="N157" s="25">
        <f t="shared" si="46"/>
        <v>0</v>
      </c>
      <c r="O157" s="25">
        <f t="shared" si="46"/>
        <v>0</v>
      </c>
      <c r="P157" s="25">
        <f t="shared" si="47"/>
        <v>0</v>
      </c>
      <c r="Q157" s="25">
        <f t="shared" si="47"/>
        <v>0</v>
      </c>
      <c r="R157" s="38">
        <v>89.35</v>
      </c>
      <c r="S157" s="37">
        <f t="shared" si="48"/>
        <v>87.2</v>
      </c>
      <c r="T157" s="37">
        <f t="shared" si="49"/>
        <v>87.2</v>
      </c>
      <c r="U157" s="37">
        <f t="shared" si="50"/>
        <v>87.2</v>
      </c>
      <c r="V157" s="37">
        <f t="shared" si="51"/>
        <v>87.2</v>
      </c>
      <c r="W157" s="37">
        <f t="shared" si="52"/>
        <v>87.2</v>
      </c>
      <c r="X157" s="25"/>
      <c r="Y157" s="38">
        <v>89.35</v>
      </c>
      <c r="Z157" s="25">
        <f t="shared" si="53"/>
        <v>89.35</v>
      </c>
      <c r="AA157" s="25">
        <f t="shared" si="53"/>
        <v>87.2</v>
      </c>
      <c r="AC157" s="25">
        <f t="shared" si="54"/>
        <v>89.35</v>
      </c>
      <c r="AD157" s="25">
        <v>0</v>
      </c>
    </row>
    <row r="158" spans="1:30" x14ac:dyDescent="0.25">
      <c r="A158" s="30" t="s">
        <v>291</v>
      </c>
      <c r="B158" s="30" t="s">
        <v>805</v>
      </c>
      <c r="C158" s="27">
        <v>217.61</v>
      </c>
      <c r="D158" s="28" t="str">
        <f t="shared" si="40"/>
        <v>Yes</v>
      </c>
      <c r="E158" s="28" t="s">
        <v>653</v>
      </c>
      <c r="F158" s="11">
        <v>0</v>
      </c>
      <c r="G158" s="11">
        <v>0</v>
      </c>
      <c r="H158" s="37">
        <f t="shared" si="41"/>
        <v>217.61</v>
      </c>
      <c r="I158" s="37">
        <f t="shared" si="42"/>
        <v>220.52080144016375</v>
      </c>
      <c r="J158" s="37">
        <f t="shared" si="43"/>
        <v>224.32210037949665</v>
      </c>
      <c r="K158" s="37">
        <f t="shared" si="44"/>
        <v>228.188925443947</v>
      </c>
      <c r="L158" s="37">
        <f t="shared" si="45"/>
        <v>232.12240616137922</v>
      </c>
      <c r="M158" s="25">
        <f t="shared" si="46"/>
        <v>0</v>
      </c>
      <c r="N158" s="25">
        <f t="shared" si="46"/>
        <v>0</v>
      </c>
      <c r="O158" s="25">
        <f t="shared" si="46"/>
        <v>0</v>
      </c>
      <c r="P158" s="25">
        <f t="shared" si="47"/>
        <v>0</v>
      </c>
      <c r="Q158" s="25">
        <f t="shared" si="47"/>
        <v>0</v>
      </c>
      <c r="R158" s="38">
        <v>229.11</v>
      </c>
      <c r="S158" s="37">
        <f t="shared" si="48"/>
        <v>217.61</v>
      </c>
      <c r="T158" s="37">
        <f t="shared" si="49"/>
        <v>220.52</v>
      </c>
      <c r="U158" s="37">
        <f t="shared" si="50"/>
        <v>224.32</v>
      </c>
      <c r="V158" s="37">
        <f t="shared" si="51"/>
        <v>228.19</v>
      </c>
      <c r="W158" s="37">
        <f t="shared" si="52"/>
        <v>232.12</v>
      </c>
      <c r="X158" s="25"/>
      <c r="Y158" s="38">
        <v>229.11</v>
      </c>
      <c r="Z158" s="25">
        <f t="shared" si="53"/>
        <v>229.11</v>
      </c>
      <c r="AA158" s="25">
        <f t="shared" si="53"/>
        <v>220.52</v>
      </c>
      <c r="AC158" s="25">
        <f t="shared" si="54"/>
        <v>229.11</v>
      </c>
      <c r="AD158" s="25">
        <v>0</v>
      </c>
    </row>
    <row r="159" spans="1:30" x14ac:dyDescent="0.25">
      <c r="A159" s="30" t="s">
        <v>293</v>
      </c>
      <c r="B159" s="30" t="s">
        <v>806</v>
      </c>
      <c r="C159" s="27">
        <v>220.57</v>
      </c>
      <c r="D159" s="28" t="str">
        <f t="shared" si="40"/>
        <v>Yes</v>
      </c>
      <c r="E159" s="28" t="s">
        <v>653</v>
      </c>
      <c r="F159" s="11">
        <v>27</v>
      </c>
      <c r="G159" s="11">
        <v>0</v>
      </c>
      <c r="H159" s="37">
        <f t="shared" si="41"/>
        <v>220.57</v>
      </c>
      <c r="I159" s="37">
        <f t="shared" si="42"/>
        <v>223.52039508136994</v>
      </c>
      <c r="J159" s="37">
        <f t="shared" si="43"/>
        <v>227.37340049035231</v>
      </c>
      <c r="K159" s="37">
        <f t="shared" si="44"/>
        <v>231.29282333151684</v>
      </c>
      <c r="L159" s="37">
        <f t="shared" si="45"/>
        <v>235.27980849692298</v>
      </c>
      <c r="M159" s="25">
        <f t="shared" si="46"/>
        <v>-27</v>
      </c>
      <c r="N159" s="25">
        <f t="shared" si="46"/>
        <v>-27</v>
      </c>
      <c r="O159" s="25">
        <f t="shared" si="46"/>
        <v>-27</v>
      </c>
      <c r="P159" s="25">
        <f t="shared" si="47"/>
        <v>-27</v>
      </c>
      <c r="Q159" s="25">
        <f t="shared" si="47"/>
        <v>-27</v>
      </c>
      <c r="R159" s="38">
        <v>208.21</v>
      </c>
      <c r="S159" s="37">
        <f t="shared" si="48"/>
        <v>193.57</v>
      </c>
      <c r="T159" s="37">
        <f t="shared" si="49"/>
        <v>196.52</v>
      </c>
      <c r="U159" s="37">
        <f t="shared" si="50"/>
        <v>200.37</v>
      </c>
      <c r="V159" s="37">
        <f t="shared" si="51"/>
        <v>204.29</v>
      </c>
      <c r="W159" s="37">
        <f t="shared" si="52"/>
        <v>208.28</v>
      </c>
      <c r="X159" s="25"/>
      <c r="Y159" s="38">
        <v>208.21</v>
      </c>
      <c r="Z159" s="25">
        <f t="shared" si="53"/>
        <v>208.21</v>
      </c>
      <c r="AA159" s="25">
        <f t="shared" si="53"/>
        <v>196.52</v>
      </c>
      <c r="AC159" s="25">
        <f t="shared" si="54"/>
        <v>224.21</v>
      </c>
      <c r="AD159" s="25">
        <v>-16</v>
      </c>
    </row>
    <row r="160" spans="1:30" x14ac:dyDescent="0.25">
      <c r="A160" s="30" t="s">
        <v>295</v>
      </c>
      <c r="B160" s="30" t="s">
        <v>807</v>
      </c>
      <c r="C160" s="27">
        <v>112.74</v>
      </c>
      <c r="D160" s="28" t="str">
        <f t="shared" si="40"/>
        <v>Yes</v>
      </c>
      <c r="E160" s="28" t="s">
        <v>655</v>
      </c>
      <c r="F160" s="11">
        <v>0</v>
      </c>
      <c r="G160" s="11">
        <v>0</v>
      </c>
      <c r="H160" s="37">
        <f t="shared" si="41"/>
        <v>112.74</v>
      </c>
      <c r="I160" s="37">
        <f t="shared" si="42"/>
        <v>114.24803618567188</v>
      </c>
      <c r="J160" s="37">
        <f t="shared" si="43"/>
        <v>116.21742381684871</v>
      </c>
      <c r="K160" s="37">
        <f t="shared" si="44"/>
        <v>118.22075940696926</v>
      </c>
      <c r="L160" s="37">
        <f t="shared" si="45"/>
        <v>120.25862814500204</v>
      </c>
      <c r="M160" s="25">
        <f t="shared" si="46"/>
        <v>0</v>
      </c>
      <c r="N160" s="25">
        <f t="shared" si="46"/>
        <v>0</v>
      </c>
      <c r="O160" s="25">
        <f t="shared" si="46"/>
        <v>0</v>
      </c>
      <c r="P160" s="25">
        <f t="shared" si="47"/>
        <v>0</v>
      </c>
      <c r="Q160" s="25">
        <f t="shared" si="47"/>
        <v>0</v>
      </c>
      <c r="R160" s="38">
        <v>126.09</v>
      </c>
      <c r="S160" s="37">
        <f t="shared" si="48"/>
        <v>112.74</v>
      </c>
      <c r="T160" s="37">
        <f t="shared" si="49"/>
        <v>114.25</v>
      </c>
      <c r="U160" s="37">
        <f t="shared" si="50"/>
        <v>116.22</v>
      </c>
      <c r="V160" s="37">
        <f t="shared" si="51"/>
        <v>118.22</v>
      </c>
      <c r="W160" s="37">
        <f t="shared" si="52"/>
        <v>120.26</v>
      </c>
      <c r="X160" s="25"/>
      <c r="Y160" s="38">
        <v>126.09</v>
      </c>
      <c r="Z160" s="25">
        <f t="shared" si="53"/>
        <v>126.09</v>
      </c>
      <c r="AA160" s="25">
        <f t="shared" si="53"/>
        <v>114.25</v>
      </c>
      <c r="AC160" s="25">
        <f t="shared" si="54"/>
        <v>126.09</v>
      </c>
      <c r="AD160" s="25">
        <v>0</v>
      </c>
    </row>
    <row r="161" spans="1:30" x14ac:dyDescent="0.25">
      <c r="A161" s="30" t="s">
        <v>297</v>
      </c>
      <c r="B161" s="30" t="s">
        <v>808</v>
      </c>
      <c r="C161" s="27">
        <v>568.67999999999995</v>
      </c>
      <c r="D161" s="28" t="str">
        <f t="shared" si="40"/>
        <v>Yes</v>
      </c>
      <c r="E161" s="28" t="s">
        <v>655</v>
      </c>
      <c r="F161" s="11">
        <v>0</v>
      </c>
      <c r="G161" s="11">
        <v>0</v>
      </c>
      <c r="H161" s="37">
        <f t="shared" si="41"/>
        <v>568.67999999999995</v>
      </c>
      <c r="I161" s="37">
        <f t="shared" si="42"/>
        <v>576.28679455444285</v>
      </c>
      <c r="J161" s="37">
        <f t="shared" si="43"/>
        <v>586.2207253518319</v>
      </c>
      <c r="K161" s="37">
        <f t="shared" si="44"/>
        <v>596.32589550785247</v>
      </c>
      <c r="L161" s="37">
        <f t="shared" si="45"/>
        <v>606.60525681656691</v>
      </c>
      <c r="M161" s="25">
        <f t="shared" si="46"/>
        <v>0</v>
      </c>
      <c r="N161" s="25">
        <f t="shared" si="46"/>
        <v>0</v>
      </c>
      <c r="O161" s="25">
        <f t="shared" si="46"/>
        <v>0</v>
      </c>
      <c r="P161" s="25">
        <f t="shared" si="47"/>
        <v>0</v>
      </c>
      <c r="Q161" s="25">
        <f t="shared" si="47"/>
        <v>0</v>
      </c>
      <c r="R161" s="38">
        <v>556.5</v>
      </c>
      <c r="S161" s="37">
        <f t="shared" si="48"/>
        <v>568.67999999999995</v>
      </c>
      <c r="T161" s="37">
        <f t="shared" si="49"/>
        <v>576.29</v>
      </c>
      <c r="U161" s="37">
        <f t="shared" si="50"/>
        <v>586.22</v>
      </c>
      <c r="V161" s="37">
        <f t="shared" si="51"/>
        <v>596.33000000000004</v>
      </c>
      <c r="W161" s="37">
        <f t="shared" si="52"/>
        <v>606.61</v>
      </c>
      <c r="X161" s="25"/>
      <c r="Y161" s="38">
        <v>556.5</v>
      </c>
      <c r="Z161" s="25">
        <f t="shared" si="53"/>
        <v>568.67999999999995</v>
      </c>
      <c r="AA161" s="25">
        <f t="shared" si="53"/>
        <v>576.29</v>
      </c>
      <c r="AC161" s="25">
        <f t="shared" si="54"/>
        <v>556.5</v>
      </c>
      <c r="AD161" s="25">
        <v>0</v>
      </c>
    </row>
    <row r="162" spans="1:30" x14ac:dyDescent="0.25">
      <c r="A162" s="30" t="s">
        <v>299</v>
      </c>
      <c r="B162" s="30" t="s">
        <v>809</v>
      </c>
      <c r="C162" s="27">
        <v>199.6</v>
      </c>
      <c r="D162" s="28" t="str">
        <f t="shared" si="40"/>
        <v>Yes</v>
      </c>
      <c r="E162" s="28" t="s">
        <v>653</v>
      </c>
      <c r="F162" s="11">
        <v>0</v>
      </c>
      <c r="G162" s="11">
        <v>67.3</v>
      </c>
      <c r="H162" s="37">
        <f t="shared" si="41"/>
        <v>199.6</v>
      </c>
      <c r="I162" s="37">
        <f t="shared" si="42"/>
        <v>202.26989553539212</v>
      </c>
      <c r="J162" s="37">
        <f t="shared" si="43"/>
        <v>205.75658855635092</v>
      </c>
      <c r="K162" s="37">
        <f t="shared" si="44"/>
        <v>209.30338458072615</v>
      </c>
      <c r="L162" s="37">
        <f t="shared" si="45"/>
        <v>212.91131965356044</v>
      </c>
      <c r="M162" s="25">
        <f t="shared" si="46"/>
        <v>67.3</v>
      </c>
      <c r="N162" s="25">
        <f t="shared" si="46"/>
        <v>67.3</v>
      </c>
      <c r="O162" s="25">
        <f t="shared" si="46"/>
        <v>67.3</v>
      </c>
      <c r="P162" s="25">
        <f t="shared" si="47"/>
        <v>67.3</v>
      </c>
      <c r="Q162" s="25">
        <f t="shared" si="47"/>
        <v>67.3</v>
      </c>
      <c r="R162" s="38">
        <v>296.33999999999997</v>
      </c>
      <c r="S162" s="37">
        <f t="shared" si="48"/>
        <v>266.89999999999998</v>
      </c>
      <c r="T162" s="37">
        <f t="shared" si="49"/>
        <v>269.57</v>
      </c>
      <c r="U162" s="37">
        <f t="shared" si="50"/>
        <v>273.06</v>
      </c>
      <c r="V162" s="37">
        <f t="shared" si="51"/>
        <v>276.60000000000002</v>
      </c>
      <c r="W162" s="37">
        <f t="shared" si="52"/>
        <v>280.20999999999998</v>
      </c>
      <c r="X162" s="25"/>
      <c r="Y162" s="38">
        <v>296.33999999999997</v>
      </c>
      <c r="Z162" s="25">
        <f t="shared" si="53"/>
        <v>296.33999999999997</v>
      </c>
      <c r="AA162" s="25">
        <f t="shared" si="53"/>
        <v>269.57</v>
      </c>
      <c r="AC162" s="25">
        <f t="shared" si="54"/>
        <v>202.10999999999999</v>
      </c>
      <c r="AD162" s="25">
        <v>94.22999999999999</v>
      </c>
    </row>
    <row r="163" spans="1:30" x14ac:dyDescent="0.25">
      <c r="A163" s="30" t="s">
        <v>301</v>
      </c>
      <c r="B163" s="30" t="s">
        <v>810</v>
      </c>
      <c r="C163" s="27">
        <v>214.6</v>
      </c>
      <c r="D163" s="28" t="str">
        <f t="shared" si="40"/>
        <v>Yes</v>
      </c>
      <c r="E163" s="28" t="s">
        <v>653</v>
      </c>
      <c r="F163" s="11">
        <v>0</v>
      </c>
      <c r="G163" s="11">
        <v>50.2</v>
      </c>
      <c r="H163" s="37">
        <f t="shared" si="41"/>
        <v>214.6</v>
      </c>
      <c r="I163" s="37">
        <f t="shared" si="42"/>
        <v>217.47053898745065</v>
      </c>
      <c r="J163" s="37">
        <f t="shared" si="43"/>
        <v>221.21925803703863</v>
      </c>
      <c r="K163" s="37">
        <f t="shared" si="44"/>
        <v>225.03259684881678</v>
      </c>
      <c r="L163" s="37">
        <f t="shared" si="45"/>
        <v>228.9116693269242</v>
      </c>
      <c r="M163" s="25">
        <f t="shared" si="46"/>
        <v>50.2</v>
      </c>
      <c r="N163" s="25">
        <f t="shared" si="46"/>
        <v>50.2</v>
      </c>
      <c r="O163" s="25">
        <f t="shared" si="46"/>
        <v>50.2</v>
      </c>
      <c r="P163" s="25">
        <f t="shared" si="47"/>
        <v>50.2</v>
      </c>
      <c r="Q163" s="25">
        <f t="shared" si="47"/>
        <v>50.2</v>
      </c>
      <c r="R163" s="38">
        <v>268.29000000000002</v>
      </c>
      <c r="S163" s="37">
        <f t="shared" si="48"/>
        <v>264.8</v>
      </c>
      <c r="T163" s="37">
        <f t="shared" si="49"/>
        <v>267.67</v>
      </c>
      <c r="U163" s="37">
        <f t="shared" si="50"/>
        <v>271.42</v>
      </c>
      <c r="V163" s="37">
        <f t="shared" si="51"/>
        <v>275.23</v>
      </c>
      <c r="W163" s="37">
        <f t="shared" si="52"/>
        <v>279.11</v>
      </c>
      <c r="X163" s="25"/>
      <c r="Y163" s="38">
        <v>268.29000000000002</v>
      </c>
      <c r="Z163" s="25">
        <f t="shared" si="53"/>
        <v>268.29000000000002</v>
      </c>
      <c r="AA163" s="25">
        <f t="shared" si="53"/>
        <v>267.67</v>
      </c>
      <c r="AC163" s="25">
        <f t="shared" si="54"/>
        <v>201.37000000000003</v>
      </c>
      <c r="AD163" s="25">
        <v>66.919999999999987</v>
      </c>
    </row>
    <row r="164" spans="1:30" x14ac:dyDescent="0.25">
      <c r="A164" s="30" t="s">
        <v>303</v>
      </c>
      <c r="B164" s="30" t="s">
        <v>811</v>
      </c>
      <c r="C164" s="27">
        <v>4242.6099999999997</v>
      </c>
      <c r="D164" s="28" t="str">
        <f t="shared" si="40"/>
        <v>Yes</v>
      </c>
      <c r="E164" s="28" t="s">
        <v>655</v>
      </c>
      <c r="F164" s="11">
        <v>440.05999999999995</v>
      </c>
      <c r="G164" s="11">
        <v>0</v>
      </c>
      <c r="H164" s="37">
        <f t="shared" si="41"/>
        <v>4242.6099999999997</v>
      </c>
      <c r="I164" s="37">
        <f t="shared" si="42"/>
        <v>4299.360127742535</v>
      </c>
      <c r="J164" s="37">
        <f t="shared" si="43"/>
        <v>4373.4717443640284</v>
      </c>
      <c r="K164" s="37">
        <f t="shared" si="44"/>
        <v>4448.8608840482693</v>
      </c>
      <c r="L164" s="37">
        <f t="shared" si="45"/>
        <v>4525.5495685139886</v>
      </c>
      <c r="M164" s="25">
        <f t="shared" si="46"/>
        <v>-440.05999999999995</v>
      </c>
      <c r="N164" s="25">
        <f t="shared" si="46"/>
        <v>-440.05999999999995</v>
      </c>
      <c r="O164" s="25">
        <f t="shared" si="46"/>
        <v>-440.05999999999995</v>
      </c>
      <c r="P164" s="25">
        <f t="shared" si="47"/>
        <v>-440.05999999999995</v>
      </c>
      <c r="Q164" s="25">
        <f t="shared" si="47"/>
        <v>-440.05999999999995</v>
      </c>
      <c r="R164" s="38">
        <v>3995.96</v>
      </c>
      <c r="S164" s="37">
        <f t="shared" si="48"/>
        <v>3802.55</v>
      </c>
      <c r="T164" s="37">
        <f t="shared" si="49"/>
        <v>3859.3</v>
      </c>
      <c r="U164" s="37">
        <f t="shared" si="50"/>
        <v>3933.41</v>
      </c>
      <c r="V164" s="37">
        <f t="shared" si="51"/>
        <v>4008.8</v>
      </c>
      <c r="W164" s="37">
        <f t="shared" si="52"/>
        <v>4085.49</v>
      </c>
      <c r="X164" s="25"/>
      <c r="Y164" s="38">
        <v>3995.96</v>
      </c>
      <c r="Z164" s="25">
        <f t="shared" si="53"/>
        <v>3995.96</v>
      </c>
      <c r="AA164" s="25">
        <f t="shared" si="53"/>
        <v>3859.3</v>
      </c>
      <c r="AC164" s="25">
        <f t="shared" si="54"/>
        <v>4536.79</v>
      </c>
      <c r="AD164" s="25">
        <v>-540.82999999999993</v>
      </c>
    </row>
    <row r="165" spans="1:30" x14ac:dyDescent="0.25">
      <c r="A165" s="30" t="s">
        <v>305</v>
      </c>
      <c r="B165" s="30" t="s">
        <v>812</v>
      </c>
      <c r="C165" s="27">
        <v>1408.03</v>
      </c>
      <c r="D165" s="28" t="str">
        <f t="shared" si="40"/>
        <v>Yes</v>
      </c>
      <c r="E165" s="28" t="s">
        <v>653</v>
      </c>
      <c r="F165" s="11">
        <v>0</v>
      </c>
      <c r="G165" s="11">
        <v>0</v>
      </c>
      <c r="H165" s="37">
        <f t="shared" si="41"/>
        <v>1408.03</v>
      </c>
      <c r="I165" s="37">
        <f t="shared" si="42"/>
        <v>1426.864133320131</v>
      </c>
      <c r="J165" s="37">
        <f t="shared" si="43"/>
        <v>1451.4601672595129</v>
      </c>
      <c r="K165" s="37">
        <f t="shared" si="44"/>
        <v>1476.4801833226443</v>
      </c>
      <c r="L165" s="37">
        <f t="shared" si="45"/>
        <v>1501.9314900390916</v>
      </c>
      <c r="M165" s="25">
        <f t="shared" si="46"/>
        <v>0</v>
      </c>
      <c r="N165" s="25">
        <f t="shared" si="46"/>
        <v>0</v>
      </c>
      <c r="O165" s="25">
        <f t="shared" si="46"/>
        <v>0</v>
      </c>
      <c r="P165" s="25">
        <f t="shared" si="47"/>
        <v>0</v>
      </c>
      <c r="Q165" s="25">
        <f t="shared" si="47"/>
        <v>0</v>
      </c>
      <c r="R165" s="38">
        <v>1736.91</v>
      </c>
      <c r="S165" s="37">
        <f t="shared" si="48"/>
        <v>1408.03</v>
      </c>
      <c r="T165" s="37">
        <f t="shared" si="49"/>
        <v>1426.86</v>
      </c>
      <c r="U165" s="37">
        <f t="shared" si="50"/>
        <v>1451.46</v>
      </c>
      <c r="V165" s="37">
        <f t="shared" si="51"/>
        <v>1476.48</v>
      </c>
      <c r="W165" s="37">
        <f t="shared" si="52"/>
        <v>1501.93</v>
      </c>
      <c r="X165" s="25"/>
      <c r="Y165" s="38">
        <v>1736.91</v>
      </c>
      <c r="Z165" s="25">
        <f t="shared" si="53"/>
        <v>1736.91</v>
      </c>
      <c r="AA165" s="25">
        <f t="shared" si="53"/>
        <v>1426.86</v>
      </c>
      <c r="AC165" s="25">
        <f t="shared" si="54"/>
        <v>1736.91</v>
      </c>
      <c r="AD165" s="25">
        <v>0</v>
      </c>
    </row>
    <row r="166" spans="1:30" x14ac:dyDescent="0.25">
      <c r="A166" s="30" t="s">
        <v>307</v>
      </c>
      <c r="B166" s="30" t="s">
        <v>813</v>
      </c>
      <c r="C166" s="27">
        <v>696.02</v>
      </c>
      <c r="D166" s="28" t="str">
        <f t="shared" si="40"/>
        <v>Yes</v>
      </c>
      <c r="E166" s="28" t="s">
        <v>655</v>
      </c>
      <c r="F166" s="11">
        <v>0</v>
      </c>
      <c r="G166" s="11">
        <v>280.44</v>
      </c>
      <c r="H166" s="37">
        <f t="shared" si="41"/>
        <v>696.02</v>
      </c>
      <c r="I166" s="37">
        <f t="shared" si="42"/>
        <v>705.33012370011841</v>
      </c>
      <c r="J166" s="37">
        <f t="shared" si="43"/>
        <v>717.48848079654999</v>
      </c>
      <c r="K166" s="37">
        <f t="shared" si="44"/>
        <v>729.85642152242997</v>
      </c>
      <c r="L166" s="37">
        <f t="shared" si="45"/>
        <v>742.43755864364311</v>
      </c>
      <c r="M166" s="25">
        <f t="shared" si="46"/>
        <v>280.44</v>
      </c>
      <c r="N166" s="25">
        <f t="shared" si="46"/>
        <v>280.44</v>
      </c>
      <c r="O166" s="25">
        <f t="shared" si="46"/>
        <v>280.44</v>
      </c>
      <c r="P166" s="25">
        <f t="shared" si="47"/>
        <v>280.44</v>
      </c>
      <c r="Q166" s="25">
        <f t="shared" si="47"/>
        <v>280.44</v>
      </c>
      <c r="R166" s="38">
        <v>1085.9000000000001</v>
      </c>
      <c r="S166" s="37">
        <f t="shared" si="48"/>
        <v>976.46</v>
      </c>
      <c r="T166" s="37">
        <f t="shared" si="49"/>
        <v>985.77</v>
      </c>
      <c r="U166" s="37">
        <f t="shared" si="50"/>
        <v>997.93</v>
      </c>
      <c r="V166" s="37">
        <f t="shared" si="51"/>
        <v>1010.3</v>
      </c>
      <c r="W166" s="37">
        <f t="shared" si="52"/>
        <v>1022.88</v>
      </c>
      <c r="X166" s="25"/>
      <c r="Y166" s="38">
        <v>1085.9000000000001</v>
      </c>
      <c r="Z166" s="25">
        <f t="shared" si="53"/>
        <v>1085.9000000000001</v>
      </c>
      <c r="AA166" s="25">
        <f t="shared" si="53"/>
        <v>985.77</v>
      </c>
      <c r="AC166" s="25">
        <f t="shared" si="54"/>
        <v>734.35000000000014</v>
      </c>
      <c r="AD166" s="25">
        <v>351.55</v>
      </c>
    </row>
    <row r="167" spans="1:30" x14ac:dyDescent="0.25">
      <c r="A167" s="30" t="s">
        <v>309</v>
      </c>
      <c r="B167" s="30" t="s">
        <v>814</v>
      </c>
      <c r="C167" s="27">
        <v>2239.37</v>
      </c>
      <c r="D167" s="28" t="str">
        <f t="shared" si="40"/>
        <v>Yes</v>
      </c>
      <c r="E167" s="28" t="s">
        <v>655</v>
      </c>
      <c r="F167" s="11">
        <v>75</v>
      </c>
      <c r="G167" s="11">
        <v>0</v>
      </c>
      <c r="H167" s="37">
        <f t="shared" si="41"/>
        <v>2239.37</v>
      </c>
      <c r="I167" s="37">
        <f t="shared" si="42"/>
        <v>2269.3243284824202</v>
      </c>
      <c r="J167" s="37">
        <f t="shared" si="43"/>
        <v>2308.442543664507</v>
      </c>
      <c r="K167" s="37">
        <f t="shared" si="44"/>
        <v>2348.235071786276</v>
      </c>
      <c r="L167" s="37">
        <f t="shared" si="45"/>
        <v>2388.7135365360405</v>
      </c>
      <c r="M167" s="25">
        <f t="shared" si="46"/>
        <v>-75</v>
      </c>
      <c r="N167" s="25">
        <f t="shared" si="46"/>
        <v>-75</v>
      </c>
      <c r="O167" s="25">
        <f t="shared" si="46"/>
        <v>-75</v>
      </c>
      <c r="P167" s="25">
        <f t="shared" si="47"/>
        <v>-75</v>
      </c>
      <c r="Q167" s="25">
        <f t="shared" si="47"/>
        <v>-75</v>
      </c>
      <c r="R167" s="38">
        <v>2222.7199999999998</v>
      </c>
      <c r="S167" s="37">
        <f t="shared" si="48"/>
        <v>2164.37</v>
      </c>
      <c r="T167" s="37">
        <f t="shared" si="49"/>
        <v>2194.3200000000002</v>
      </c>
      <c r="U167" s="37">
        <f t="shared" si="50"/>
        <v>2233.44</v>
      </c>
      <c r="V167" s="37">
        <f t="shared" si="51"/>
        <v>2273.2399999999998</v>
      </c>
      <c r="W167" s="37">
        <f t="shared" si="52"/>
        <v>2313.71</v>
      </c>
      <c r="X167" s="25"/>
      <c r="Y167" s="38">
        <v>2222.7199999999998</v>
      </c>
      <c r="Z167" s="25">
        <f t="shared" si="53"/>
        <v>2222.7199999999998</v>
      </c>
      <c r="AA167" s="25">
        <f t="shared" si="53"/>
        <v>2194.3200000000002</v>
      </c>
      <c r="AC167" s="25">
        <f t="shared" si="54"/>
        <v>2327.52</v>
      </c>
      <c r="AD167" s="25">
        <v>-104.8</v>
      </c>
    </row>
    <row r="168" spans="1:30" x14ac:dyDescent="0.25">
      <c r="A168" s="30" t="s">
        <v>311</v>
      </c>
      <c r="B168" s="30" t="s">
        <v>815</v>
      </c>
      <c r="C168" s="27">
        <v>308.64</v>
      </c>
      <c r="D168" s="28" t="str">
        <f t="shared" si="40"/>
        <v>Yes</v>
      </c>
      <c r="E168" s="28" t="s">
        <v>653</v>
      </c>
      <c r="F168" s="11">
        <v>0</v>
      </c>
      <c r="G168" s="11">
        <v>118.12</v>
      </c>
      <c r="H168" s="37">
        <f t="shared" si="41"/>
        <v>308.64</v>
      </c>
      <c r="I168" s="37">
        <f t="shared" si="42"/>
        <v>312.76843966955624</v>
      </c>
      <c r="J168" s="37">
        <f t="shared" si="43"/>
        <v>318.15988723462999</v>
      </c>
      <c r="K168" s="37">
        <f t="shared" si="44"/>
        <v>323.64427162823301</v>
      </c>
      <c r="L168" s="37">
        <f t="shared" si="45"/>
        <v>329.22319487913273</v>
      </c>
      <c r="M168" s="25">
        <f t="shared" si="46"/>
        <v>118.12</v>
      </c>
      <c r="N168" s="25">
        <f t="shared" si="46"/>
        <v>118.12</v>
      </c>
      <c r="O168" s="25">
        <f t="shared" si="46"/>
        <v>118.12</v>
      </c>
      <c r="P168" s="25">
        <f t="shared" si="47"/>
        <v>118.12</v>
      </c>
      <c r="Q168" s="25">
        <f t="shared" si="47"/>
        <v>118.12</v>
      </c>
      <c r="R168" s="38">
        <v>447.27</v>
      </c>
      <c r="S168" s="37">
        <f t="shared" si="48"/>
        <v>426.76</v>
      </c>
      <c r="T168" s="37">
        <f t="shared" si="49"/>
        <v>430.89</v>
      </c>
      <c r="U168" s="37">
        <f t="shared" si="50"/>
        <v>436.28</v>
      </c>
      <c r="V168" s="37">
        <f t="shared" si="51"/>
        <v>441.76</v>
      </c>
      <c r="W168" s="37">
        <f t="shared" si="52"/>
        <v>447.34</v>
      </c>
      <c r="X168" s="25"/>
      <c r="Y168" s="38">
        <v>447.27</v>
      </c>
      <c r="Z168" s="25">
        <f t="shared" si="53"/>
        <v>447.27</v>
      </c>
      <c r="AA168" s="25">
        <f t="shared" si="53"/>
        <v>430.89</v>
      </c>
      <c r="AC168" s="25">
        <f t="shared" si="54"/>
        <v>313.45999999999998</v>
      </c>
      <c r="AD168" s="25">
        <v>133.81</v>
      </c>
    </row>
    <row r="169" spans="1:30" x14ac:dyDescent="0.25">
      <c r="A169" s="30" t="s">
        <v>313</v>
      </c>
      <c r="B169" s="30" t="s">
        <v>1001</v>
      </c>
      <c r="C169" s="27">
        <v>129</v>
      </c>
      <c r="D169" s="28" t="str">
        <f t="shared" si="40"/>
        <v>Yes</v>
      </c>
      <c r="E169" s="28" t="s">
        <v>653</v>
      </c>
      <c r="F169" s="11">
        <v>0</v>
      </c>
      <c r="G169" s="11">
        <v>24.8</v>
      </c>
      <c r="H169" s="37">
        <f t="shared" si="41"/>
        <v>129</v>
      </c>
      <c r="I169" s="37">
        <f t="shared" si="42"/>
        <v>130.72553368770332</v>
      </c>
      <c r="J169" s="37">
        <f t="shared" si="43"/>
        <v>132.97895753391415</v>
      </c>
      <c r="K169" s="37">
        <f t="shared" si="44"/>
        <v>135.27122550557951</v>
      </c>
      <c r="L169" s="37">
        <f t="shared" si="45"/>
        <v>137.60300719092834</v>
      </c>
      <c r="M169" s="25">
        <f t="shared" si="46"/>
        <v>24.8</v>
      </c>
      <c r="N169" s="25">
        <f t="shared" si="46"/>
        <v>24.8</v>
      </c>
      <c r="O169" s="25">
        <f t="shared" si="46"/>
        <v>24.8</v>
      </c>
      <c r="P169" s="25">
        <f t="shared" si="47"/>
        <v>24.8</v>
      </c>
      <c r="Q169" s="25">
        <f t="shared" si="47"/>
        <v>24.8</v>
      </c>
      <c r="R169" s="38">
        <v>171.19</v>
      </c>
      <c r="S169" s="37">
        <f t="shared" si="48"/>
        <v>153.80000000000001</v>
      </c>
      <c r="T169" s="37">
        <f t="shared" si="49"/>
        <v>155.53</v>
      </c>
      <c r="U169" s="37">
        <f t="shared" si="50"/>
        <v>157.78</v>
      </c>
      <c r="V169" s="37">
        <f t="shared" si="51"/>
        <v>160.07</v>
      </c>
      <c r="W169" s="37">
        <f t="shared" si="52"/>
        <v>162.4</v>
      </c>
      <c r="X169" s="25"/>
      <c r="Y169" s="38">
        <v>171.19</v>
      </c>
      <c r="Z169" s="25">
        <f t="shared" si="53"/>
        <v>171.19</v>
      </c>
      <c r="AA169" s="25">
        <f t="shared" si="53"/>
        <v>155.53</v>
      </c>
      <c r="AC169" s="25">
        <f t="shared" si="54"/>
        <v>133.19</v>
      </c>
      <c r="AD169" s="25">
        <v>38</v>
      </c>
    </row>
    <row r="170" spans="1:30" x14ac:dyDescent="0.25">
      <c r="A170" s="30" t="s">
        <v>315</v>
      </c>
      <c r="B170" s="30" t="s">
        <v>816</v>
      </c>
      <c r="C170" s="27">
        <v>6443.79</v>
      </c>
      <c r="D170" s="28" t="str">
        <f t="shared" si="40"/>
        <v>Yes</v>
      </c>
      <c r="E170" s="28" t="s">
        <v>653</v>
      </c>
      <c r="F170" s="11">
        <v>0</v>
      </c>
      <c r="G170" s="11">
        <v>0</v>
      </c>
      <c r="H170" s="37">
        <f t="shared" si="41"/>
        <v>6443.79</v>
      </c>
      <c r="I170" s="37">
        <f t="shared" si="42"/>
        <v>6529.9836179960139</v>
      </c>
      <c r="J170" s="37">
        <f t="shared" si="43"/>
        <v>6642.5463315307034</v>
      </c>
      <c r="K170" s="37">
        <f t="shared" si="44"/>
        <v>6757.0493813999856</v>
      </c>
      <c r="L170" s="37">
        <f t="shared" si="45"/>
        <v>6873.5262147816438</v>
      </c>
      <c r="M170" s="25">
        <f t="shared" si="46"/>
        <v>0</v>
      </c>
      <c r="N170" s="25">
        <f t="shared" si="46"/>
        <v>0</v>
      </c>
      <c r="O170" s="25">
        <f t="shared" si="46"/>
        <v>0</v>
      </c>
      <c r="P170" s="25">
        <f t="shared" si="47"/>
        <v>0</v>
      </c>
      <c r="Q170" s="25">
        <f t="shared" si="47"/>
        <v>0</v>
      </c>
      <c r="R170" s="38">
        <v>5360.81</v>
      </c>
      <c r="S170" s="37">
        <f t="shared" si="48"/>
        <v>6443.79</v>
      </c>
      <c r="T170" s="37">
        <f t="shared" si="49"/>
        <v>6529.98</v>
      </c>
      <c r="U170" s="37">
        <f t="shared" si="50"/>
        <v>6642.55</v>
      </c>
      <c r="V170" s="37">
        <f t="shared" si="51"/>
        <v>6757.05</v>
      </c>
      <c r="W170" s="37">
        <f t="shared" si="52"/>
        <v>6873.53</v>
      </c>
      <c r="X170" s="25"/>
      <c r="Y170" s="38">
        <v>5360.81</v>
      </c>
      <c r="Z170" s="25">
        <f t="shared" si="53"/>
        <v>6443.79</v>
      </c>
      <c r="AA170" s="25">
        <f t="shared" si="53"/>
        <v>6529.98</v>
      </c>
      <c r="AC170" s="25">
        <f t="shared" si="54"/>
        <v>5360.81</v>
      </c>
      <c r="AD170" s="25">
        <v>0</v>
      </c>
    </row>
    <row r="171" spans="1:30" x14ac:dyDescent="0.25">
      <c r="A171" s="30" t="s">
        <v>317</v>
      </c>
      <c r="B171" s="30" t="s">
        <v>817</v>
      </c>
      <c r="C171" s="27">
        <v>1042.54</v>
      </c>
      <c r="D171" s="28" t="str">
        <f t="shared" si="40"/>
        <v>Yes</v>
      </c>
      <c r="E171" s="28" t="s">
        <v>653</v>
      </c>
      <c r="F171" s="11">
        <v>0</v>
      </c>
      <c r="G171" s="11">
        <v>0</v>
      </c>
      <c r="H171" s="37">
        <f t="shared" si="41"/>
        <v>1042.54</v>
      </c>
      <c r="I171" s="37">
        <f t="shared" si="42"/>
        <v>1056.485254967273</v>
      </c>
      <c r="J171" s="37">
        <f t="shared" si="43"/>
        <v>1074.6967626930766</v>
      </c>
      <c r="K171" s="37">
        <f t="shared" si="44"/>
        <v>1093.2221971983479</v>
      </c>
      <c r="L171" s="37">
        <f t="shared" si="45"/>
        <v>1112.0669698979104</v>
      </c>
      <c r="M171" s="25">
        <f t="shared" si="46"/>
        <v>0</v>
      </c>
      <c r="N171" s="25">
        <f t="shared" si="46"/>
        <v>0</v>
      </c>
      <c r="O171" s="25">
        <f t="shared" si="46"/>
        <v>0</v>
      </c>
      <c r="P171" s="25">
        <f t="shared" si="47"/>
        <v>0</v>
      </c>
      <c r="Q171" s="25">
        <f t="shared" si="47"/>
        <v>0</v>
      </c>
      <c r="R171" s="38">
        <v>1141.6400000000001</v>
      </c>
      <c r="S171" s="37">
        <f t="shared" si="48"/>
        <v>1042.54</v>
      </c>
      <c r="T171" s="37">
        <f t="shared" si="49"/>
        <v>1056.49</v>
      </c>
      <c r="U171" s="37">
        <f t="shared" si="50"/>
        <v>1074.7</v>
      </c>
      <c r="V171" s="37">
        <f t="shared" si="51"/>
        <v>1093.22</v>
      </c>
      <c r="W171" s="37">
        <f t="shared" si="52"/>
        <v>1112.07</v>
      </c>
      <c r="X171" s="25"/>
      <c r="Y171" s="38">
        <v>1141.6400000000001</v>
      </c>
      <c r="Z171" s="25">
        <f t="shared" si="53"/>
        <v>1141.6400000000001</v>
      </c>
      <c r="AA171" s="25">
        <f t="shared" si="53"/>
        <v>1056.49</v>
      </c>
      <c r="AC171" s="25">
        <f t="shared" si="54"/>
        <v>1141.6400000000001</v>
      </c>
      <c r="AD171" s="25">
        <v>0</v>
      </c>
    </row>
    <row r="172" spans="1:30" x14ac:dyDescent="0.25">
      <c r="A172" s="30" t="s">
        <v>319</v>
      </c>
      <c r="B172" s="30" t="s">
        <v>818</v>
      </c>
      <c r="C172" s="27">
        <v>962.99</v>
      </c>
      <c r="D172" s="28" t="str">
        <f t="shared" si="40"/>
        <v>Yes</v>
      </c>
      <c r="E172" s="28" t="s">
        <v>653</v>
      </c>
      <c r="F172" s="11">
        <v>0</v>
      </c>
      <c r="G172" s="11">
        <v>0</v>
      </c>
      <c r="H172" s="37">
        <f t="shared" si="41"/>
        <v>962.99</v>
      </c>
      <c r="I172" s="37">
        <f t="shared" si="42"/>
        <v>975.87117585985607</v>
      </c>
      <c r="J172" s="37">
        <f t="shared" si="43"/>
        <v>992.69307221382951</v>
      </c>
      <c r="K172" s="37">
        <f t="shared" si="44"/>
        <v>1009.8049414699071</v>
      </c>
      <c r="L172" s="37">
        <f t="shared" si="45"/>
        <v>1027.2117821301713</v>
      </c>
      <c r="M172" s="25">
        <f t="shared" si="46"/>
        <v>0</v>
      </c>
      <c r="N172" s="25">
        <f t="shared" si="46"/>
        <v>0</v>
      </c>
      <c r="O172" s="25">
        <f t="shared" si="46"/>
        <v>0</v>
      </c>
      <c r="P172" s="25">
        <f t="shared" si="47"/>
        <v>0</v>
      </c>
      <c r="Q172" s="25">
        <f t="shared" si="47"/>
        <v>0</v>
      </c>
      <c r="R172" s="38">
        <v>960.94</v>
      </c>
      <c r="S172" s="37">
        <f t="shared" si="48"/>
        <v>962.99</v>
      </c>
      <c r="T172" s="37">
        <f t="shared" si="49"/>
        <v>975.87</v>
      </c>
      <c r="U172" s="37">
        <f t="shared" si="50"/>
        <v>992.69</v>
      </c>
      <c r="V172" s="37">
        <f t="shared" si="51"/>
        <v>1009.8</v>
      </c>
      <c r="W172" s="37">
        <f t="shared" si="52"/>
        <v>1027.21</v>
      </c>
      <c r="X172" s="25"/>
      <c r="Y172" s="38">
        <v>960.94</v>
      </c>
      <c r="Z172" s="25">
        <f t="shared" si="53"/>
        <v>962.99</v>
      </c>
      <c r="AA172" s="25">
        <f t="shared" si="53"/>
        <v>975.87</v>
      </c>
      <c r="AC172" s="25">
        <f t="shared" si="54"/>
        <v>960.94</v>
      </c>
      <c r="AD172" s="25">
        <v>0</v>
      </c>
    </row>
    <row r="173" spans="1:30" x14ac:dyDescent="0.25">
      <c r="A173" s="30" t="s">
        <v>321</v>
      </c>
      <c r="B173" s="30" t="s">
        <v>819</v>
      </c>
      <c r="C173" s="27">
        <v>294.63</v>
      </c>
      <c r="D173" s="28" t="str">
        <f t="shared" si="40"/>
        <v>Yes</v>
      </c>
      <c r="E173" s="28" t="s">
        <v>653</v>
      </c>
      <c r="F173" s="11">
        <v>0</v>
      </c>
      <c r="G173" s="11">
        <v>0</v>
      </c>
      <c r="H173" s="37">
        <f t="shared" si="41"/>
        <v>294.63</v>
      </c>
      <c r="I173" s="37">
        <f t="shared" si="42"/>
        <v>298.57103868533358</v>
      </c>
      <c r="J173" s="37">
        <f t="shared" si="43"/>
        <v>303.71775393966772</v>
      </c>
      <c r="K173" s="37">
        <f t="shared" si="44"/>
        <v>308.95318736983643</v>
      </c>
      <c r="L173" s="37">
        <f t="shared" si="45"/>
        <v>314.27886828421106</v>
      </c>
      <c r="M173" s="25">
        <f t="shared" si="46"/>
        <v>0</v>
      </c>
      <c r="N173" s="25">
        <f t="shared" si="46"/>
        <v>0</v>
      </c>
      <c r="O173" s="25">
        <f t="shared" si="46"/>
        <v>0</v>
      </c>
      <c r="P173" s="25">
        <f t="shared" si="47"/>
        <v>0</v>
      </c>
      <c r="Q173" s="25">
        <f t="shared" si="47"/>
        <v>0</v>
      </c>
      <c r="R173" s="38">
        <v>303.86</v>
      </c>
      <c r="S173" s="37">
        <f t="shared" si="48"/>
        <v>294.63</v>
      </c>
      <c r="T173" s="37">
        <f t="shared" si="49"/>
        <v>298.57</v>
      </c>
      <c r="U173" s="37">
        <f t="shared" si="50"/>
        <v>303.72000000000003</v>
      </c>
      <c r="V173" s="37">
        <f t="shared" si="51"/>
        <v>308.95</v>
      </c>
      <c r="W173" s="37">
        <f t="shared" si="52"/>
        <v>314.27999999999997</v>
      </c>
      <c r="X173" s="25"/>
      <c r="Y173" s="38">
        <v>303.86</v>
      </c>
      <c r="Z173" s="25">
        <f t="shared" si="53"/>
        <v>303.86</v>
      </c>
      <c r="AA173" s="25">
        <f t="shared" si="53"/>
        <v>298.57</v>
      </c>
      <c r="AC173" s="25">
        <f t="shared" si="54"/>
        <v>303.86</v>
      </c>
      <c r="AD173" s="25">
        <v>0</v>
      </c>
    </row>
    <row r="174" spans="1:30" x14ac:dyDescent="0.25">
      <c r="A174" s="30" t="s">
        <v>323</v>
      </c>
      <c r="B174" s="30" t="s">
        <v>820</v>
      </c>
      <c r="C174" s="27">
        <v>717.46</v>
      </c>
      <c r="D174" s="28" t="str">
        <f t="shared" si="40"/>
        <v>Yes</v>
      </c>
      <c r="E174" s="28" t="s">
        <v>653</v>
      </c>
      <c r="F174" s="11">
        <v>0</v>
      </c>
      <c r="G174" s="11">
        <v>0</v>
      </c>
      <c r="H174" s="37">
        <f t="shared" si="41"/>
        <v>717.46</v>
      </c>
      <c r="I174" s="37">
        <f t="shared" si="42"/>
        <v>727.05691007426071</v>
      </c>
      <c r="J174" s="37">
        <f t="shared" si="43"/>
        <v>739.58978970761291</v>
      </c>
      <c r="K174" s="37">
        <f t="shared" si="44"/>
        <v>752.33870892428752</v>
      </c>
      <c r="L174" s="37">
        <f t="shared" si="45"/>
        <v>765.30739177677094</v>
      </c>
      <c r="M174" s="25">
        <f t="shared" si="46"/>
        <v>0</v>
      </c>
      <c r="N174" s="25">
        <f t="shared" si="46"/>
        <v>0</v>
      </c>
      <c r="O174" s="25">
        <f t="shared" si="46"/>
        <v>0</v>
      </c>
      <c r="P174" s="25">
        <f t="shared" si="47"/>
        <v>0</v>
      </c>
      <c r="Q174" s="25">
        <f t="shared" si="47"/>
        <v>0</v>
      </c>
      <c r="R174" s="38">
        <v>695.56</v>
      </c>
      <c r="S174" s="37">
        <f t="shared" si="48"/>
        <v>717.46</v>
      </c>
      <c r="T174" s="37">
        <f t="shared" si="49"/>
        <v>727.06</v>
      </c>
      <c r="U174" s="37">
        <f t="shared" si="50"/>
        <v>739.59</v>
      </c>
      <c r="V174" s="37">
        <f t="shared" si="51"/>
        <v>752.34</v>
      </c>
      <c r="W174" s="37">
        <f t="shared" si="52"/>
        <v>765.31</v>
      </c>
      <c r="X174" s="25"/>
      <c r="Y174" s="38">
        <v>695.56</v>
      </c>
      <c r="Z174" s="25">
        <f t="shared" si="53"/>
        <v>717.46</v>
      </c>
      <c r="AA174" s="25">
        <f t="shared" si="53"/>
        <v>727.06</v>
      </c>
      <c r="AC174" s="25">
        <f t="shared" si="54"/>
        <v>695.56</v>
      </c>
      <c r="AD174" s="25">
        <v>0</v>
      </c>
    </row>
    <row r="175" spans="1:30" x14ac:dyDescent="0.25">
      <c r="A175" s="30" t="s">
        <v>325</v>
      </c>
      <c r="B175" s="30" t="s">
        <v>821</v>
      </c>
      <c r="C175" s="27">
        <v>1125.8599999999999</v>
      </c>
      <c r="D175" s="28" t="str">
        <f t="shared" si="40"/>
        <v>Yes</v>
      </c>
      <c r="E175" s="28" t="s">
        <v>653</v>
      </c>
      <c r="F175" s="11">
        <v>0</v>
      </c>
      <c r="G175" s="11">
        <v>0</v>
      </c>
      <c r="H175" s="37">
        <f t="shared" si="41"/>
        <v>1125.8599999999999</v>
      </c>
      <c r="I175" s="37">
        <f t="shared" si="42"/>
        <v>1140.9197624623075</v>
      </c>
      <c r="J175" s="37">
        <f t="shared" si="43"/>
        <v>1160.5867374351365</v>
      </c>
      <c r="K175" s="37">
        <f t="shared" si="44"/>
        <v>1180.5927282768353</v>
      </c>
      <c r="L175" s="37">
        <f t="shared" si="45"/>
        <v>1200.9435788835549</v>
      </c>
      <c r="M175" s="25">
        <f t="shared" si="46"/>
        <v>0</v>
      </c>
      <c r="N175" s="25">
        <f t="shared" si="46"/>
        <v>0</v>
      </c>
      <c r="O175" s="25">
        <f t="shared" si="46"/>
        <v>0</v>
      </c>
      <c r="P175" s="25">
        <f t="shared" si="47"/>
        <v>0</v>
      </c>
      <c r="Q175" s="25">
        <f t="shared" si="47"/>
        <v>0</v>
      </c>
      <c r="R175" s="38">
        <v>1111.98</v>
      </c>
      <c r="S175" s="37">
        <f t="shared" si="48"/>
        <v>1125.8599999999999</v>
      </c>
      <c r="T175" s="37">
        <f t="shared" si="49"/>
        <v>1140.92</v>
      </c>
      <c r="U175" s="37">
        <f t="shared" si="50"/>
        <v>1160.5899999999999</v>
      </c>
      <c r="V175" s="37">
        <f t="shared" si="51"/>
        <v>1180.5899999999999</v>
      </c>
      <c r="W175" s="37">
        <f t="shared" si="52"/>
        <v>1200.94</v>
      </c>
      <c r="X175" s="25"/>
      <c r="Y175" s="38">
        <v>1111.98</v>
      </c>
      <c r="Z175" s="25">
        <f t="shared" si="53"/>
        <v>1125.8599999999999</v>
      </c>
      <c r="AA175" s="25">
        <f t="shared" si="53"/>
        <v>1140.92</v>
      </c>
      <c r="AC175" s="25">
        <f t="shared" si="54"/>
        <v>1111.98</v>
      </c>
      <c r="AD175" s="25">
        <v>0</v>
      </c>
    </row>
    <row r="176" spans="1:30" x14ac:dyDescent="0.25">
      <c r="A176" s="30" t="s">
        <v>327</v>
      </c>
      <c r="B176" s="30" t="s">
        <v>822</v>
      </c>
      <c r="C176" s="27">
        <v>507.53</v>
      </c>
      <c r="D176" s="28" t="str">
        <f t="shared" si="40"/>
        <v>Yes</v>
      </c>
      <c r="E176" s="28" t="s">
        <v>653</v>
      </c>
      <c r="F176" s="11">
        <v>0</v>
      </c>
      <c r="G176" s="11">
        <v>0</v>
      </c>
      <c r="H176" s="37">
        <f t="shared" si="41"/>
        <v>507.53</v>
      </c>
      <c r="I176" s="37">
        <f t="shared" si="42"/>
        <v>514.31883808155089</v>
      </c>
      <c r="J176" s="37">
        <f t="shared" si="43"/>
        <v>523.18457610222833</v>
      </c>
      <c r="K176" s="37">
        <f t="shared" si="44"/>
        <v>532.20314016160285</v>
      </c>
      <c r="L176" s="37">
        <f t="shared" si="45"/>
        <v>541.37716464815389</v>
      </c>
      <c r="M176" s="25">
        <f t="shared" si="46"/>
        <v>0</v>
      </c>
      <c r="N176" s="25">
        <f t="shared" si="46"/>
        <v>0</v>
      </c>
      <c r="O176" s="25">
        <f t="shared" si="46"/>
        <v>0</v>
      </c>
      <c r="P176" s="25">
        <f t="shared" si="47"/>
        <v>0</v>
      </c>
      <c r="Q176" s="25">
        <f t="shared" si="47"/>
        <v>0</v>
      </c>
      <c r="R176" s="38">
        <v>556.92999999999995</v>
      </c>
      <c r="S176" s="37">
        <f t="shared" si="48"/>
        <v>507.53</v>
      </c>
      <c r="T176" s="37">
        <f t="shared" si="49"/>
        <v>514.32000000000005</v>
      </c>
      <c r="U176" s="37">
        <f t="shared" si="50"/>
        <v>523.17999999999995</v>
      </c>
      <c r="V176" s="37">
        <f t="shared" si="51"/>
        <v>532.20000000000005</v>
      </c>
      <c r="W176" s="37">
        <f t="shared" si="52"/>
        <v>541.38</v>
      </c>
      <c r="X176" s="25"/>
      <c r="Y176" s="38">
        <v>556.92999999999995</v>
      </c>
      <c r="Z176" s="25">
        <f t="shared" si="53"/>
        <v>556.92999999999995</v>
      </c>
      <c r="AA176" s="25">
        <f t="shared" si="53"/>
        <v>514.32000000000005</v>
      </c>
      <c r="AC176" s="25">
        <f t="shared" si="54"/>
        <v>556.92999999999995</v>
      </c>
      <c r="AD176" s="25">
        <v>0</v>
      </c>
    </row>
    <row r="177" spans="1:30" x14ac:dyDescent="0.25">
      <c r="A177" s="30" t="s">
        <v>329</v>
      </c>
      <c r="B177" s="30" t="s">
        <v>823</v>
      </c>
      <c r="C177" s="27">
        <v>1017.16</v>
      </c>
      <c r="D177" s="28" t="str">
        <f t="shared" si="40"/>
        <v>Yes</v>
      </c>
      <c r="E177" s="28" t="s">
        <v>653</v>
      </c>
      <c r="F177" s="11">
        <v>0</v>
      </c>
      <c r="G177" s="11">
        <v>0</v>
      </c>
      <c r="H177" s="37">
        <f t="shared" si="41"/>
        <v>1017.16</v>
      </c>
      <c r="I177" s="37">
        <f t="shared" si="42"/>
        <v>1030.7657662463901</v>
      </c>
      <c r="J177" s="37">
        <f t="shared" si="43"/>
        <v>1048.5339259317529</v>
      </c>
      <c r="K177" s="37">
        <f t="shared" si="44"/>
        <v>1066.6083700407385</v>
      </c>
      <c r="L177" s="37">
        <f t="shared" si="45"/>
        <v>1084.9943782505788</v>
      </c>
      <c r="M177" s="25">
        <f t="shared" si="46"/>
        <v>0</v>
      </c>
      <c r="N177" s="25">
        <f t="shared" si="46"/>
        <v>0</v>
      </c>
      <c r="O177" s="25">
        <f t="shared" si="46"/>
        <v>0</v>
      </c>
      <c r="P177" s="25">
        <f t="shared" si="47"/>
        <v>0</v>
      </c>
      <c r="Q177" s="25">
        <f t="shared" si="47"/>
        <v>0</v>
      </c>
      <c r="R177" s="38">
        <v>1043.3900000000001</v>
      </c>
      <c r="S177" s="37">
        <f t="shared" si="48"/>
        <v>1017.16</v>
      </c>
      <c r="T177" s="37">
        <f t="shared" si="49"/>
        <v>1030.77</v>
      </c>
      <c r="U177" s="37">
        <f t="shared" si="50"/>
        <v>1048.53</v>
      </c>
      <c r="V177" s="37">
        <f t="shared" si="51"/>
        <v>1066.6099999999999</v>
      </c>
      <c r="W177" s="37">
        <f t="shared" si="52"/>
        <v>1084.99</v>
      </c>
      <c r="X177" s="25"/>
      <c r="Y177" s="38">
        <v>1043.3900000000001</v>
      </c>
      <c r="Z177" s="25">
        <f t="shared" si="53"/>
        <v>1043.3900000000001</v>
      </c>
      <c r="AA177" s="25">
        <f t="shared" si="53"/>
        <v>1030.77</v>
      </c>
      <c r="AC177" s="25">
        <f t="shared" si="54"/>
        <v>1043.3900000000001</v>
      </c>
      <c r="AD177" s="25">
        <v>0</v>
      </c>
    </row>
    <row r="178" spans="1:30" x14ac:dyDescent="0.25">
      <c r="A178" s="30" t="s">
        <v>331</v>
      </c>
      <c r="B178" s="30" t="s">
        <v>824</v>
      </c>
      <c r="C178" s="27">
        <v>515.95000000000005</v>
      </c>
      <c r="D178" s="28" t="str">
        <f t="shared" si="40"/>
        <v>Yes</v>
      </c>
      <c r="E178" s="28" t="s">
        <v>653</v>
      </c>
      <c r="F178" s="11">
        <v>0</v>
      </c>
      <c r="G178" s="11">
        <v>0</v>
      </c>
      <c r="H178" s="37">
        <f t="shared" si="41"/>
        <v>515.95000000000005</v>
      </c>
      <c r="I178" s="37">
        <f t="shared" si="42"/>
        <v>522.85146593930654</v>
      </c>
      <c r="J178" s="37">
        <f t="shared" si="43"/>
        <v>531.86428790405444</v>
      </c>
      <c r="K178" s="37">
        <f t="shared" si="44"/>
        <v>541.0324713147578</v>
      </c>
      <c r="L178" s="37">
        <f t="shared" si="45"/>
        <v>550.35869426480224</v>
      </c>
      <c r="M178" s="25">
        <f t="shared" si="46"/>
        <v>0</v>
      </c>
      <c r="N178" s="25">
        <f t="shared" si="46"/>
        <v>0</v>
      </c>
      <c r="O178" s="25">
        <f t="shared" si="46"/>
        <v>0</v>
      </c>
      <c r="P178" s="25">
        <f t="shared" si="47"/>
        <v>0</v>
      </c>
      <c r="Q178" s="25">
        <f t="shared" si="47"/>
        <v>0</v>
      </c>
      <c r="R178" s="38">
        <v>548.76</v>
      </c>
      <c r="S178" s="37">
        <f t="shared" si="48"/>
        <v>515.95000000000005</v>
      </c>
      <c r="T178" s="37">
        <f t="shared" si="49"/>
        <v>522.85</v>
      </c>
      <c r="U178" s="37">
        <f t="shared" si="50"/>
        <v>531.86</v>
      </c>
      <c r="V178" s="37">
        <f t="shared" si="51"/>
        <v>541.03</v>
      </c>
      <c r="W178" s="37">
        <f t="shared" si="52"/>
        <v>550.36</v>
      </c>
      <c r="X178" s="25"/>
      <c r="Y178" s="38">
        <v>548.76</v>
      </c>
      <c r="Z178" s="25">
        <f t="shared" si="53"/>
        <v>548.76</v>
      </c>
      <c r="AA178" s="25">
        <f t="shared" si="53"/>
        <v>522.85</v>
      </c>
      <c r="AC178" s="25">
        <f t="shared" si="54"/>
        <v>548.76</v>
      </c>
      <c r="AD178" s="25">
        <v>0</v>
      </c>
    </row>
    <row r="179" spans="1:30" x14ac:dyDescent="0.25">
      <c r="A179" s="30" t="s">
        <v>333</v>
      </c>
      <c r="B179" s="30" t="s">
        <v>825</v>
      </c>
      <c r="C179" s="27">
        <v>553.69000000000005</v>
      </c>
      <c r="D179" s="28" t="str">
        <f t="shared" si="40"/>
        <v>Yes</v>
      </c>
      <c r="E179" s="28" t="s">
        <v>653</v>
      </c>
      <c r="F179" s="11">
        <v>0</v>
      </c>
      <c r="G179" s="11">
        <v>0</v>
      </c>
      <c r="H179" s="37">
        <f t="shared" si="41"/>
        <v>553.69000000000005</v>
      </c>
      <c r="I179" s="37">
        <f t="shared" si="42"/>
        <v>561.0962848646858</v>
      </c>
      <c r="J179" s="37">
        <f t="shared" si="43"/>
        <v>570.76836431746472</v>
      </c>
      <c r="K179" s="37">
        <f t="shared" si="44"/>
        <v>580.60716938127393</v>
      </c>
      <c r="L179" s="37">
        <f t="shared" si="45"/>
        <v>590.61557404298549</v>
      </c>
      <c r="M179" s="25">
        <f t="shared" si="46"/>
        <v>0</v>
      </c>
      <c r="N179" s="25">
        <f t="shared" si="46"/>
        <v>0</v>
      </c>
      <c r="O179" s="25">
        <f t="shared" si="46"/>
        <v>0</v>
      </c>
      <c r="P179" s="25">
        <f t="shared" si="47"/>
        <v>0</v>
      </c>
      <c r="Q179" s="25">
        <f t="shared" si="47"/>
        <v>0</v>
      </c>
      <c r="R179" s="38">
        <v>540.19000000000005</v>
      </c>
      <c r="S179" s="37">
        <f t="shared" si="48"/>
        <v>553.69000000000005</v>
      </c>
      <c r="T179" s="37">
        <f t="shared" si="49"/>
        <v>561.1</v>
      </c>
      <c r="U179" s="37">
        <f t="shared" si="50"/>
        <v>570.77</v>
      </c>
      <c r="V179" s="37">
        <f t="shared" si="51"/>
        <v>580.61</v>
      </c>
      <c r="W179" s="37">
        <f t="shared" si="52"/>
        <v>590.62</v>
      </c>
      <c r="X179" s="25"/>
      <c r="Y179" s="38">
        <v>540.19000000000005</v>
      </c>
      <c r="Z179" s="25">
        <f t="shared" si="53"/>
        <v>553.69000000000005</v>
      </c>
      <c r="AA179" s="25">
        <f t="shared" si="53"/>
        <v>561.1</v>
      </c>
      <c r="AC179" s="25">
        <f t="shared" si="54"/>
        <v>540.19000000000005</v>
      </c>
      <c r="AD179" s="25">
        <v>0</v>
      </c>
    </row>
    <row r="180" spans="1:30" x14ac:dyDescent="0.25">
      <c r="A180" s="30" t="s">
        <v>335</v>
      </c>
      <c r="B180" s="30" t="s">
        <v>826</v>
      </c>
      <c r="C180" s="27">
        <v>308.62</v>
      </c>
      <c r="D180" s="28" t="str">
        <f t="shared" si="40"/>
        <v>Yes</v>
      </c>
      <c r="E180" s="28" t="s">
        <v>653</v>
      </c>
      <c r="F180" s="11">
        <v>0</v>
      </c>
      <c r="G180" s="11">
        <v>0</v>
      </c>
      <c r="H180" s="37">
        <f t="shared" si="41"/>
        <v>308.62</v>
      </c>
      <c r="I180" s="37">
        <f t="shared" si="42"/>
        <v>312.74817214495351</v>
      </c>
      <c r="J180" s="37">
        <f t="shared" si="43"/>
        <v>318.13927034198912</v>
      </c>
      <c r="K180" s="37">
        <f t="shared" si="44"/>
        <v>323.62329934520898</v>
      </c>
      <c r="L180" s="37">
        <f t="shared" si="45"/>
        <v>329.20186107956829</v>
      </c>
      <c r="M180" s="25">
        <f t="shared" si="46"/>
        <v>0</v>
      </c>
      <c r="N180" s="25">
        <f t="shared" si="46"/>
        <v>0</v>
      </c>
      <c r="O180" s="25">
        <f t="shared" si="46"/>
        <v>0</v>
      </c>
      <c r="P180" s="25">
        <f t="shared" si="47"/>
        <v>0</v>
      </c>
      <c r="Q180" s="25">
        <f t="shared" si="47"/>
        <v>0</v>
      </c>
      <c r="R180" s="38">
        <v>326.64</v>
      </c>
      <c r="S180" s="37">
        <f t="shared" si="48"/>
        <v>308.62</v>
      </c>
      <c r="T180" s="37">
        <f t="shared" si="49"/>
        <v>312.75</v>
      </c>
      <c r="U180" s="37">
        <f t="shared" si="50"/>
        <v>318.14</v>
      </c>
      <c r="V180" s="37">
        <f t="shared" si="51"/>
        <v>323.62</v>
      </c>
      <c r="W180" s="37">
        <f t="shared" si="52"/>
        <v>329.2</v>
      </c>
      <c r="X180" s="25"/>
      <c r="Y180" s="38">
        <v>326.64</v>
      </c>
      <c r="Z180" s="25">
        <f t="shared" si="53"/>
        <v>326.64</v>
      </c>
      <c r="AA180" s="25">
        <f t="shared" si="53"/>
        <v>312.75</v>
      </c>
      <c r="AC180" s="25">
        <f t="shared" si="54"/>
        <v>326.64</v>
      </c>
      <c r="AD180" s="25">
        <v>0</v>
      </c>
    </row>
    <row r="181" spans="1:30" x14ac:dyDescent="0.25">
      <c r="A181" s="30" t="s">
        <v>337</v>
      </c>
      <c r="B181" s="30" t="s">
        <v>827</v>
      </c>
      <c r="C181" s="27">
        <v>360.25</v>
      </c>
      <c r="D181" s="28" t="str">
        <f t="shared" si="40"/>
        <v>Yes</v>
      </c>
      <c r="E181" s="28" t="s">
        <v>653</v>
      </c>
      <c r="F181" s="11">
        <v>0</v>
      </c>
      <c r="G181" s="11">
        <v>0</v>
      </c>
      <c r="H181" s="37">
        <f t="shared" si="41"/>
        <v>360.25</v>
      </c>
      <c r="I181" s="37">
        <f t="shared" si="42"/>
        <v>365.06878690693895</v>
      </c>
      <c r="J181" s="37">
        <f t="shared" si="43"/>
        <v>371.36177869451615</v>
      </c>
      <c r="K181" s="37">
        <f t="shared" si="44"/>
        <v>377.76324797197691</v>
      </c>
      <c r="L181" s="37">
        <f t="shared" si="45"/>
        <v>384.27506465528631</v>
      </c>
      <c r="M181" s="25">
        <f t="shared" si="46"/>
        <v>0</v>
      </c>
      <c r="N181" s="25">
        <f t="shared" si="46"/>
        <v>0</v>
      </c>
      <c r="O181" s="25">
        <f t="shared" si="46"/>
        <v>0</v>
      </c>
      <c r="P181" s="25">
        <f t="shared" si="47"/>
        <v>0</v>
      </c>
      <c r="Q181" s="25">
        <f t="shared" si="47"/>
        <v>0</v>
      </c>
      <c r="R181" s="38">
        <v>345.38</v>
      </c>
      <c r="S181" s="37">
        <f t="shared" si="48"/>
        <v>360.25</v>
      </c>
      <c r="T181" s="37">
        <f t="shared" si="49"/>
        <v>365.07</v>
      </c>
      <c r="U181" s="37">
        <f t="shared" si="50"/>
        <v>371.36</v>
      </c>
      <c r="V181" s="37">
        <f t="shared" si="51"/>
        <v>377.76</v>
      </c>
      <c r="W181" s="37">
        <f t="shared" si="52"/>
        <v>384.28</v>
      </c>
      <c r="X181" s="25"/>
      <c r="Y181" s="38">
        <v>345.38</v>
      </c>
      <c r="Z181" s="25">
        <f t="shared" si="53"/>
        <v>360.25</v>
      </c>
      <c r="AA181" s="25">
        <f t="shared" si="53"/>
        <v>365.07</v>
      </c>
      <c r="AC181" s="25">
        <f t="shared" si="54"/>
        <v>345.38</v>
      </c>
      <c r="AD181" s="25">
        <v>0</v>
      </c>
    </row>
    <row r="182" spans="1:30" x14ac:dyDescent="0.25">
      <c r="A182" s="30" t="s">
        <v>339</v>
      </c>
      <c r="B182" s="30" t="s">
        <v>828</v>
      </c>
      <c r="C182" s="27">
        <v>83.63</v>
      </c>
      <c r="D182" s="28" t="str">
        <f t="shared" si="40"/>
        <v>No</v>
      </c>
      <c r="E182" s="28" t="s">
        <v>653</v>
      </c>
      <c r="F182" s="11">
        <v>0</v>
      </c>
      <c r="G182" s="11">
        <v>0</v>
      </c>
      <c r="H182" s="37">
        <f t="shared" si="41"/>
        <v>83.63</v>
      </c>
      <c r="I182" s="37">
        <f t="shared" si="42"/>
        <v>83.63</v>
      </c>
      <c r="J182" s="37">
        <f t="shared" si="43"/>
        <v>83.63</v>
      </c>
      <c r="K182" s="37">
        <f t="shared" si="44"/>
        <v>83.63</v>
      </c>
      <c r="L182" s="37">
        <f t="shared" si="45"/>
        <v>83.63</v>
      </c>
      <c r="M182" s="25">
        <f t="shared" si="46"/>
        <v>0</v>
      </c>
      <c r="N182" s="25">
        <f t="shared" si="46"/>
        <v>0</v>
      </c>
      <c r="O182" s="25">
        <f t="shared" si="46"/>
        <v>0</v>
      </c>
      <c r="P182" s="25">
        <f t="shared" si="47"/>
        <v>0</v>
      </c>
      <c r="Q182" s="25">
        <f t="shared" si="47"/>
        <v>0</v>
      </c>
      <c r="R182" s="38">
        <v>59.71</v>
      </c>
      <c r="S182" s="37">
        <f t="shared" si="48"/>
        <v>83.63</v>
      </c>
      <c r="T182" s="37">
        <f t="shared" si="49"/>
        <v>83.63</v>
      </c>
      <c r="U182" s="37">
        <f t="shared" si="50"/>
        <v>83.63</v>
      </c>
      <c r="V182" s="37">
        <f t="shared" si="51"/>
        <v>83.63</v>
      </c>
      <c r="W182" s="37">
        <f t="shared" si="52"/>
        <v>83.63</v>
      </c>
      <c r="X182" s="25"/>
      <c r="Y182" s="38">
        <v>59.71</v>
      </c>
      <c r="Z182" s="25">
        <f t="shared" si="53"/>
        <v>83.63</v>
      </c>
      <c r="AA182" s="25">
        <f t="shared" si="53"/>
        <v>83.63</v>
      </c>
      <c r="AC182" s="25">
        <f t="shared" si="54"/>
        <v>66.710000000000008</v>
      </c>
      <c r="AD182" s="25">
        <v>-7</v>
      </c>
    </row>
    <row r="183" spans="1:30" x14ac:dyDescent="0.25">
      <c r="A183" s="30" t="s">
        <v>341</v>
      </c>
      <c r="B183" s="30" t="s">
        <v>829</v>
      </c>
      <c r="C183" s="27">
        <v>1014.94</v>
      </c>
      <c r="D183" s="28" t="str">
        <f t="shared" si="40"/>
        <v>Yes</v>
      </c>
      <c r="E183" s="28" t="s">
        <v>653</v>
      </c>
      <c r="F183" s="11">
        <v>0</v>
      </c>
      <c r="G183" s="11">
        <v>0</v>
      </c>
      <c r="H183" s="37">
        <f t="shared" si="41"/>
        <v>1014.94</v>
      </c>
      <c r="I183" s="37">
        <f t="shared" si="42"/>
        <v>1028.5160710154855</v>
      </c>
      <c r="J183" s="37">
        <f t="shared" si="43"/>
        <v>1046.2454508486114</v>
      </c>
      <c r="K183" s="37">
        <f t="shared" si="44"/>
        <v>1064.2804466250611</v>
      </c>
      <c r="L183" s="37">
        <f t="shared" si="45"/>
        <v>1082.6263264989211</v>
      </c>
      <c r="M183" s="25">
        <f t="shared" si="46"/>
        <v>0</v>
      </c>
      <c r="N183" s="25">
        <f t="shared" si="46"/>
        <v>0</v>
      </c>
      <c r="O183" s="25">
        <f t="shared" si="46"/>
        <v>0</v>
      </c>
      <c r="P183" s="25">
        <f t="shared" si="47"/>
        <v>0</v>
      </c>
      <c r="Q183" s="25">
        <f t="shared" si="47"/>
        <v>0</v>
      </c>
      <c r="R183" s="38">
        <v>1109.74</v>
      </c>
      <c r="S183" s="37">
        <f t="shared" si="48"/>
        <v>1014.94</v>
      </c>
      <c r="T183" s="37">
        <f t="shared" si="49"/>
        <v>1028.52</v>
      </c>
      <c r="U183" s="37">
        <f t="shared" si="50"/>
        <v>1046.25</v>
      </c>
      <c r="V183" s="37">
        <f t="shared" si="51"/>
        <v>1064.28</v>
      </c>
      <c r="W183" s="37">
        <f t="shared" si="52"/>
        <v>1082.6300000000001</v>
      </c>
      <c r="X183" s="25"/>
      <c r="Y183" s="38">
        <v>1109.74</v>
      </c>
      <c r="Z183" s="25">
        <f t="shared" si="53"/>
        <v>1109.74</v>
      </c>
      <c r="AA183" s="25">
        <f t="shared" si="53"/>
        <v>1028.52</v>
      </c>
      <c r="AC183" s="25">
        <f t="shared" si="54"/>
        <v>1109.74</v>
      </c>
      <c r="AD183" s="25">
        <v>0</v>
      </c>
    </row>
    <row r="184" spans="1:30" x14ac:dyDescent="0.25">
      <c r="A184" s="30" t="s">
        <v>343</v>
      </c>
      <c r="B184" s="30" t="s">
        <v>830</v>
      </c>
      <c r="C184" s="27">
        <v>326.95999999999998</v>
      </c>
      <c r="D184" s="28" t="str">
        <f t="shared" si="40"/>
        <v>Yes</v>
      </c>
      <c r="E184" s="28" t="s">
        <v>653</v>
      </c>
      <c r="F184" s="11">
        <v>0</v>
      </c>
      <c r="G184" s="11">
        <v>0</v>
      </c>
      <c r="H184" s="37">
        <f t="shared" si="41"/>
        <v>326.95999999999998</v>
      </c>
      <c r="I184" s="37">
        <f t="shared" si="42"/>
        <v>331.33349220567038</v>
      </c>
      <c r="J184" s="37">
        <f t="shared" si="43"/>
        <v>337.04496089370991</v>
      </c>
      <c r="K184" s="37">
        <f t="shared" si="44"/>
        <v>342.85488287832777</v>
      </c>
      <c r="L184" s="37">
        <f t="shared" si="45"/>
        <v>348.76495528020104</v>
      </c>
      <c r="M184" s="25">
        <f t="shared" si="46"/>
        <v>0</v>
      </c>
      <c r="N184" s="25">
        <f t="shared" si="46"/>
        <v>0</v>
      </c>
      <c r="O184" s="25">
        <f t="shared" si="46"/>
        <v>0</v>
      </c>
      <c r="P184" s="25">
        <f t="shared" si="47"/>
        <v>0</v>
      </c>
      <c r="Q184" s="25">
        <f t="shared" si="47"/>
        <v>0</v>
      </c>
      <c r="R184" s="38">
        <v>248.43</v>
      </c>
      <c r="S184" s="37">
        <f t="shared" si="48"/>
        <v>326.95999999999998</v>
      </c>
      <c r="T184" s="37">
        <f t="shared" si="49"/>
        <v>331.33</v>
      </c>
      <c r="U184" s="37">
        <f t="shared" si="50"/>
        <v>337.04</v>
      </c>
      <c r="V184" s="37">
        <f t="shared" si="51"/>
        <v>342.85</v>
      </c>
      <c r="W184" s="37">
        <f t="shared" si="52"/>
        <v>348.76</v>
      </c>
      <c r="X184" s="25"/>
      <c r="Y184" s="38">
        <v>248.43</v>
      </c>
      <c r="Z184" s="25">
        <f t="shared" si="53"/>
        <v>326.95999999999998</v>
      </c>
      <c r="AA184" s="25">
        <f t="shared" si="53"/>
        <v>331.33</v>
      </c>
      <c r="AC184" s="25">
        <f t="shared" si="54"/>
        <v>248.43</v>
      </c>
      <c r="AD184" s="25">
        <v>0</v>
      </c>
    </row>
    <row r="185" spans="1:30" x14ac:dyDescent="0.25">
      <c r="A185" s="30" t="s">
        <v>345</v>
      </c>
      <c r="B185" s="30" t="s">
        <v>831</v>
      </c>
      <c r="C185" s="27">
        <v>235.87</v>
      </c>
      <c r="D185" s="28" t="str">
        <f t="shared" si="40"/>
        <v>Yes</v>
      </c>
      <c r="E185" s="28" t="s">
        <v>653</v>
      </c>
      <c r="F185" s="11">
        <v>0</v>
      </c>
      <c r="G185" s="11">
        <v>0</v>
      </c>
      <c r="H185" s="37">
        <f t="shared" si="41"/>
        <v>235.87</v>
      </c>
      <c r="I185" s="37">
        <f t="shared" si="42"/>
        <v>239.02505140246964</v>
      </c>
      <c r="J185" s="37">
        <f t="shared" si="43"/>
        <v>243.14532336065378</v>
      </c>
      <c r="K185" s="37">
        <f t="shared" si="44"/>
        <v>247.33661984496931</v>
      </c>
      <c r="L185" s="37">
        <f t="shared" si="45"/>
        <v>251.60016516375401</v>
      </c>
      <c r="M185" s="25">
        <f t="shared" si="46"/>
        <v>0</v>
      </c>
      <c r="N185" s="25">
        <f t="shared" si="46"/>
        <v>0</v>
      </c>
      <c r="O185" s="25">
        <f t="shared" si="46"/>
        <v>0</v>
      </c>
      <c r="P185" s="25">
        <f t="shared" si="47"/>
        <v>0</v>
      </c>
      <c r="Q185" s="25">
        <f t="shared" si="47"/>
        <v>0</v>
      </c>
      <c r="R185" s="38">
        <v>268.20999999999998</v>
      </c>
      <c r="S185" s="37">
        <f t="shared" si="48"/>
        <v>235.87</v>
      </c>
      <c r="T185" s="37">
        <f t="shared" si="49"/>
        <v>239.03</v>
      </c>
      <c r="U185" s="37">
        <f t="shared" si="50"/>
        <v>243.15</v>
      </c>
      <c r="V185" s="37">
        <f t="shared" si="51"/>
        <v>247.34</v>
      </c>
      <c r="W185" s="37">
        <f t="shared" si="52"/>
        <v>251.6</v>
      </c>
      <c r="X185" s="25"/>
      <c r="Y185" s="38">
        <v>268.20999999999998</v>
      </c>
      <c r="Z185" s="25">
        <f t="shared" si="53"/>
        <v>268.20999999999998</v>
      </c>
      <c r="AA185" s="25">
        <f t="shared" si="53"/>
        <v>239.03</v>
      </c>
      <c r="AC185" s="25">
        <f t="shared" si="54"/>
        <v>268.20999999999998</v>
      </c>
      <c r="AD185" s="25">
        <v>0</v>
      </c>
    </row>
    <row r="186" spans="1:30" x14ac:dyDescent="0.25">
      <c r="A186" s="30" t="s">
        <v>347</v>
      </c>
      <c r="B186" s="30" t="s">
        <v>832</v>
      </c>
      <c r="C186" s="27">
        <v>3117.07</v>
      </c>
      <c r="D186" s="28" t="str">
        <f t="shared" si="40"/>
        <v>Yes</v>
      </c>
      <c r="E186" s="28" t="s">
        <v>653</v>
      </c>
      <c r="F186" s="11">
        <v>0</v>
      </c>
      <c r="G186" s="11">
        <v>0</v>
      </c>
      <c r="H186" s="37">
        <f t="shared" si="41"/>
        <v>3117.07</v>
      </c>
      <c r="I186" s="37">
        <f t="shared" si="42"/>
        <v>3158.7646456738717</v>
      </c>
      <c r="J186" s="37">
        <f t="shared" si="43"/>
        <v>3213.2148772111464</v>
      </c>
      <c r="K186" s="37">
        <f t="shared" si="44"/>
        <v>3268.60371229982</v>
      </c>
      <c r="L186" s="37">
        <f t="shared" si="45"/>
        <v>3324.9473304234652</v>
      </c>
      <c r="M186" s="25">
        <f t="shared" si="46"/>
        <v>0</v>
      </c>
      <c r="N186" s="25">
        <f t="shared" si="46"/>
        <v>0</v>
      </c>
      <c r="O186" s="25">
        <f t="shared" si="46"/>
        <v>0</v>
      </c>
      <c r="P186" s="25">
        <f t="shared" si="47"/>
        <v>0</v>
      </c>
      <c r="Q186" s="25">
        <f t="shared" si="47"/>
        <v>0</v>
      </c>
      <c r="R186" s="38">
        <v>3363.88</v>
      </c>
      <c r="S186" s="37">
        <f t="shared" si="48"/>
        <v>3117.07</v>
      </c>
      <c r="T186" s="37">
        <f t="shared" si="49"/>
        <v>3158.76</v>
      </c>
      <c r="U186" s="37">
        <f t="shared" si="50"/>
        <v>3213.21</v>
      </c>
      <c r="V186" s="37">
        <f t="shared" si="51"/>
        <v>3268.6</v>
      </c>
      <c r="W186" s="37">
        <f t="shared" si="52"/>
        <v>3324.95</v>
      </c>
      <c r="X186" s="25"/>
      <c r="Y186" s="38">
        <v>3363.88</v>
      </c>
      <c r="Z186" s="25">
        <f t="shared" si="53"/>
        <v>3363.88</v>
      </c>
      <c r="AA186" s="25">
        <f t="shared" si="53"/>
        <v>3158.76</v>
      </c>
      <c r="AC186" s="25">
        <f t="shared" si="54"/>
        <v>3363.88</v>
      </c>
      <c r="AD186" s="25">
        <v>0</v>
      </c>
    </row>
    <row r="187" spans="1:30" x14ac:dyDescent="0.25">
      <c r="A187" s="30" t="s">
        <v>349</v>
      </c>
      <c r="B187" s="30" t="s">
        <v>833</v>
      </c>
      <c r="C187" s="27">
        <v>22440.73</v>
      </c>
      <c r="D187" s="28" t="str">
        <f t="shared" si="40"/>
        <v>Yes</v>
      </c>
      <c r="E187" s="28" t="s">
        <v>655</v>
      </c>
      <c r="F187" s="11">
        <v>0</v>
      </c>
      <c r="G187" s="11">
        <v>0</v>
      </c>
      <c r="H187" s="37">
        <f t="shared" si="41"/>
        <v>22440.73</v>
      </c>
      <c r="I187" s="37">
        <f t="shared" si="42"/>
        <v>22740.902368927556</v>
      </c>
      <c r="J187" s="37">
        <f t="shared" si="43"/>
        <v>23132.906059690184</v>
      </c>
      <c r="K187" s="37">
        <f t="shared" si="44"/>
        <v>23531.667041393979</v>
      </c>
      <c r="L187" s="37">
        <f t="shared" si="45"/>
        <v>23937.301795036288</v>
      </c>
      <c r="M187" s="25">
        <f t="shared" si="46"/>
        <v>0</v>
      </c>
      <c r="N187" s="25">
        <f t="shared" si="46"/>
        <v>0</v>
      </c>
      <c r="O187" s="25">
        <f t="shared" si="46"/>
        <v>0</v>
      </c>
      <c r="P187" s="25">
        <f t="shared" si="47"/>
        <v>0</v>
      </c>
      <c r="Q187" s="25">
        <f t="shared" si="47"/>
        <v>0</v>
      </c>
      <c r="R187" s="43">
        <v>23295.9</v>
      </c>
      <c r="S187" s="37">
        <f t="shared" si="48"/>
        <v>22440.73</v>
      </c>
      <c r="T187" s="37">
        <f t="shared" si="49"/>
        <v>22740.9</v>
      </c>
      <c r="U187" s="37">
        <f t="shared" si="50"/>
        <v>23132.91</v>
      </c>
      <c r="V187" s="37">
        <f t="shared" si="51"/>
        <v>23531.67</v>
      </c>
      <c r="W187" s="37">
        <f t="shared" si="52"/>
        <v>23937.3</v>
      </c>
      <c r="X187" s="25"/>
      <c r="Y187" s="38">
        <v>23839.08</v>
      </c>
      <c r="Z187" s="25">
        <f t="shared" si="53"/>
        <v>23295.9</v>
      </c>
      <c r="AA187" s="25">
        <f t="shared" si="53"/>
        <v>22740.9</v>
      </c>
      <c r="AC187" s="25">
        <f t="shared" si="54"/>
        <v>23295.9</v>
      </c>
      <c r="AD187" s="25">
        <v>0</v>
      </c>
    </row>
    <row r="188" spans="1:30" x14ac:dyDescent="0.25">
      <c r="A188" s="30" t="s">
        <v>351</v>
      </c>
      <c r="B188" s="30" t="s">
        <v>834</v>
      </c>
      <c r="C188" s="27">
        <v>27102.62</v>
      </c>
      <c r="D188" s="28" t="str">
        <f t="shared" si="40"/>
        <v>Yes</v>
      </c>
      <c r="E188" s="28" t="s">
        <v>653</v>
      </c>
      <c r="F188" s="11">
        <v>0</v>
      </c>
      <c r="G188" s="11">
        <v>0</v>
      </c>
      <c r="H188" s="37">
        <f t="shared" si="41"/>
        <v>27102.62</v>
      </c>
      <c r="I188" s="37">
        <f t="shared" si="42"/>
        <v>27465.150882442031</v>
      </c>
      <c r="J188" s="37">
        <f t="shared" si="43"/>
        <v>27938.590341378396</v>
      </c>
      <c r="K188" s="37">
        <f t="shared" si="44"/>
        <v>28420.19086675992</v>
      </c>
      <c r="L188" s="37">
        <f t="shared" si="45"/>
        <v>28910.093137620144</v>
      </c>
      <c r="M188" s="25">
        <f t="shared" si="46"/>
        <v>0</v>
      </c>
      <c r="N188" s="25">
        <f t="shared" si="46"/>
        <v>0</v>
      </c>
      <c r="O188" s="25">
        <f t="shared" si="46"/>
        <v>0</v>
      </c>
      <c r="P188" s="25">
        <f t="shared" si="47"/>
        <v>0</v>
      </c>
      <c r="Q188" s="25">
        <f t="shared" si="47"/>
        <v>0</v>
      </c>
      <c r="R188" s="38">
        <v>28374.03</v>
      </c>
      <c r="S188" s="37">
        <f t="shared" si="48"/>
        <v>27102.62</v>
      </c>
      <c r="T188" s="37">
        <f t="shared" si="49"/>
        <v>27465.15</v>
      </c>
      <c r="U188" s="37">
        <f t="shared" si="50"/>
        <v>27938.59</v>
      </c>
      <c r="V188" s="37">
        <f t="shared" si="51"/>
        <v>28420.19</v>
      </c>
      <c r="W188" s="37">
        <f t="shared" si="52"/>
        <v>28910.09</v>
      </c>
      <c r="X188" s="25"/>
      <c r="Y188" s="38">
        <v>28374.03</v>
      </c>
      <c r="Z188" s="25">
        <f t="shared" si="53"/>
        <v>28374.03</v>
      </c>
      <c r="AA188" s="25">
        <f t="shared" si="53"/>
        <v>27465.15</v>
      </c>
      <c r="AC188" s="25">
        <f t="shared" si="54"/>
        <v>28374.03</v>
      </c>
      <c r="AD188" s="25">
        <v>0</v>
      </c>
    </row>
    <row r="189" spans="1:30" x14ac:dyDescent="0.25">
      <c r="A189" s="30" t="s">
        <v>353</v>
      </c>
      <c r="B189" s="30" t="s">
        <v>835</v>
      </c>
      <c r="C189" s="27">
        <v>177.01</v>
      </c>
      <c r="D189" s="28" t="str">
        <f t="shared" si="40"/>
        <v>Yes</v>
      </c>
      <c r="E189" s="28" t="s">
        <v>653</v>
      </c>
      <c r="F189" s="11">
        <v>0</v>
      </c>
      <c r="G189" s="11">
        <v>44</v>
      </c>
      <c r="H189" s="37">
        <f t="shared" si="41"/>
        <v>177.01</v>
      </c>
      <c r="I189" s="37">
        <f t="shared" si="42"/>
        <v>179.37772649659198</v>
      </c>
      <c r="J189" s="37">
        <f t="shared" si="43"/>
        <v>182.46980831843524</v>
      </c>
      <c r="K189" s="37">
        <f t="shared" si="44"/>
        <v>185.61519090498163</v>
      </c>
      <c r="L189" s="37">
        <f t="shared" si="45"/>
        <v>188.81479304547463</v>
      </c>
      <c r="M189" s="25">
        <f t="shared" si="46"/>
        <v>44</v>
      </c>
      <c r="N189" s="25">
        <f t="shared" si="46"/>
        <v>44</v>
      </c>
      <c r="O189" s="25">
        <f t="shared" si="46"/>
        <v>44</v>
      </c>
      <c r="P189" s="25">
        <f t="shared" si="47"/>
        <v>44</v>
      </c>
      <c r="Q189" s="25">
        <f t="shared" si="47"/>
        <v>44</v>
      </c>
      <c r="R189" s="38">
        <v>230.91</v>
      </c>
      <c r="S189" s="37">
        <f t="shared" si="48"/>
        <v>221.01</v>
      </c>
      <c r="T189" s="37">
        <f t="shared" si="49"/>
        <v>223.38</v>
      </c>
      <c r="U189" s="37">
        <f t="shared" si="50"/>
        <v>226.47</v>
      </c>
      <c r="V189" s="37">
        <f t="shared" si="51"/>
        <v>229.62</v>
      </c>
      <c r="W189" s="37">
        <f t="shared" si="52"/>
        <v>232.81</v>
      </c>
      <c r="X189" s="25"/>
      <c r="Y189" s="38">
        <v>230.91</v>
      </c>
      <c r="Z189" s="25">
        <f t="shared" si="53"/>
        <v>230.91</v>
      </c>
      <c r="AA189" s="25">
        <f t="shared" si="53"/>
        <v>223.38</v>
      </c>
      <c r="AC189" s="25">
        <f t="shared" si="54"/>
        <v>181.38</v>
      </c>
      <c r="AD189" s="25">
        <v>49.53</v>
      </c>
    </row>
    <row r="190" spans="1:30" x14ac:dyDescent="0.25">
      <c r="A190" s="30" t="s">
        <v>355</v>
      </c>
      <c r="B190" s="30" t="s">
        <v>836</v>
      </c>
      <c r="C190" s="27">
        <v>5534.68</v>
      </c>
      <c r="D190" s="28" t="str">
        <f t="shared" si="40"/>
        <v>Yes</v>
      </c>
      <c r="E190" s="28" t="s">
        <v>655</v>
      </c>
      <c r="F190" s="11">
        <v>0</v>
      </c>
      <c r="G190" s="11">
        <v>0</v>
      </c>
      <c r="H190" s="37">
        <f t="shared" si="41"/>
        <v>5534.68</v>
      </c>
      <c r="I190" s="37">
        <f t="shared" si="42"/>
        <v>5608.7131534159525</v>
      </c>
      <c r="J190" s="37">
        <f t="shared" si="43"/>
        <v>5705.3951680915052</v>
      </c>
      <c r="K190" s="37">
        <f t="shared" si="44"/>
        <v>5803.7437703970618</v>
      </c>
      <c r="L190" s="37">
        <f t="shared" si="45"/>
        <v>5903.7876886781969</v>
      </c>
      <c r="M190" s="25">
        <f t="shared" si="46"/>
        <v>0</v>
      </c>
      <c r="N190" s="25">
        <f t="shared" si="46"/>
        <v>0</v>
      </c>
      <c r="O190" s="25">
        <f t="shared" si="46"/>
        <v>0</v>
      </c>
      <c r="P190" s="25">
        <f t="shared" si="47"/>
        <v>0</v>
      </c>
      <c r="Q190" s="25">
        <f t="shared" si="47"/>
        <v>0</v>
      </c>
      <c r="R190" s="38">
        <v>5612.52</v>
      </c>
      <c r="S190" s="37">
        <f t="shared" si="48"/>
        <v>5534.68</v>
      </c>
      <c r="T190" s="37">
        <f t="shared" si="49"/>
        <v>5608.71</v>
      </c>
      <c r="U190" s="37">
        <f t="shared" si="50"/>
        <v>5705.4</v>
      </c>
      <c r="V190" s="37">
        <f t="shared" si="51"/>
        <v>5803.74</v>
      </c>
      <c r="W190" s="37">
        <f t="shared" si="52"/>
        <v>5903.79</v>
      </c>
      <c r="X190" s="25"/>
      <c r="Y190" s="38">
        <v>5612.52</v>
      </c>
      <c r="Z190" s="25">
        <f t="shared" si="53"/>
        <v>5612.52</v>
      </c>
      <c r="AA190" s="25">
        <f t="shared" si="53"/>
        <v>5608.71</v>
      </c>
      <c r="AC190" s="25">
        <f t="shared" si="54"/>
        <v>5612.52</v>
      </c>
      <c r="AD190" s="25">
        <v>0</v>
      </c>
    </row>
    <row r="191" spans="1:30" x14ac:dyDescent="0.25">
      <c r="A191" s="30" t="s">
        <v>357</v>
      </c>
      <c r="B191" s="30" t="s">
        <v>837</v>
      </c>
      <c r="C191" s="27">
        <v>9877.35</v>
      </c>
      <c r="D191" s="28" t="str">
        <f t="shared" si="40"/>
        <v>Yes</v>
      </c>
      <c r="E191" s="28" t="s">
        <v>653</v>
      </c>
      <c r="F191" s="11">
        <v>340.3</v>
      </c>
      <c r="G191" s="11">
        <v>0</v>
      </c>
      <c r="H191" s="37">
        <f t="shared" si="41"/>
        <v>9877.35</v>
      </c>
      <c r="I191" s="37">
        <f t="shared" si="42"/>
        <v>10009.471706746019</v>
      </c>
      <c r="J191" s="37">
        <f t="shared" si="43"/>
        <v>10182.01322633804</v>
      </c>
      <c r="K191" s="37">
        <f t="shared" si="44"/>
        <v>10357.528986415007</v>
      </c>
      <c r="L191" s="37">
        <f t="shared" si="45"/>
        <v>10536.070256413303</v>
      </c>
      <c r="M191" s="25">
        <f t="shared" si="46"/>
        <v>-340.3</v>
      </c>
      <c r="N191" s="25">
        <f t="shared" si="46"/>
        <v>-340.3</v>
      </c>
      <c r="O191" s="25">
        <f t="shared" si="46"/>
        <v>-340.3</v>
      </c>
      <c r="P191" s="25">
        <f t="shared" si="47"/>
        <v>-340.3</v>
      </c>
      <c r="Q191" s="25">
        <f t="shared" si="47"/>
        <v>-340.3</v>
      </c>
      <c r="R191" s="38">
        <v>9573.2099999999991</v>
      </c>
      <c r="S191" s="37">
        <f t="shared" si="48"/>
        <v>9537.0499999999993</v>
      </c>
      <c r="T191" s="37">
        <f t="shared" si="49"/>
        <v>9669.17</v>
      </c>
      <c r="U191" s="37">
        <f t="shared" si="50"/>
        <v>9841.7099999999991</v>
      </c>
      <c r="V191" s="37">
        <f t="shared" si="51"/>
        <v>10017.23</v>
      </c>
      <c r="W191" s="37">
        <f t="shared" si="52"/>
        <v>10195.77</v>
      </c>
      <c r="X191" s="25"/>
      <c r="Y191" s="38">
        <v>9573.2099999999991</v>
      </c>
      <c r="Z191" s="25">
        <f t="shared" si="53"/>
        <v>9573.2099999999991</v>
      </c>
      <c r="AA191" s="25">
        <f t="shared" si="53"/>
        <v>9669.17</v>
      </c>
      <c r="AC191" s="25">
        <f t="shared" si="54"/>
        <v>9916.6099999999988</v>
      </c>
      <c r="AD191" s="25">
        <v>-343.4</v>
      </c>
    </row>
    <row r="192" spans="1:30" x14ac:dyDescent="0.25">
      <c r="A192" s="30" t="s">
        <v>359</v>
      </c>
      <c r="B192" s="30" t="s">
        <v>838</v>
      </c>
      <c r="C192" s="27">
        <v>1370.25</v>
      </c>
      <c r="D192" s="28" t="str">
        <f t="shared" si="40"/>
        <v>Yes</v>
      </c>
      <c r="E192" s="28" t="s">
        <v>653</v>
      </c>
      <c r="F192" s="11">
        <v>0</v>
      </c>
      <c r="G192" s="11">
        <v>579.14</v>
      </c>
      <c r="H192" s="37">
        <f t="shared" si="41"/>
        <v>1370.25</v>
      </c>
      <c r="I192" s="37">
        <f t="shared" si="42"/>
        <v>1388.5787793455463</v>
      </c>
      <c r="J192" s="37">
        <f t="shared" si="43"/>
        <v>1412.5148570608208</v>
      </c>
      <c r="K192" s="37">
        <f t="shared" si="44"/>
        <v>1436.8635406900801</v>
      </c>
      <c r="L192" s="37">
        <f t="shared" si="45"/>
        <v>1461.6319426617795</v>
      </c>
      <c r="M192" s="25">
        <f t="shared" si="46"/>
        <v>579.14</v>
      </c>
      <c r="N192" s="25">
        <f t="shared" si="46"/>
        <v>579.14</v>
      </c>
      <c r="O192" s="25">
        <f t="shared" si="46"/>
        <v>579.14</v>
      </c>
      <c r="P192" s="25">
        <f t="shared" si="47"/>
        <v>579.14</v>
      </c>
      <c r="Q192" s="25">
        <f t="shared" si="47"/>
        <v>579.14</v>
      </c>
      <c r="R192" s="38">
        <v>2063.88</v>
      </c>
      <c r="S192" s="37">
        <f t="shared" si="48"/>
        <v>1949.39</v>
      </c>
      <c r="T192" s="37">
        <f t="shared" si="49"/>
        <v>1967.72</v>
      </c>
      <c r="U192" s="37">
        <f t="shared" si="50"/>
        <v>1991.65</v>
      </c>
      <c r="V192" s="37">
        <f t="shared" si="51"/>
        <v>2016</v>
      </c>
      <c r="W192" s="37">
        <f t="shared" si="52"/>
        <v>2040.77</v>
      </c>
      <c r="X192" s="25"/>
      <c r="Y192" s="38">
        <v>2063.88</v>
      </c>
      <c r="Z192" s="25">
        <f t="shared" si="53"/>
        <v>2063.88</v>
      </c>
      <c r="AA192" s="25">
        <f t="shared" si="53"/>
        <v>1967.72</v>
      </c>
      <c r="AC192" s="25">
        <f t="shared" si="54"/>
        <v>1523.71</v>
      </c>
      <c r="AD192" s="25">
        <v>540.16999999999996</v>
      </c>
    </row>
    <row r="193" spans="1:30" x14ac:dyDescent="0.25">
      <c r="A193" s="30" t="s">
        <v>361</v>
      </c>
      <c r="B193" s="30" t="s">
        <v>839</v>
      </c>
      <c r="C193" s="27">
        <v>2587.5</v>
      </c>
      <c r="D193" s="28" t="str">
        <f t="shared" si="40"/>
        <v>Yes</v>
      </c>
      <c r="E193" s="28" t="s">
        <v>653</v>
      </c>
      <c r="F193" s="11">
        <v>0</v>
      </c>
      <c r="G193" s="11">
        <v>0</v>
      </c>
      <c r="H193" s="37">
        <f t="shared" si="41"/>
        <v>2587.5</v>
      </c>
      <c r="I193" s="37">
        <f t="shared" si="42"/>
        <v>2622.1109954800959</v>
      </c>
      <c r="J193" s="37">
        <f t="shared" si="43"/>
        <v>2667.3104854186272</v>
      </c>
      <c r="K193" s="37">
        <f t="shared" si="44"/>
        <v>2713.2891162456353</v>
      </c>
      <c r="L193" s="37">
        <f t="shared" si="45"/>
        <v>2760.0603186552485</v>
      </c>
      <c r="M193" s="25">
        <f t="shared" si="46"/>
        <v>0</v>
      </c>
      <c r="N193" s="25">
        <f t="shared" si="46"/>
        <v>0</v>
      </c>
      <c r="O193" s="25">
        <f t="shared" si="46"/>
        <v>0</v>
      </c>
      <c r="P193" s="25">
        <f t="shared" si="47"/>
        <v>0</v>
      </c>
      <c r="Q193" s="25">
        <f t="shared" si="47"/>
        <v>0</v>
      </c>
      <c r="R193" s="38">
        <v>2691.21</v>
      </c>
      <c r="S193" s="37">
        <f t="shared" si="48"/>
        <v>2587.5</v>
      </c>
      <c r="T193" s="37">
        <f t="shared" si="49"/>
        <v>2622.11</v>
      </c>
      <c r="U193" s="37">
        <f t="shared" si="50"/>
        <v>2667.31</v>
      </c>
      <c r="V193" s="37">
        <f t="shared" si="51"/>
        <v>2713.29</v>
      </c>
      <c r="W193" s="37">
        <f t="shared" si="52"/>
        <v>2760.06</v>
      </c>
      <c r="X193" s="25"/>
      <c r="Y193" s="38">
        <v>2691.21</v>
      </c>
      <c r="Z193" s="25">
        <f t="shared" si="53"/>
        <v>2691.21</v>
      </c>
      <c r="AA193" s="25">
        <f t="shared" si="53"/>
        <v>2622.11</v>
      </c>
      <c r="AC193" s="25">
        <f t="shared" si="54"/>
        <v>2691.21</v>
      </c>
      <c r="AD193" s="25">
        <v>0</v>
      </c>
    </row>
    <row r="194" spans="1:30" x14ac:dyDescent="0.25">
      <c r="A194" s="30" t="s">
        <v>363</v>
      </c>
      <c r="B194" s="30" t="s">
        <v>840</v>
      </c>
      <c r="C194" s="27">
        <v>11925.18</v>
      </c>
      <c r="D194" s="28" t="str">
        <f t="shared" si="40"/>
        <v>Yes</v>
      </c>
      <c r="E194" s="28" t="s">
        <v>653</v>
      </c>
      <c r="F194" s="11">
        <v>0</v>
      </c>
      <c r="G194" s="11">
        <v>0</v>
      </c>
      <c r="H194" s="37">
        <f t="shared" si="41"/>
        <v>11925.18</v>
      </c>
      <c r="I194" s="37">
        <f t="shared" si="42"/>
        <v>12084.693952107953</v>
      </c>
      <c r="J194" s="37">
        <f t="shared" si="43"/>
        <v>12293.007789180485</v>
      </c>
      <c r="K194" s="37">
        <f t="shared" si="44"/>
        <v>12504.912503679278</v>
      </c>
      <c r="L194" s="37">
        <f t="shared" si="45"/>
        <v>12720.46999452027</v>
      </c>
      <c r="M194" s="25">
        <f t="shared" si="46"/>
        <v>0</v>
      </c>
      <c r="N194" s="25">
        <f t="shared" si="46"/>
        <v>0</v>
      </c>
      <c r="O194" s="25">
        <f t="shared" si="46"/>
        <v>0</v>
      </c>
      <c r="P194" s="25">
        <f t="shared" si="47"/>
        <v>0</v>
      </c>
      <c r="Q194" s="25">
        <f t="shared" si="47"/>
        <v>0</v>
      </c>
      <c r="R194" s="38">
        <v>12557.18</v>
      </c>
      <c r="S194" s="37">
        <f t="shared" si="48"/>
        <v>11925.18</v>
      </c>
      <c r="T194" s="37">
        <f t="shared" si="49"/>
        <v>12084.69</v>
      </c>
      <c r="U194" s="37">
        <f t="shared" si="50"/>
        <v>12293.01</v>
      </c>
      <c r="V194" s="37">
        <f t="shared" si="51"/>
        <v>12504.91</v>
      </c>
      <c r="W194" s="37">
        <f t="shared" si="52"/>
        <v>12720.47</v>
      </c>
      <c r="X194" s="25"/>
      <c r="Y194" s="38">
        <v>12557.18</v>
      </c>
      <c r="Z194" s="25">
        <f t="shared" si="53"/>
        <v>12557.18</v>
      </c>
      <c r="AA194" s="25">
        <f t="shared" si="53"/>
        <v>12084.69</v>
      </c>
      <c r="AC194" s="25">
        <f t="shared" si="54"/>
        <v>12557.18</v>
      </c>
      <c r="AD194" s="25">
        <v>0</v>
      </c>
    </row>
    <row r="195" spans="1:30" x14ac:dyDescent="0.25">
      <c r="A195" s="30" t="s">
        <v>365</v>
      </c>
      <c r="B195" s="30" t="s">
        <v>841</v>
      </c>
      <c r="C195" s="27">
        <v>8579.8700000000008</v>
      </c>
      <c r="D195" s="28" t="str">
        <f t="shared" si="40"/>
        <v>Yes</v>
      </c>
      <c r="E195" s="28" t="s">
        <v>653</v>
      </c>
      <c r="F195" s="11">
        <v>0</v>
      </c>
      <c r="G195" s="11">
        <v>0</v>
      </c>
      <c r="H195" s="37">
        <f t="shared" si="41"/>
        <v>8579.8700000000008</v>
      </c>
      <c r="I195" s="37">
        <f t="shared" si="42"/>
        <v>8694.6363156675598</v>
      </c>
      <c r="J195" s="37">
        <f t="shared" si="43"/>
        <v>8844.5129331511962</v>
      </c>
      <c r="K195" s="37">
        <f t="shared" si="44"/>
        <v>8996.9730975081911</v>
      </c>
      <c r="L195" s="37">
        <f t="shared" si="45"/>
        <v>9152.0613434669031</v>
      </c>
      <c r="M195" s="25">
        <f t="shared" si="46"/>
        <v>0</v>
      </c>
      <c r="N195" s="25">
        <f t="shared" si="46"/>
        <v>0</v>
      </c>
      <c r="O195" s="25">
        <f t="shared" si="46"/>
        <v>0</v>
      </c>
      <c r="P195" s="25">
        <f t="shared" si="47"/>
        <v>0</v>
      </c>
      <c r="Q195" s="25">
        <f t="shared" si="47"/>
        <v>0</v>
      </c>
      <c r="R195" s="38">
        <v>9239.0499999999993</v>
      </c>
      <c r="S195" s="37">
        <f t="shared" si="48"/>
        <v>8579.8700000000008</v>
      </c>
      <c r="T195" s="37">
        <f t="shared" si="49"/>
        <v>8694.64</v>
      </c>
      <c r="U195" s="37">
        <f t="shared" si="50"/>
        <v>8844.51</v>
      </c>
      <c r="V195" s="37">
        <f t="shared" si="51"/>
        <v>8996.9699999999993</v>
      </c>
      <c r="W195" s="37">
        <f t="shared" si="52"/>
        <v>9152.06</v>
      </c>
      <c r="X195" s="25"/>
      <c r="Y195" s="38">
        <v>9239.0499999999993</v>
      </c>
      <c r="Z195" s="25">
        <f t="shared" si="53"/>
        <v>9239.0499999999993</v>
      </c>
      <c r="AA195" s="25">
        <f t="shared" si="53"/>
        <v>8694.64</v>
      </c>
      <c r="AC195" s="25">
        <f t="shared" si="54"/>
        <v>9239.0499999999993</v>
      </c>
      <c r="AD195" s="25">
        <v>0</v>
      </c>
    </row>
    <row r="196" spans="1:30" x14ac:dyDescent="0.25">
      <c r="A196" s="30" t="s">
        <v>367</v>
      </c>
      <c r="B196" s="30" t="s">
        <v>842</v>
      </c>
      <c r="C196" s="27">
        <v>7248.28</v>
      </c>
      <c r="D196" s="28" t="str">
        <f t="shared" si="40"/>
        <v>Yes</v>
      </c>
      <c r="E196" s="28" t="s">
        <v>653</v>
      </c>
      <c r="F196" s="11">
        <v>0</v>
      </c>
      <c r="G196" s="11">
        <v>0</v>
      </c>
      <c r="H196" s="37">
        <f t="shared" si="41"/>
        <v>7248.28</v>
      </c>
      <c r="I196" s="37">
        <f t="shared" si="42"/>
        <v>7345.2346613791178</v>
      </c>
      <c r="J196" s="37">
        <f t="shared" si="43"/>
        <v>7471.8505295652658</v>
      </c>
      <c r="K196" s="37">
        <f t="shared" si="44"/>
        <v>7600.6489799037345</v>
      </c>
      <c r="L196" s="37">
        <f t="shared" si="45"/>
        <v>7731.6676353632711</v>
      </c>
      <c r="M196" s="25">
        <f t="shared" si="46"/>
        <v>0</v>
      </c>
      <c r="N196" s="25">
        <f t="shared" si="46"/>
        <v>0</v>
      </c>
      <c r="O196" s="25">
        <f t="shared" si="46"/>
        <v>0</v>
      </c>
      <c r="P196" s="25">
        <f t="shared" si="47"/>
        <v>0</v>
      </c>
      <c r="Q196" s="25">
        <f t="shared" si="47"/>
        <v>0</v>
      </c>
      <c r="R196" s="38">
        <v>7729.27</v>
      </c>
      <c r="S196" s="37">
        <f t="shared" si="48"/>
        <v>7248.28</v>
      </c>
      <c r="T196" s="37">
        <f t="shared" si="49"/>
        <v>7345.23</v>
      </c>
      <c r="U196" s="37">
        <f t="shared" si="50"/>
        <v>7471.85</v>
      </c>
      <c r="V196" s="37">
        <f t="shared" si="51"/>
        <v>7600.65</v>
      </c>
      <c r="W196" s="37">
        <f t="shared" si="52"/>
        <v>7731.67</v>
      </c>
      <c r="X196" s="25"/>
      <c r="Y196" s="38">
        <v>7729.27</v>
      </c>
      <c r="Z196" s="25">
        <f t="shared" si="53"/>
        <v>7729.27</v>
      </c>
      <c r="AA196" s="25">
        <f t="shared" si="53"/>
        <v>7345.23</v>
      </c>
      <c r="AC196" s="25">
        <f t="shared" si="54"/>
        <v>7729.27</v>
      </c>
      <c r="AD196" s="25">
        <v>0</v>
      </c>
    </row>
    <row r="197" spans="1:30" x14ac:dyDescent="0.25">
      <c r="A197" s="30" t="s">
        <v>369</v>
      </c>
      <c r="B197" s="30" t="s">
        <v>843</v>
      </c>
      <c r="C197" s="27">
        <v>20164.18</v>
      </c>
      <c r="D197" s="28" t="str">
        <f t="shared" si="40"/>
        <v>Yes</v>
      </c>
      <c r="E197" s="28" t="s">
        <v>653</v>
      </c>
      <c r="F197" s="11">
        <v>0</v>
      </c>
      <c r="G197" s="11">
        <v>0</v>
      </c>
      <c r="H197" s="37">
        <f t="shared" si="41"/>
        <v>20164.18</v>
      </c>
      <c r="I197" s="37">
        <f t="shared" si="42"/>
        <v>20433.900712208633</v>
      </c>
      <c r="J197" s="37">
        <f t="shared" si="43"/>
        <v>20786.136712606214</v>
      </c>
      <c r="K197" s="37">
        <f t="shared" si="44"/>
        <v>21144.444495465865</v>
      </c>
      <c r="L197" s="37">
        <f t="shared" si="45"/>
        <v>21508.928725109872</v>
      </c>
      <c r="M197" s="25">
        <f t="shared" si="46"/>
        <v>0</v>
      </c>
      <c r="N197" s="25">
        <f t="shared" si="46"/>
        <v>0</v>
      </c>
      <c r="O197" s="25">
        <f t="shared" si="46"/>
        <v>0</v>
      </c>
      <c r="P197" s="25">
        <f t="shared" si="47"/>
        <v>0</v>
      </c>
      <c r="Q197" s="25">
        <f t="shared" si="47"/>
        <v>0</v>
      </c>
      <c r="R197" s="38">
        <v>20385.46</v>
      </c>
      <c r="S197" s="37">
        <f t="shared" si="48"/>
        <v>20164.18</v>
      </c>
      <c r="T197" s="37">
        <f t="shared" si="49"/>
        <v>20433.900000000001</v>
      </c>
      <c r="U197" s="37">
        <f t="shared" si="50"/>
        <v>20786.14</v>
      </c>
      <c r="V197" s="37">
        <f t="shared" si="51"/>
        <v>21144.44</v>
      </c>
      <c r="W197" s="37">
        <f t="shared" si="52"/>
        <v>21508.93</v>
      </c>
      <c r="X197" s="25"/>
      <c r="Y197" s="38">
        <v>20385.46</v>
      </c>
      <c r="Z197" s="25">
        <f t="shared" si="53"/>
        <v>20385.46</v>
      </c>
      <c r="AA197" s="25">
        <f t="shared" si="53"/>
        <v>20433.900000000001</v>
      </c>
      <c r="AC197" s="25">
        <f t="shared" si="54"/>
        <v>20385.46</v>
      </c>
      <c r="AD197" s="25">
        <v>0</v>
      </c>
    </row>
    <row r="198" spans="1:30" x14ac:dyDescent="0.25">
      <c r="A198" s="30" t="s">
        <v>371</v>
      </c>
      <c r="B198" s="30" t="s">
        <v>844</v>
      </c>
      <c r="C198" s="27">
        <v>1890.17</v>
      </c>
      <c r="D198" s="28" t="str">
        <f t="shared" si="40"/>
        <v>Yes</v>
      </c>
      <c r="E198" s="28" t="s">
        <v>653</v>
      </c>
      <c r="F198" s="11">
        <v>0</v>
      </c>
      <c r="G198" s="11">
        <v>0</v>
      </c>
      <c r="H198" s="37">
        <f t="shared" si="41"/>
        <v>1890.17</v>
      </c>
      <c r="I198" s="37">
        <f t="shared" si="42"/>
        <v>1915.4533489184978</v>
      </c>
      <c r="J198" s="37">
        <f t="shared" si="43"/>
        <v>1948.4715981540974</v>
      </c>
      <c r="K198" s="37">
        <f t="shared" si="44"/>
        <v>1982.059010185126</v>
      </c>
      <c r="L198" s="37">
        <f t="shared" si="45"/>
        <v>2016.225396140132</v>
      </c>
      <c r="M198" s="25">
        <f t="shared" si="46"/>
        <v>0</v>
      </c>
      <c r="N198" s="25">
        <f t="shared" si="46"/>
        <v>0</v>
      </c>
      <c r="O198" s="25">
        <f t="shared" si="46"/>
        <v>0</v>
      </c>
      <c r="P198" s="25">
        <f t="shared" si="47"/>
        <v>0</v>
      </c>
      <c r="Q198" s="25">
        <f t="shared" si="47"/>
        <v>0</v>
      </c>
      <c r="R198" s="38">
        <v>1944.35</v>
      </c>
      <c r="S198" s="37">
        <f t="shared" si="48"/>
        <v>1890.17</v>
      </c>
      <c r="T198" s="37">
        <f t="shared" si="49"/>
        <v>1915.45</v>
      </c>
      <c r="U198" s="37">
        <f t="shared" si="50"/>
        <v>1948.47</v>
      </c>
      <c r="V198" s="37">
        <f t="shared" si="51"/>
        <v>1982.06</v>
      </c>
      <c r="W198" s="37">
        <f t="shared" si="52"/>
        <v>2016.23</v>
      </c>
      <c r="X198" s="25"/>
      <c r="Y198" s="38">
        <v>1944.35</v>
      </c>
      <c r="Z198" s="25">
        <f t="shared" si="53"/>
        <v>1944.35</v>
      </c>
      <c r="AA198" s="25">
        <f t="shared" si="53"/>
        <v>1915.45</v>
      </c>
      <c r="AC198" s="25">
        <f t="shared" si="54"/>
        <v>1944.35</v>
      </c>
      <c r="AD198" s="25">
        <v>0</v>
      </c>
    </row>
    <row r="199" spans="1:30" x14ac:dyDescent="0.25">
      <c r="A199" s="32" t="s">
        <v>373</v>
      </c>
      <c r="B199" s="30" t="s">
        <v>845</v>
      </c>
      <c r="C199" s="27">
        <v>4126.6000000000004</v>
      </c>
      <c r="D199" s="28" t="str">
        <f t="shared" si="40"/>
        <v>Yes</v>
      </c>
      <c r="E199" s="28" t="s">
        <v>653</v>
      </c>
      <c r="F199" s="11">
        <v>58.9</v>
      </c>
      <c r="G199" s="11">
        <v>0</v>
      </c>
      <c r="H199" s="37">
        <f t="shared" si="41"/>
        <v>4126.6000000000004</v>
      </c>
      <c r="I199" s="37">
        <f t="shared" si="42"/>
        <v>4181.7983512843148</v>
      </c>
      <c r="J199" s="37">
        <f t="shared" si="43"/>
        <v>4253.8834586003895</v>
      </c>
      <c r="K199" s="37">
        <f t="shared" si="44"/>
        <v>4327.2111563668559</v>
      </c>
      <c r="L199" s="37">
        <f t="shared" si="45"/>
        <v>4401.8028641401925</v>
      </c>
      <c r="M199" s="25">
        <f t="shared" si="46"/>
        <v>-58.9</v>
      </c>
      <c r="N199" s="25">
        <f t="shared" si="46"/>
        <v>-58.9</v>
      </c>
      <c r="O199" s="25">
        <f t="shared" si="46"/>
        <v>-58.9</v>
      </c>
      <c r="P199" s="25">
        <f t="shared" si="47"/>
        <v>-58.9</v>
      </c>
      <c r="Q199" s="25">
        <f t="shared" si="47"/>
        <v>-58.9</v>
      </c>
      <c r="R199" s="38">
        <v>3905.23</v>
      </c>
      <c r="S199" s="37">
        <f t="shared" si="48"/>
        <v>4067.7</v>
      </c>
      <c r="T199" s="37">
        <f t="shared" si="49"/>
        <v>4122.8999999999996</v>
      </c>
      <c r="U199" s="37">
        <f t="shared" si="50"/>
        <v>4194.9799999999996</v>
      </c>
      <c r="V199" s="37">
        <f t="shared" si="51"/>
        <v>4268.3100000000004</v>
      </c>
      <c r="W199" s="37">
        <f t="shared" si="52"/>
        <v>4342.8999999999996</v>
      </c>
      <c r="X199" s="25"/>
      <c r="Y199" s="38">
        <v>3905.23</v>
      </c>
      <c r="Z199" s="25">
        <f t="shared" si="53"/>
        <v>4067.7</v>
      </c>
      <c r="AA199" s="25">
        <f t="shared" si="53"/>
        <v>4122.8999999999996</v>
      </c>
      <c r="AC199" s="25">
        <f t="shared" si="54"/>
        <v>3955.43</v>
      </c>
      <c r="AD199" s="25">
        <v>-50.2</v>
      </c>
    </row>
    <row r="200" spans="1:30" x14ac:dyDescent="0.25">
      <c r="A200" s="32" t="s">
        <v>375</v>
      </c>
      <c r="B200" s="30" t="s">
        <v>846</v>
      </c>
      <c r="C200" s="27">
        <v>3723.06</v>
      </c>
      <c r="D200" s="28" t="str">
        <f t="shared" si="40"/>
        <v>Yes</v>
      </c>
      <c r="E200" s="28" t="s">
        <v>653</v>
      </c>
      <c r="F200" s="11">
        <v>0</v>
      </c>
      <c r="G200" s="11">
        <v>0</v>
      </c>
      <c r="H200" s="37">
        <f t="shared" si="41"/>
        <v>3723.06</v>
      </c>
      <c r="I200" s="37">
        <f t="shared" si="42"/>
        <v>3772.8605073747344</v>
      </c>
      <c r="J200" s="37">
        <f t="shared" si="43"/>
        <v>3837.8964157846085</v>
      </c>
      <c r="K200" s="37">
        <f t="shared" si="44"/>
        <v>3904.0534017891696</v>
      </c>
      <c r="L200" s="37">
        <f t="shared" si="45"/>
        <v>3971.350790327579</v>
      </c>
      <c r="M200" s="25">
        <f t="shared" si="46"/>
        <v>0</v>
      </c>
      <c r="N200" s="25">
        <f t="shared" si="46"/>
        <v>0</v>
      </c>
      <c r="O200" s="25">
        <f t="shared" si="46"/>
        <v>0</v>
      </c>
      <c r="P200" s="25">
        <f t="shared" si="47"/>
        <v>0</v>
      </c>
      <c r="Q200" s="25">
        <f t="shared" si="47"/>
        <v>0</v>
      </c>
      <c r="R200" s="38">
        <v>3830.46</v>
      </c>
      <c r="S200" s="37">
        <f t="shared" si="48"/>
        <v>3723.06</v>
      </c>
      <c r="T200" s="37">
        <f t="shared" si="49"/>
        <v>3772.86</v>
      </c>
      <c r="U200" s="37">
        <f t="shared" si="50"/>
        <v>3837.9</v>
      </c>
      <c r="V200" s="37">
        <f t="shared" si="51"/>
        <v>3904.05</v>
      </c>
      <c r="W200" s="37">
        <f t="shared" si="52"/>
        <v>3971.35</v>
      </c>
      <c r="X200" s="25"/>
      <c r="Y200" s="38">
        <v>3830.46</v>
      </c>
      <c r="Z200" s="25">
        <f t="shared" si="53"/>
        <v>3830.46</v>
      </c>
      <c r="AA200" s="25">
        <f t="shared" si="53"/>
        <v>3772.86</v>
      </c>
      <c r="AC200" s="25">
        <f t="shared" si="54"/>
        <v>3830.46</v>
      </c>
      <c r="AD200" s="25">
        <v>0</v>
      </c>
    </row>
    <row r="201" spans="1:30" x14ac:dyDescent="0.25">
      <c r="A201" s="32" t="s">
        <v>961</v>
      </c>
      <c r="B201" s="30" t="s">
        <v>1002</v>
      </c>
      <c r="C201" s="27">
        <v>578.15</v>
      </c>
      <c r="D201" s="28" t="str">
        <f t="shared" ref="D201:D264" si="55">IF(C201&gt;100,"Yes","No")</f>
        <v>Yes</v>
      </c>
      <c r="E201" s="28" t="s">
        <v>653</v>
      </c>
      <c r="F201" s="11">
        <v>0</v>
      </c>
      <c r="G201" s="11">
        <v>0</v>
      </c>
      <c r="H201" s="37">
        <f t="shared" ref="H201:H264" si="56">(IF(D201="Yes",(C201*(1+SY202021Growth)),C201))</f>
        <v>578.15</v>
      </c>
      <c r="I201" s="37">
        <f t="shared" ref="I201:I264" si="57">(IF(D201="Yes",((C201*(1+SY202021Growth))*(1+SY202122Growth)),C201))</f>
        <v>585.8834674538424</v>
      </c>
      <c r="J201" s="37">
        <f t="shared" ref="J201:J264" si="58">(IF(D201="Yes",(((C201*(1+SY202021Growth))*(1+SY202122Growth))*(1+SY202223growth)),C201))</f>
        <v>595.98282401730592</v>
      </c>
      <c r="K201" s="37">
        <f t="shared" ref="K201:K264" si="59">(IF(D201="Yes",((((C201*(1+SY202021Growth))*(1+SY202122Growth))*(1+SY202223growth))*(1+SY202324growth)),C201))</f>
        <v>606.25627151977346</v>
      </c>
      <c r="L201" s="37">
        <f t="shared" ref="L201:L264" si="60">(IF($D201="Yes",((((($C201*(1+SY202021Growth))*(1+SY202122Growth))*(1+SY202223growth))*(1+SY202324growth))*(1+SY202425Growth)),$C201))</f>
        <v>616.70681091035033</v>
      </c>
      <c r="M201" s="25">
        <f t="shared" ref="M201:Q201" si="61">-$F201+$G201</f>
        <v>0</v>
      </c>
      <c r="N201" s="25">
        <f t="shared" si="61"/>
        <v>0</v>
      </c>
      <c r="O201" s="25">
        <f t="shared" si="61"/>
        <v>0</v>
      </c>
      <c r="P201" s="25">
        <f t="shared" si="61"/>
        <v>0</v>
      </c>
      <c r="Q201" s="25">
        <f t="shared" si="61"/>
        <v>0</v>
      </c>
      <c r="R201" s="43">
        <v>543.17999999999995</v>
      </c>
      <c r="S201" s="37">
        <f t="shared" si="48"/>
        <v>578.15</v>
      </c>
      <c r="T201" s="37">
        <f t="shared" si="49"/>
        <v>585.88</v>
      </c>
      <c r="U201" s="37">
        <f t="shared" si="50"/>
        <v>595.98</v>
      </c>
      <c r="V201" s="37">
        <f t="shared" si="51"/>
        <v>606.26</v>
      </c>
      <c r="W201" s="37">
        <f t="shared" si="52"/>
        <v>616.71</v>
      </c>
      <c r="X201" s="25"/>
      <c r="Y201" s="38">
        <v>0</v>
      </c>
      <c r="Z201" s="25">
        <f t="shared" si="53"/>
        <v>578.15</v>
      </c>
      <c r="AA201" s="25">
        <f t="shared" si="53"/>
        <v>585.88</v>
      </c>
      <c r="AC201" s="25">
        <f t="shared" si="54"/>
        <v>543.17999999999995</v>
      </c>
      <c r="AD201" s="25">
        <v>0</v>
      </c>
    </row>
    <row r="202" spans="1:30" x14ac:dyDescent="0.25">
      <c r="A202" s="30" t="s">
        <v>377</v>
      </c>
      <c r="B202" s="30" t="s">
        <v>847</v>
      </c>
      <c r="C202" s="27">
        <v>9.4</v>
      </c>
      <c r="D202" s="28" t="str">
        <f t="shared" si="55"/>
        <v>No</v>
      </c>
      <c r="E202" s="28" t="s">
        <v>653</v>
      </c>
      <c r="F202" s="11">
        <v>0</v>
      </c>
      <c r="G202" s="11">
        <v>3</v>
      </c>
      <c r="H202" s="37">
        <f t="shared" si="56"/>
        <v>9.4</v>
      </c>
      <c r="I202" s="37">
        <f t="shared" si="57"/>
        <v>9.4</v>
      </c>
      <c r="J202" s="37">
        <f t="shared" si="58"/>
        <v>9.4</v>
      </c>
      <c r="K202" s="37">
        <f t="shared" si="59"/>
        <v>9.4</v>
      </c>
      <c r="L202" s="37">
        <f t="shared" si="60"/>
        <v>9.4</v>
      </c>
      <c r="M202" s="25">
        <f t="shared" ref="M202:Q233" si="62">-$F202+$G202</f>
        <v>3</v>
      </c>
      <c r="N202" s="25">
        <f t="shared" si="62"/>
        <v>3</v>
      </c>
      <c r="O202" s="25">
        <f t="shared" si="62"/>
        <v>3</v>
      </c>
      <c r="P202" s="25">
        <f t="shared" si="62"/>
        <v>3</v>
      </c>
      <c r="Q202" s="25">
        <f t="shared" si="62"/>
        <v>3</v>
      </c>
      <c r="R202" s="38">
        <v>7</v>
      </c>
      <c r="S202" s="37">
        <f t="shared" ref="S202:S265" si="63">ROUND(SUM(H202,M202),2)</f>
        <v>12.4</v>
      </c>
      <c r="T202" s="37">
        <f t="shared" ref="T202:T265" si="64">ROUND(SUM(I202,N202),2)</f>
        <v>12.4</v>
      </c>
      <c r="U202" s="37">
        <f t="shared" ref="U202:U265" si="65">ROUND(SUM(J202,O202),2)</f>
        <v>12.4</v>
      </c>
      <c r="V202" s="37">
        <f t="shared" ref="V202:V265" si="66">ROUND(SUM(K202,P202),2)</f>
        <v>12.4</v>
      </c>
      <c r="W202" s="37">
        <f t="shared" ref="W202:W265" si="67">ROUND(SUM(L202,Q202),2)</f>
        <v>12.4</v>
      </c>
      <c r="X202" s="25"/>
      <c r="Y202" s="38">
        <v>7</v>
      </c>
      <c r="Z202" s="25">
        <f t="shared" ref="Z202:AA265" si="68">MAX(S202,R202)</f>
        <v>12.4</v>
      </c>
      <c r="AA202" s="25">
        <f t="shared" si="68"/>
        <v>12.4</v>
      </c>
      <c r="AC202" s="25">
        <f t="shared" ref="AC202:AC265" si="69">R202-AD202</f>
        <v>5</v>
      </c>
      <c r="AD202" s="25">
        <v>2</v>
      </c>
    </row>
    <row r="203" spans="1:30" x14ac:dyDescent="0.25">
      <c r="A203" s="30" t="s">
        <v>379</v>
      </c>
      <c r="B203" s="30" t="s">
        <v>848</v>
      </c>
      <c r="C203" s="27">
        <v>721.72</v>
      </c>
      <c r="D203" s="28" t="str">
        <f t="shared" si="55"/>
        <v>Yes</v>
      </c>
      <c r="E203" s="28" t="s">
        <v>653</v>
      </c>
      <c r="F203" s="11">
        <v>0</v>
      </c>
      <c r="G203" s="11">
        <v>0</v>
      </c>
      <c r="H203" s="37">
        <f t="shared" si="56"/>
        <v>721.72</v>
      </c>
      <c r="I203" s="37">
        <f t="shared" si="57"/>
        <v>731.37389281464539</v>
      </c>
      <c r="J203" s="37">
        <f t="shared" si="58"/>
        <v>743.98118784012831</v>
      </c>
      <c r="K203" s="37">
        <f t="shared" si="59"/>
        <v>756.80580520842534</v>
      </c>
      <c r="L203" s="37">
        <f t="shared" si="60"/>
        <v>769.8514910840064</v>
      </c>
      <c r="M203" s="25">
        <f t="shared" si="62"/>
        <v>0</v>
      </c>
      <c r="N203" s="25">
        <f t="shared" si="62"/>
        <v>0</v>
      </c>
      <c r="O203" s="25">
        <f t="shared" si="62"/>
        <v>0</v>
      </c>
      <c r="P203" s="25">
        <f t="shared" si="62"/>
        <v>0</v>
      </c>
      <c r="Q203" s="25">
        <f t="shared" si="62"/>
        <v>0</v>
      </c>
      <c r="R203" s="38">
        <v>790.29</v>
      </c>
      <c r="S203" s="37">
        <f t="shared" si="63"/>
        <v>721.72</v>
      </c>
      <c r="T203" s="37">
        <f t="shared" si="64"/>
        <v>731.37</v>
      </c>
      <c r="U203" s="37">
        <f t="shared" si="65"/>
        <v>743.98</v>
      </c>
      <c r="V203" s="37">
        <f t="shared" si="66"/>
        <v>756.81</v>
      </c>
      <c r="W203" s="37">
        <f t="shared" si="67"/>
        <v>769.85</v>
      </c>
      <c r="X203" s="25"/>
      <c r="Y203" s="38">
        <v>790.29</v>
      </c>
      <c r="Z203" s="25">
        <f t="shared" si="68"/>
        <v>790.29</v>
      </c>
      <c r="AA203" s="25">
        <f t="shared" si="68"/>
        <v>731.37</v>
      </c>
      <c r="AC203" s="25">
        <f t="shared" si="69"/>
        <v>790.29</v>
      </c>
      <c r="AD203" s="25">
        <v>0</v>
      </c>
    </row>
    <row r="204" spans="1:30" x14ac:dyDescent="0.25">
      <c r="A204" s="30" t="s">
        <v>381</v>
      </c>
      <c r="B204" s="30" t="s">
        <v>849</v>
      </c>
      <c r="C204" s="27">
        <v>242.11</v>
      </c>
      <c r="D204" s="28" t="str">
        <f t="shared" si="55"/>
        <v>Yes</v>
      </c>
      <c r="E204" s="28" t="s">
        <v>653</v>
      </c>
      <c r="F204" s="11">
        <v>0</v>
      </c>
      <c r="G204" s="11">
        <v>0</v>
      </c>
      <c r="H204" s="37">
        <f t="shared" si="56"/>
        <v>242.11</v>
      </c>
      <c r="I204" s="37">
        <f t="shared" si="57"/>
        <v>245.34851907852601</v>
      </c>
      <c r="J204" s="37">
        <f t="shared" si="58"/>
        <v>249.57779386461988</v>
      </c>
      <c r="K204" s="37">
        <f t="shared" si="59"/>
        <v>253.87997214849506</v>
      </c>
      <c r="L204" s="37">
        <f t="shared" si="60"/>
        <v>258.2563106278734</v>
      </c>
      <c r="M204" s="25">
        <f t="shared" si="62"/>
        <v>0</v>
      </c>
      <c r="N204" s="25">
        <f t="shared" si="62"/>
        <v>0</v>
      </c>
      <c r="O204" s="25">
        <f t="shared" si="62"/>
        <v>0</v>
      </c>
      <c r="P204" s="25">
        <f t="shared" si="62"/>
        <v>0</v>
      </c>
      <c r="Q204" s="25">
        <f t="shared" si="62"/>
        <v>0</v>
      </c>
      <c r="R204" s="38">
        <v>239.7</v>
      </c>
      <c r="S204" s="37">
        <f t="shared" si="63"/>
        <v>242.11</v>
      </c>
      <c r="T204" s="37">
        <f t="shared" si="64"/>
        <v>245.35</v>
      </c>
      <c r="U204" s="37">
        <f t="shared" si="65"/>
        <v>249.58</v>
      </c>
      <c r="V204" s="37">
        <f t="shared" si="66"/>
        <v>253.88</v>
      </c>
      <c r="W204" s="37">
        <f t="shared" si="67"/>
        <v>258.26</v>
      </c>
      <c r="X204" s="25"/>
      <c r="Y204" s="38">
        <v>239.7</v>
      </c>
      <c r="Z204" s="25">
        <f t="shared" si="68"/>
        <v>242.11</v>
      </c>
      <c r="AA204" s="25">
        <f t="shared" si="68"/>
        <v>245.35</v>
      </c>
      <c r="AC204" s="25">
        <f t="shared" si="69"/>
        <v>239.7</v>
      </c>
      <c r="AD204" s="25">
        <v>0</v>
      </c>
    </row>
    <row r="205" spans="1:30" x14ac:dyDescent="0.25">
      <c r="A205" s="30" t="s">
        <v>383</v>
      </c>
      <c r="B205" s="30" t="s">
        <v>850</v>
      </c>
      <c r="C205" s="27">
        <v>776.66</v>
      </c>
      <c r="D205" s="28" t="str">
        <f t="shared" si="55"/>
        <v>Yes</v>
      </c>
      <c r="E205" s="28" t="s">
        <v>653</v>
      </c>
      <c r="F205" s="11">
        <v>3</v>
      </c>
      <c r="G205" s="11">
        <v>0</v>
      </c>
      <c r="H205" s="37">
        <f t="shared" si="56"/>
        <v>776.66</v>
      </c>
      <c r="I205" s="37">
        <f t="shared" si="57"/>
        <v>787.04878289838496</v>
      </c>
      <c r="J205" s="37">
        <f t="shared" si="58"/>
        <v>800.61579192472698</v>
      </c>
      <c r="K205" s="37">
        <f t="shared" si="59"/>
        <v>814.41666667568518</v>
      </c>
      <c r="L205" s="37">
        <f t="shared" si="60"/>
        <v>828.45543848764657</v>
      </c>
      <c r="M205" s="25">
        <f t="shared" si="62"/>
        <v>-3</v>
      </c>
      <c r="N205" s="25">
        <f t="shared" si="62"/>
        <v>-3</v>
      </c>
      <c r="O205" s="25">
        <f t="shared" si="62"/>
        <v>-3</v>
      </c>
      <c r="P205" s="25">
        <f t="shared" si="62"/>
        <v>-3</v>
      </c>
      <c r="Q205" s="25">
        <f t="shared" si="62"/>
        <v>-3</v>
      </c>
      <c r="R205" s="38">
        <v>791.35</v>
      </c>
      <c r="S205" s="37">
        <f t="shared" si="63"/>
        <v>773.66</v>
      </c>
      <c r="T205" s="37">
        <f t="shared" si="64"/>
        <v>784.05</v>
      </c>
      <c r="U205" s="37">
        <f t="shared" si="65"/>
        <v>797.62</v>
      </c>
      <c r="V205" s="37">
        <f t="shared" si="66"/>
        <v>811.42</v>
      </c>
      <c r="W205" s="37">
        <f t="shared" si="67"/>
        <v>825.46</v>
      </c>
      <c r="X205" s="25"/>
      <c r="Y205" s="38">
        <v>791.35</v>
      </c>
      <c r="Z205" s="25">
        <f t="shared" si="68"/>
        <v>791.35</v>
      </c>
      <c r="AA205" s="25">
        <f t="shared" si="68"/>
        <v>784.05</v>
      </c>
      <c r="AC205" s="25">
        <f t="shared" si="69"/>
        <v>793.35</v>
      </c>
      <c r="AD205" s="25">
        <v>-2</v>
      </c>
    </row>
    <row r="206" spans="1:30" x14ac:dyDescent="0.25">
      <c r="A206" s="30" t="s">
        <v>385</v>
      </c>
      <c r="B206" s="30" t="s">
        <v>851</v>
      </c>
      <c r="C206" s="27">
        <v>484.5</v>
      </c>
      <c r="D206" s="28" t="str">
        <f t="shared" si="55"/>
        <v>Yes</v>
      </c>
      <c r="E206" s="28" t="s">
        <v>653</v>
      </c>
      <c r="F206" s="11">
        <v>0</v>
      </c>
      <c r="G206" s="11">
        <v>0</v>
      </c>
      <c r="H206" s="37">
        <f t="shared" si="56"/>
        <v>484.5</v>
      </c>
      <c r="I206" s="37">
        <f t="shared" si="57"/>
        <v>490.98078350149041</v>
      </c>
      <c r="J206" s="37">
        <f t="shared" si="58"/>
        <v>499.44422422621255</v>
      </c>
      <c r="K206" s="37">
        <f t="shared" si="59"/>
        <v>508.05355625932776</v>
      </c>
      <c r="L206" s="37">
        <f t="shared" si="60"/>
        <v>516.81129444964949</v>
      </c>
      <c r="M206" s="25">
        <f t="shared" si="62"/>
        <v>0</v>
      </c>
      <c r="N206" s="25">
        <f t="shared" si="62"/>
        <v>0</v>
      </c>
      <c r="O206" s="25">
        <f t="shared" si="62"/>
        <v>0</v>
      </c>
      <c r="P206" s="25">
        <f t="shared" si="62"/>
        <v>0</v>
      </c>
      <c r="Q206" s="25">
        <f t="shared" si="62"/>
        <v>0</v>
      </c>
      <c r="R206" s="38">
        <v>508.94</v>
      </c>
      <c r="S206" s="37">
        <f t="shared" si="63"/>
        <v>484.5</v>
      </c>
      <c r="T206" s="37">
        <f t="shared" si="64"/>
        <v>490.98</v>
      </c>
      <c r="U206" s="37">
        <f t="shared" si="65"/>
        <v>499.44</v>
      </c>
      <c r="V206" s="37">
        <f t="shared" si="66"/>
        <v>508.05</v>
      </c>
      <c r="W206" s="37">
        <f t="shared" si="67"/>
        <v>516.80999999999995</v>
      </c>
      <c r="X206" s="25"/>
      <c r="Y206" s="38">
        <v>508.94</v>
      </c>
      <c r="Z206" s="25">
        <f t="shared" si="68"/>
        <v>508.94</v>
      </c>
      <c r="AA206" s="25">
        <f t="shared" si="68"/>
        <v>490.98</v>
      </c>
      <c r="AC206" s="25">
        <f t="shared" si="69"/>
        <v>508.94</v>
      </c>
      <c r="AD206" s="25">
        <v>0</v>
      </c>
    </row>
    <row r="207" spans="1:30" x14ac:dyDescent="0.25">
      <c r="A207" s="30" t="s">
        <v>387</v>
      </c>
      <c r="B207" s="30" t="s">
        <v>852</v>
      </c>
      <c r="C207" s="27">
        <v>3258.75</v>
      </c>
      <c r="D207" s="28" t="str">
        <f t="shared" si="55"/>
        <v>Yes</v>
      </c>
      <c r="E207" s="28" t="s">
        <v>653</v>
      </c>
      <c r="F207" s="11">
        <v>0</v>
      </c>
      <c r="G207" s="11">
        <v>0</v>
      </c>
      <c r="H207" s="37">
        <f t="shared" si="56"/>
        <v>3258.75</v>
      </c>
      <c r="I207" s="37">
        <f t="shared" si="57"/>
        <v>3302.3397899597148</v>
      </c>
      <c r="J207" s="37">
        <f t="shared" si="58"/>
        <v>3359.2649446794017</v>
      </c>
      <c r="K207" s="37">
        <f t="shared" si="59"/>
        <v>3417.171365242692</v>
      </c>
      <c r="L207" s="37">
        <f t="shared" si="60"/>
        <v>3476.075966538277</v>
      </c>
      <c r="M207" s="25">
        <f t="shared" si="62"/>
        <v>0</v>
      </c>
      <c r="N207" s="25">
        <f t="shared" si="62"/>
        <v>0</v>
      </c>
      <c r="O207" s="25">
        <f t="shared" si="62"/>
        <v>0</v>
      </c>
      <c r="P207" s="25">
        <f t="shared" si="62"/>
        <v>0</v>
      </c>
      <c r="Q207" s="25">
        <f t="shared" si="62"/>
        <v>0</v>
      </c>
      <c r="R207" s="38">
        <v>3516.84</v>
      </c>
      <c r="S207" s="37">
        <f t="shared" si="63"/>
        <v>3258.75</v>
      </c>
      <c r="T207" s="37">
        <f t="shared" si="64"/>
        <v>3302.34</v>
      </c>
      <c r="U207" s="37">
        <f t="shared" si="65"/>
        <v>3359.26</v>
      </c>
      <c r="V207" s="37">
        <f t="shared" si="66"/>
        <v>3417.17</v>
      </c>
      <c r="W207" s="37">
        <f t="shared" si="67"/>
        <v>3476.08</v>
      </c>
      <c r="X207" s="25"/>
      <c r="Y207" s="38">
        <v>3516.84</v>
      </c>
      <c r="Z207" s="25">
        <f t="shared" si="68"/>
        <v>3516.84</v>
      </c>
      <c r="AA207" s="25">
        <f t="shared" si="68"/>
        <v>3302.34</v>
      </c>
      <c r="AC207" s="25">
        <f t="shared" si="69"/>
        <v>3516.84</v>
      </c>
      <c r="AD207" s="25">
        <v>0</v>
      </c>
    </row>
    <row r="208" spans="1:30" x14ac:dyDescent="0.25">
      <c r="A208" s="30" t="s">
        <v>389</v>
      </c>
      <c r="B208" s="30" t="s">
        <v>853</v>
      </c>
      <c r="C208" s="27">
        <v>4293.7</v>
      </c>
      <c r="D208" s="28" t="str">
        <f t="shared" si="55"/>
        <v>Yes</v>
      </c>
      <c r="E208" s="28" t="s">
        <v>653</v>
      </c>
      <c r="F208" s="11">
        <v>0</v>
      </c>
      <c r="G208" s="11">
        <v>0</v>
      </c>
      <c r="H208" s="37">
        <f t="shared" si="56"/>
        <v>4293.7</v>
      </c>
      <c r="I208" s="37">
        <f t="shared" si="57"/>
        <v>4351.1335193402465</v>
      </c>
      <c r="J208" s="37">
        <f t="shared" si="58"/>
        <v>4426.13759661525</v>
      </c>
      <c r="K208" s="37">
        <f t="shared" si="59"/>
        <v>4502.4345810333853</v>
      </c>
      <c r="L208" s="37">
        <f t="shared" si="60"/>
        <v>4580.0467595014643</v>
      </c>
      <c r="M208" s="25">
        <f t="shared" si="62"/>
        <v>0</v>
      </c>
      <c r="N208" s="25">
        <f t="shared" si="62"/>
        <v>0</v>
      </c>
      <c r="O208" s="25">
        <f t="shared" si="62"/>
        <v>0</v>
      </c>
      <c r="P208" s="25">
        <f t="shared" si="62"/>
        <v>0</v>
      </c>
      <c r="Q208" s="25">
        <f t="shared" si="62"/>
        <v>0</v>
      </c>
      <c r="R208" s="38">
        <v>4466.1899999999996</v>
      </c>
      <c r="S208" s="37">
        <f t="shared" si="63"/>
        <v>4293.7</v>
      </c>
      <c r="T208" s="37">
        <f t="shared" si="64"/>
        <v>4351.13</v>
      </c>
      <c r="U208" s="37">
        <f t="shared" si="65"/>
        <v>4426.1400000000003</v>
      </c>
      <c r="V208" s="37">
        <f t="shared" si="66"/>
        <v>4502.43</v>
      </c>
      <c r="W208" s="37">
        <f t="shared" si="67"/>
        <v>4580.05</v>
      </c>
      <c r="X208" s="25"/>
      <c r="Y208" s="38">
        <v>4466.1899999999996</v>
      </c>
      <c r="Z208" s="25">
        <f t="shared" si="68"/>
        <v>4466.1899999999996</v>
      </c>
      <c r="AA208" s="25">
        <f t="shared" si="68"/>
        <v>4351.13</v>
      </c>
      <c r="AC208" s="25">
        <f t="shared" si="69"/>
        <v>4466.1899999999996</v>
      </c>
      <c r="AD208" s="25">
        <v>0</v>
      </c>
    </row>
    <row r="209" spans="1:30" x14ac:dyDescent="0.25">
      <c r="A209" s="30" t="s">
        <v>391</v>
      </c>
      <c r="B209" s="30" t="s">
        <v>854</v>
      </c>
      <c r="C209" s="27">
        <v>2498.7199999999998</v>
      </c>
      <c r="D209" s="28" t="str">
        <f t="shared" si="55"/>
        <v>Yes</v>
      </c>
      <c r="E209" s="28" t="s">
        <v>655</v>
      </c>
      <c r="F209" s="11">
        <v>0</v>
      </c>
      <c r="G209" s="11">
        <v>0</v>
      </c>
      <c r="H209" s="37">
        <f t="shared" si="56"/>
        <v>2498.7199999999998</v>
      </c>
      <c r="I209" s="37">
        <f t="shared" si="57"/>
        <v>2532.1434537685118</v>
      </c>
      <c r="J209" s="37">
        <f t="shared" si="58"/>
        <v>2575.7920989855966</v>
      </c>
      <c r="K209" s="37">
        <f t="shared" si="59"/>
        <v>2620.1931519015625</v>
      </c>
      <c r="L209" s="37">
        <f t="shared" si="60"/>
        <v>2665.3595823884989</v>
      </c>
      <c r="M209" s="25">
        <f t="shared" si="62"/>
        <v>0</v>
      </c>
      <c r="N209" s="25">
        <f t="shared" si="62"/>
        <v>0</v>
      </c>
      <c r="O209" s="25">
        <f t="shared" si="62"/>
        <v>0</v>
      </c>
      <c r="P209" s="25">
        <f t="shared" si="62"/>
        <v>0</v>
      </c>
      <c r="Q209" s="25">
        <f t="shared" si="62"/>
        <v>0</v>
      </c>
      <c r="R209" s="38">
        <v>2675.55</v>
      </c>
      <c r="S209" s="37">
        <f t="shared" si="63"/>
        <v>2498.7199999999998</v>
      </c>
      <c r="T209" s="37">
        <f t="shared" si="64"/>
        <v>2532.14</v>
      </c>
      <c r="U209" s="37">
        <f t="shared" si="65"/>
        <v>2575.79</v>
      </c>
      <c r="V209" s="37">
        <f t="shared" si="66"/>
        <v>2620.19</v>
      </c>
      <c r="W209" s="37">
        <f t="shared" si="67"/>
        <v>2665.36</v>
      </c>
      <c r="X209" s="25"/>
      <c r="Y209" s="38">
        <v>2675.55</v>
      </c>
      <c r="Z209" s="25">
        <f t="shared" si="68"/>
        <v>2675.55</v>
      </c>
      <c r="AA209" s="25">
        <f t="shared" si="68"/>
        <v>2532.14</v>
      </c>
      <c r="AC209" s="25">
        <f t="shared" si="69"/>
        <v>2675.55</v>
      </c>
      <c r="AD209" s="25">
        <v>0</v>
      </c>
    </row>
    <row r="210" spans="1:30" x14ac:dyDescent="0.25">
      <c r="A210" s="30" t="s">
        <v>393</v>
      </c>
      <c r="B210" s="30" t="s">
        <v>855</v>
      </c>
      <c r="C210" s="27">
        <v>564.69000000000005</v>
      </c>
      <c r="D210" s="28" t="str">
        <f t="shared" si="55"/>
        <v>Yes</v>
      </c>
      <c r="E210" s="28" t="s">
        <v>653</v>
      </c>
      <c r="F210" s="11">
        <v>8.5299999999999994</v>
      </c>
      <c r="G210" s="11">
        <v>0</v>
      </c>
      <c r="H210" s="37">
        <f t="shared" si="56"/>
        <v>564.69000000000005</v>
      </c>
      <c r="I210" s="37">
        <f t="shared" si="57"/>
        <v>572.24342339619534</v>
      </c>
      <c r="J210" s="37">
        <f t="shared" si="58"/>
        <v>582.10765526996897</v>
      </c>
      <c r="K210" s="37">
        <f t="shared" si="59"/>
        <v>592.14192504454036</v>
      </c>
      <c r="L210" s="37">
        <f t="shared" si="60"/>
        <v>602.34916380345226</v>
      </c>
      <c r="M210" s="25">
        <f t="shared" si="62"/>
        <v>-8.5299999999999994</v>
      </c>
      <c r="N210" s="25">
        <f t="shared" si="62"/>
        <v>-8.5299999999999994</v>
      </c>
      <c r="O210" s="25">
        <f t="shared" si="62"/>
        <v>-8.5299999999999994</v>
      </c>
      <c r="P210" s="25">
        <f t="shared" si="62"/>
        <v>-8.5299999999999994</v>
      </c>
      <c r="Q210" s="25">
        <f t="shared" si="62"/>
        <v>-8.5299999999999994</v>
      </c>
      <c r="R210" s="38">
        <v>602.59</v>
      </c>
      <c r="S210" s="37">
        <f t="shared" si="63"/>
        <v>556.16</v>
      </c>
      <c r="T210" s="37">
        <f t="shared" si="64"/>
        <v>563.71</v>
      </c>
      <c r="U210" s="37">
        <f t="shared" si="65"/>
        <v>573.58000000000004</v>
      </c>
      <c r="V210" s="37">
        <f t="shared" si="66"/>
        <v>583.61</v>
      </c>
      <c r="W210" s="37">
        <f t="shared" si="67"/>
        <v>593.82000000000005</v>
      </c>
      <c r="X210" s="25"/>
      <c r="Y210" s="38">
        <v>602.59</v>
      </c>
      <c r="Z210" s="25">
        <f t="shared" si="68"/>
        <v>602.59</v>
      </c>
      <c r="AA210" s="25">
        <f t="shared" si="68"/>
        <v>563.71</v>
      </c>
      <c r="AC210" s="25">
        <f t="shared" si="69"/>
        <v>613.59</v>
      </c>
      <c r="AD210" s="25">
        <v>-11</v>
      </c>
    </row>
    <row r="211" spans="1:30" x14ac:dyDescent="0.25">
      <c r="A211" s="30" t="s">
        <v>395</v>
      </c>
      <c r="B211" s="30" t="s">
        <v>856</v>
      </c>
      <c r="C211" s="27">
        <v>452.17</v>
      </c>
      <c r="D211" s="28" t="str">
        <f t="shared" si="55"/>
        <v>Yes</v>
      </c>
      <c r="E211" s="28" t="s">
        <v>655</v>
      </c>
      <c r="F211" s="11">
        <v>0</v>
      </c>
      <c r="G211" s="11">
        <v>94.960000000000008</v>
      </c>
      <c r="H211" s="37">
        <f t="shared" si="56"/>
        <v>452.17</v>
      </c>
      <c r="I211" s="37">
        <f t="shared" si="57"/>
        <v>458.2183299811536</v>
      </c>
      <c r="J211" s="37">
        <f t="shared" si="58"/>
        <v>466.1170172721703</v>
      </c>
      <c r="K211" s="37">
        <f t="shared" si="59"/>
        <v>474.15186075083636</v>
      </c>
      <c r="L211" s="37">
        <f t="shared" si="60"/>
        <v>482.32520745365946</v>
      </c>
      <c r="M211" s="25">
        <f t="shared" si="62"/>
        <v>94.960000000000008</v>
      </c>
      <c r="N211" s="25">
        <f t="shared" si="62"/>
        <v>94.960000000000008</v>
      </c>
      <c r="O211" s="25">
        <f t="shared" si="62"/>
        <v>94.960000000000008</v>
      </c>
      <c r="P211" s="25">
        <f t="shared" si="62"/>
        <v>94.960000000000008</v>
      </c>
      <c r="Q211" s="25">
        <f t="shared" si="62"/>
        <v>94.960000000000008</v>
      </c>
      <c r="R211" s="38">
        <v>581.88</v>
      </c>
      <c r="S211" s="37">
        <f t="shared" si="63"/>
        <v>547.13</v>
      </c>
      <c r="T211" s="37">
        <f t="shared" si="64"/>
        <v>553.17999999999995</v>
      </c>
      <c r="U211" s="37">
        <f t="shared" si="65"/>
        <v>561.08000000000004</v>
      </c>
      <c r="V211" s="37">
        <f t="shared" si="66"/>
        <v>569.11</v>
      </c>
      <c r="W211" s="37">
        <f t="shared" si="67"/>
        <v>577.29</v>
      </c>
      <c r="X211" s="25"/>
      <c r="Y211" s="38">
        <v>581.88</v>
      </c>
      <c r="Z211" s="25">
        <f t="shared" si="68"/>
        <v>581.88</v>
      </c>
      <c r="AA211" s="25">
        <f t="shared" si="68"/>
        <v>553.17999999999995</v>
      </c>
      <c r="AC211" s="25">
        <f t="shared" si="69"/>
        <v>457.56</v>
      </c>
      <c r="AD211" s="25">
        <v>124.32</v>
      </c>
    </row>
    <row r="212" spans="1:30" x14ac:dyDescent="0.25">
      <c r="A212" s="30" t="s">
        <v>397</v>
      </c>
      <c r="B212" s="30" t="s">
        <v>857</v>
      </c>
      <c r="C212" s="27">
        <v>6572.51</v>
      </c>
      <c r="D212" s="28" t="str">
        <f t="shared" si="55"/>
        <v>Yes</v>
      </c>
      <c r="E212" s="28" t="s">
        <v>655</v>
      </c>
      <c r="F212" s="11">
        <v>81.53</v>
      </c>
      <c r="G212" s="11">
        <v>0</v>
      </c>
      <c r="H212" s="37">
        <f t="shared" si="56"/>
        <v>6572.51</v>
      </c>
      <c r="I212" s="37">
        <f t="shared" si="57"/>
        <v>6660.4254063392791</v>
      </c>
      <c r="J212" s="37">
        <f t="shared" si="58"/>
        <v>6775.2366525676453</v>
      </c>
      <c r="K212" s="37">
        <f t="shared" si="59"/>
        <v>6892.0269949432277</v>
      </c>
      <c r="L212" s="37">
        <f t="shared" si="60"/>
        <v>7010.8305487786693</v>
      </c>
      <c r="M212" s="25">
        <f t="shared" si="62"/>
        <v>-81.53</v>
      </c>
      <c r="N212" s="25">
        <f t="shared" si="62"/>
        <v>-81.53</v>
      </c>
      <c r="O212" s="25">
        <f t="shared" si="62"/>
        <v>-81.53</v>
      </c>
      <c r="P212" s="25">
        <f t="shared" si="62"/>
        <v>-81.53</v>
      </c>
      <c r="Q212" s="25">
        <f t="shared" si="62"/>
        <v>-81.53</v>
      </c>
      <c r="R212" s="38">
        <v>6739.52</v>
      </c>
      <c r="S212" s="37">
        <f t="shared" si="63"/>
        <v>6490.98</v>
      </c>
      <c r="T212" s="37">
        <f t="shared" si="64"/>
        <v>6578.9</v>
      </c>
      <c r="U212" s="37">
        <f t="shared" si="65"/>
        <v>6693.71</v>
      </c>
      <c r="V212" s="37">
        <f t="shared" si="66"/>
        <v>6810.5</v>
      </c>
      <c r="W212" s="37">
        <f t="shared" si="67"/>
        <v>6929.3</v>
      </c>
      <c r="X212" s="25"/>
      <c r="Y212" s="38">
        <v>6739.52</v>
      </c>
      <c r="Z212" s="25">
        <f t="shared" si="68"/>
        <v>6739.52</v>
      </c>
      <c r="AA212" s="25">
        <f t="shared" si="68"/>
        <v>6578.9</v>
      </c>
      <c r="AC212" s="25">
        <f t="shared" si="69"/>
        <v>6845.5400000000009</v>
      </c>
      <c r="AD212" s="25">
        <v>-106.02</v>
      </c>
    </row>
    <row r="213" spans="1:30" x14ac:dyDescent="0.25">
      <c r="A213" s="30" t="s">
        <v>399</v>
      </c>
      <c r="B213" s="30" t="s">
        <v>858</v>
      </c>
      <c r="C213" s="27">
        <v>63.4</v>
      </c>
      <c r="D213" s="28" t="str">
        <f t="shared" si="55"/>
        <v>No</v>
      </c>
      <c r="E213" s="28" t="s">
        <v>655</v>
      </c>
      <c r="F213" s="11">
        <v>0</v>
      </c>
      <c r="G213" s="11">
        <v>8.76</v>
      </c>
      <c r="H213" s="37">
        <f t="shared" si="56"/>
        <v>63.4</v>
      </c>
      <c r="I213" s="37">
        <f t="shared" si="57"/>
        <v>63.4</v>
      </c>
      <c r="J213" s="37">
        <f t="shared" si="58"/>
        <v>63.4</v>
      </c>
      <c r="K213" s="37">
        <f t="shared" si="59"/>
        <v>63.4</v>
      </c>
      <c r="L213" s="37">
        <f t="shared" si="60"/>
        <v>63.4</v>
      </c>
      <c r="M213" s="25">
        <f t="shared" si="62"/>
        <v>8.76</v>
      </c>
      <c r="N213" s="25">
        <f t="shared" si="62"/>
        <v>8.76</v>
      </c>
      <c r="O213" s="25">
        <f t="shared" si="62"/>
        <v>8.76</v>
      </c>
      <c r="P213" s="25">
        <f t="shared" si="62"/>
        <v>8.76</v>
      </c>
      <c r="Q213" s="25">
        <f t="shared" si="62"/>
        <v>8.76</v>
      </c>
      <c r="R213" s="38">
        <v>91.94</v>
      </c>
      <c r="S213" s="37">
        <f t="shared" si="63"/>
        <v>72.16</v>
      </c>
      <c r="T213" s="37">
        <f t="shared" si="64"/>
        <v>72.16</v>
      </c>
      <c r="U213" s="37">
        <f t="shared" si="65"/>
        <v>72.16</v>
      </c>
      <c r="V213" s="37">
        <f t="shared" si="66"/>
        <v>72.16</v>
      </c>
      <c r="W213" s="37">
        <f t="shared" si="67"/>
        <v>72.16</v>
      </c>
      <c r="X213" s="25"/>
      <c r="Y213" s="38">
        <v>91.94</v>
      </c>
      <c r="Z213" s="25">
        <f t="shared" si="68"/>
        <v>91.94</v>
      </c>
      <c r="AA213" s="25">
        <f t="shared" si="68"/>
        <v>72.16</v>
      </c>
      <c r="AC213" s="25">
        <f t="shared" si="69"/>
        <v>72.180000000000007</v>
      </c>
      <c r="AD213" s="25">
        <v>19.759999999999998</v>
      </c>
    </row>
    <row r="214" spans="1:30" x14ac:dyDescent="0.25">
      <c r="A214" s="30" t="s">
        <v>401</v>
      </c>
      <c r="B214" s="30" t="s">
        <v>859</v>
      </c>
      <c r="C214" s="27">
        <v>58.9</v>
      </c>
      <c r="D214" s="28" t="str">
        <f t="shared" si="55"/>
        <v>No</v>
      </c>
      <c r="E214" s="28" t="s">
        <v>653</v>
      </c>
      <c r="F214" s="11">
        <v>0</v>
      </c>
      <c r="G214" s="11">
        <v>4.28</v>
      </c>
      <c r="H214" s="37">
        <f t="shared" si="56"/>
        <v>58.9</v>
      </c>
      <c r="I214" s="37">
        <f t="shared" si="57"/>
        <v>58.9</v>
      </c>
      <c r="J214" s="37">
        <f t="shared" si="58"/>
        <v>58.9</v>
      </c>
      <c r="K214" s="37">
        <f t="shared" si="59"/>
        <v>58.9</v>
      </c>
      <c r="L214" s="37">
        <f t="shared" si="60"/>
        <v>58.9</v>
      </c>
      <c r="M214" s="25">
        <f t="shared" si="62"/>
        <v>4.28</v>
      </c>
      <c r="N214" s="25">
        <f t="shared" si="62"/>
        <v>4.28</v>
      </c>
      <c r="O214" s="25">
        <f t="shared" si="62"/>
        <v>4.28</v>
      </c>
      <c r="P214" s="25">
        <f t="shared" si="62"/>
        <v>4.28</v>
      </c>
      <c r="Q214" s="25">
        <f t="shared" si="62"/>
        <v>4.28</v>
      </c>
      <c r="R214" s="38">
        <v>81.650000000000006</v>
      </c>
      <c r="S214" s="37">
        <f t="shared" si="63"/>
        <v>63.18</v>
      </c>
      <c r="T214" s="37">
        <f t="shared" si="64"/>
        <v>63.18</v>
      </c>
      <c r="U214" s="37">
        <f t="shared" si="65"/>
        <v>63.18</v>
      </c>
      <c r="V214" s="37">
        <f t="shared" si="66"/>
        <v>63.18</v>
      </c>
      <c r="W214" s="37">
        <f t="shared" si="67"/>
        <v>63.18</v>
      </c>
      <c r="X214" s="25"/>
      <c r="Y214" s="38">
        <v>81.650000000000006</v>
      </c>
      <c r="Z214" s="25">
        <f t="shared" si="68"/>
        <v>81.650000000000006</v>
      </c>
      <c r="AA214" s="25">
        <f t="shared" si="68"/>
        <v>63.18</v>
      </c>
      <c r="AC214" s="25">
        <f t="shared" si="69"/>
        <v>64.800000000000011</v>
      </c>
      <c r="AD214" s="25">
        <v>16.850000000000001</v>
      </c>
    </row>
    <row r="215" spans="1:30" x14ac:dyDescent="0.25">
      <c r="A215" s="30" t="s">
        <v>403</v>
      </c>
      <c r="B215" s="30" t="s">
        <v>860</v>
      </c>
      <c r="C215" s="27">
        <v>52.75</v>
      </c>
      <c r="D215" s="28" t="str">
        <f t="shared" si="55"/>
        <v>No</v>
      </c>
      <c r="E215" s="28" t="s">
        <v>653</v>
      </c>
      <c r="F215" s="11">
        <v>17.7</v>
      </c>
      <c r="G215" s="11">
        <v>2.7</v>
      </c>
      <c r="H215" s="37">
        <f t="shared" si="56"/>
        <v>52.75</v>
      </c>
      <c r="I215" s="37">
        <f t="shared" si="57"/>
        <v>52.75</v>
      </c>
      <c r="J215" s="37">
        <f t="shared" si="58"/>
        <v>52.75</v>
      </c>
      <c r="K215" s="37">
        <f t="shared" si="59"/>
        <v>52.75</v>
      </c>
      <c r="L215" s="37">
        <f t="shared" si="60"/>
        <v>52.75</v>
      </c>
      <c r="M215" s="25">
        <f t="shared" si="62"/>
        <v>-15</v>
      </c>
      <c r="N215" s="25">
        <f t="shared" si="62"/>
        <v>-15</v>
      </c>
      <c r="O215" s="25">
        <f t="shared" si="62"/>
        <v>-15</v>
      </c>
      <c r="P215" s="25">
        <f t="shared" si="62"/>
        <v>-15</v>
      </c>
      <c r="Q215" s="25">
        <f t="shared" si="62"/>
        <v>-15</v>
      </c>
      <c r="R215" s="38">
        <v>51.51</v>
      </c>
      <c r="S215" s="37">
        <f t="shared" si="63"/>
        <v>37.75</v>
      </c>
      <c r="T215" s="37">
        <f t="shared" si="64"/>
        <v>37.75</v>
      </c>
      <c r="U215" s="37">
        <f t="shared" si="65"/>
        <v>37.75</v>
      </c>
      <c r="V215" s="37">
        <f t="shared" si="66"/>
        <v>37.75</v>
      </c>
      <c r="W215" s="37">
        <f t="shared" si="67"/>
        <v>37.75</v>
      </c>
      <c r="X215" s="25"/>
      <c r="Y215" s="38">
        <v>51.51</v>
      </c>
      <c r="Z215" s="25">
        <f t="shared" si="68"/>
        <v>51.51</v>
      </c>
      <c r="AA215" s="25">
        <f t="shared" si="68"/>
        <v>37.75</v>
      </c>
      <c r="AC215" s="25">
        <f t="shared" si="69"/>
        <v>50.51</v>
      </c>
      <c r="AD215" s="25">
        <v>1</v>
      </c>
    </row>
    <row r="216" spans="1:30" x14ac:dyDescent="0.25">
      <c r="A216" s="30" t="s">
        <v>405</v>
      </c>
      <c r="B216" s="30" t="s">
        <v>861</v>
      </c>
      <c r="C216" s="27">
        <v>780.95</v>
      </c>
      <c r="D216" s="28" t="str">
        <f t="shared" si="55"/>
        <v>Yes</v>
      </c>
      <c r="E216" s="28" t="s">
        <v>653</v>
      </c>
      <c r="F216" s="11">
        <v>4.2</v>
      </c>
      <c r="G216" s="11">
        <v>12.6</v>
      </c>
      <c r="H216" s="37">
        <f t="shared" si="56"/>
        <v>780.95</v>
      </c>
      <c r="I216" s="37">
        <f t="shared" si="57"/>
        <v>791.39616692567381</v>
      </c>
      <c r="J216" s="37">
        <f t="shared" si="58"/>
        <v>805.03811539620369</v>
      </c>
      <c r="K216" s="37">
        <f t="shared" si="59"/>
        <v>818.91522138435914</v>
      </c>
      <c r="L216" s="37">
        <f t="shared" si="60"/>
        <v>833.03153849422858</v>
      </c>
      <c r="M216" s="25">
        <f t="shared" si="62"/>
        <v>8.3999999999999986</v>
      </c>
      <c r="N216" s="25">
        <f t="shared" si="62"/>
        <v>8.3999999999999986</v>
      </c>
      <c r="O216" s="25">
        <f t="shared" si="62"/>
        <v>8.3999999999999986</v>
      </c>
      <c r="P216" s="25">
        <f t="shared" si="62"/>
        <v>8.3999999999999986</v>
      </c>
      <c r="Q216" s="25">
        <f t="shared" si="62"/>
        <v>8.3999999999999986</v>
      </c>
      <c r="R216" s="38">
        <v>885.73</v>
      </c>
      <c r="S216" s="37">
        <f t="shared" si="63"/>
        <v>789.35</v>
      </c>
      <c r="T216" s="37">
        <f t="shared" si="64"/>
        <v>799.8</v>
      </c>
      <c r="U216" s="37">
        <f t="shared" si="65"/>
        <v>813.44</v>
      </c>
      <c r="V216" s="37">
        <f t="shared" si="66"/>
        <v>827.32</v>
      </c>
      <c r="W216" s="37">
        <f t="shared" si="67"/>
        <v>841.43</v>
      </c>
      <c r="X216" s="25"/>
      <c r="Y216" s="38">
        <v>885.73</v>
      </c>
      <c r="Z216" s="25">
        <f t="shared" si="68"/>
        <v>885.73</v>
      </c>
      <c r="AA216" s="25">
        <f t="shared" si="68"/>
        <v>799.8</v>
      </c>
      <c r="AC216" s="25">
        <f t="shared" si="69"/>
        <v>895.29</v>
      </c>
      <c r="AD216" s="25">
        <v>-9.56</v>
      </c>
    </row>
    <row r="217" spans="1:30" x14ac:dyDescent="0.25">
      <c r="A217" s="30" t="s">
        <v>407</v>
      </c>
      <c r="B217" s="30" t="s">
        <v>862</v>
      </c>
      <c r="C217" s="27">
        <v>19746.310000000001</v>
      </c>
      <c r="D217" s="28" t="str">
        <f t="shared" si="55"/>
        <v>Yes</v>
      </c>
      <c r="E217" s="28" t="s">
        <v>653</v>
      </c>
      <c r="F217" s="11">
        <v>0</v>
      </c>
      <c r="G217" s="11">
        <v>0</v>
      </c>
      <c r="H217" s="37">
        <f t="shared" si="56"/>
        <v>19746.310000000001</v>
      </c>
      <c r="I217" s="37">
        <f t="shared" si="57"/>
        <v>20010.441186921187</v>
      </c>
      <c r="J217" s="37">
        <f t="shared" si="58"/>
        <v>20355.377666213215</v>
      </c>
      <c r="K217" s="37">
        <f t="shared" si="59"/>
        <v>20706.260100101394</v>
      </c>
      <c r="L217" s="37">
        <f t="shared" si="60"/>
        <v>21063.190983909302</v>
      </c>
      <c r="M217" s="25">
        <f t="shared" si="62"/>
        <v>0</v>
      </c>
      <c r="N217" s="25">
        <f t="shared" si="62"/>
        <v>0</v>
      </c>
      <c r="O217" s="25">
        <f t="shared" si="62"/>
        <v>0</v>
      </c>
      <c r="P217" s="25">
        <f t="shared" si="62"/>
        <v>0</v>
      </c>
      <c r="Q217" s="25">
        <f t="shared" si="62"/>
        <v>0</v>
      </c>
      <c r="R217" s="38">
        <v>20340.93</v>
      </c>
      <c r="S217" s="37">
        <f t="shared" si="63"/>
        <v>19746.310000000001</v>
      </c>
      <c r="T217" s="37">
        <f t="shared" si="64"/>
        <v>20010.439999999999</v>
      </c>
      <c r="U217" s="37">
        <f t="shared" si="65"/>
        <v>20355.38</v>
      </c>
      <c r="V217" s="37">
        <f t="shared" si="66"/>
        <v>20706.259999999998</v>
      </c>
      <c r="W217" s="37">
        <f t="shared" si="67"/>
        <v>21063.19</v>
      </c>
      <c r="X217" s="25"/>
      <c r="Y217" s="38">
        <v>20340.93</v>
      </c>
      <c r="Z217" s="25">
        <f t="shared" si="68"/>
        <v>20340.93</v>
      </c>
      <c r="AA217" s="25">
        <f t="shared" si="68"/>
        <v>20010.439999999999</v>
      </c>
      <c r="AC217" s="25">
        <f t="shared" si="69"/>
        <v>20340.93</v>
      </c>
      <c r="AD217" s="25">
        <v>0</v>
      </c>
    </row>
    <row r="218" spans="1:30" x14ac:dyDescent="0.25">
      <c r="A218" s="30" t="s">
        <v>409</v>
      </c>
      <c r="B218" s="30" t="s">
        <v>863</v>
      </c>
      <c r="C218" s="27">
        <v>9262.81</v>
      </c>
      <c r="D218" s="28" t="str">
        <f t="shared" si="55"/>
        <v>Yes</v>
      </c>
      <c r="E218" s="28" t="s">
        <v>653</v>
      </c>
      <c r="F218" s="11">
        <v>0</v>
      </c>
      <c r="G218" s="11">
        <v>0</v>
      </c>
      <c r="H218" s="37">
        <f t="shared" si="56"/>
        <v>9262.81</v>
      </c>
      <c r="I218" s="37">
        <f t="shared" si="57"/>
        <v>9386.7114782774825</v>
      </c>
      <c r="J218" s="37">
        <f t="shared" si="58"/>
        <v>9548.5179661605853</v>
      </c>
      <c r="K218" s="37">
        <f t="shared" si="59"/>
        <v>9713.1136459328445</v>
      </c>
      <c r="L218" s="37">
        <f t="shared" si="60"/>
        <v>9880.5465971953709</v>
      </c>
      <c r="M218" s="25">
        <f t="shared" si="62"/>
        <v>0</v>
      </c>
      <c r="N218" s="25">
        <f t="shared" si="62"/>
        <v>0</v>
      </c>
      <c r="O218" s="25">
        <f t="shared" si="62"/>
        <v>0</v>
      </c>
      <c r="P218" s="25">
        <f t="shared" si="62"/>
        <v>0</v>
      </c>
      <c r="Q218" s="25">
        <f t="shared" si="62"/>
        <v>0</v>
      </c>
      <c r="R218" s="38">
        <v>9196.35</v>
      </c>
      <c r="S218" s="37">
        <f t="shared" si="63"/>
        <v>9262.81</v>
      </c>
      <c r="T218" s="37">
        <f t="shared" si="64"/>
        <v>9386.7099999999991</v>
      </c>
      <c r="U218" s="37">
        <f t="shared" si="65"/>
        <v>9548.52</v>
      </c>
      <c r="V218" s="37">
        <f t="shared" si="66"/>
        <v>9713.11</v>
      </c>
      <c r="W218" s="37">
        <f t="shared" si="67"/>
        <v>9880.5499999999993</v>
      </c>
      <c r="X218" s="25"/>
      <c r="Y218" s="38">
        <v>9196.35</v>
      </c>
      <c r="Z218" s="25">
        <f t="shared" si="68"/>
        <v>9262.81</v>
      </c>
      <c r="AA218" s="25">
        <f t="shared" si="68"/>
        <v>9386.7099999999991</v>
      </c>
      <c r="AC218" s="25">
        <f t="shared" si="69"/>
        <v>9196.35</v>
      </c>
      <c r="AD218" s="25">
        <v>0</v>
      </c>
    </row>
    <row r="219" spans="1:30" x14ac:dyDescent="0.25">
      <c r="A219" s="30" t="s">
        <v>411</v>
      </c>
      <c r="B219" s="30" t="s">
        <v>864</v>
      </c>
      <c r="C219" s="27">
        <v>15063.77</v>
      </c>
      <c r="D219" s="28" t="str">
        <f t="shared" si="55"/>
        <v>Yes</v>
      </c>
      <c r="E219" s="28" t="s">
        <v>653</v>
      </c>
      <c r="F219" s="11">
        <v>0</v>
      </c>
      <c r="G219" s="11">
        <v>0</v>
      </c>
      <c r="H219" s="37">
        <f t="shared" si="56"/>
        <v>15063.77</v>
      </c>
      <c r="I219" s="37">
        <f t="shared" si="57"/>
        <v>15265.266454254379</v>
      </c>
      <c r="J219" s="37">
        <f t="shared" si="58"/>
        <v>15528.406442873258</v>
      </c>
      <c r="K219" s="37">
        <f t="shared" si="59"/>
        <v>15796.082392513052</v>
      </c>
      <c r="L219" s="37">
        <f t="shared" si="60"/>
        <v>16068.372493275121</v>
      </c>
      <c r="M219" s="25">
        <f t="shared" si="62"/>
        <v>0</v>
      </c>
      <c r="N219" s="25">
        <f t="shared" si="62"/>
        <v>0</v>
      </c>
      <c r="O219" s="25">
        <f t="shared" si="62"/>
        <v>0</v>
      </c>
      <c r="P219" s="25">
        <f t="shared" si="62"/>
        <v>0</v>
      </c>
      <c r="Q219" s="25">
        <f t="shared" si="62"/>
        <v>0</v>
      </c>
      <c r="R219" s="38">
        <v>15749.52</v>
      </c>
      <c r="S219" s="37">
        <f t="shared" si="63"/>
        <v>15063.77</v>
      </c>
      <c r="T219" s="37">
        <f t="shared" si="64"/>
        <v>15265.27</v>
      </c>
      <c r="U219" s="37">
        <f t="shared" si="65"/>
        <v>15528.41</v>
      </c>
      <c r="V219" s="37">
        <f t="shared" si="66"/>
        <v>15796.08</v>
      </c>
      <c r="W219" s="37">
        <f t="shared" si="67"/>
        <v>16068.37</v>
      </c>
      <c r="X219" s="25"/>
      <c r="Y219" s="38">
        <v>15749.52</v>
      </c>
      <c r="Z219" s="25">
        <f t="shared" si="68"/>
        <v>15749.52</v>
      </c>
      <c r="AA219" s="25">
        <f t="shared" si="68"/>
        <v>15265.27</v>
      </c>
      <c r="AC219" s="25">
        <f t="shared" si="69"/>
        <v>15749.52</v>
      </c>
      <c r="AD219" s="25">
        <v>0</v>
      </c>
    </row>
    <row r="220" spans="1:30" x14ac:dyDescent="0.25">
      <c r="A220" s="30" t="s">
        <v>413</v>
      </c>
      <c r="B220" s="30" t="s">
        <v>865</v>
      </c>
      <c r="C220" s="27">
        <v>20036.73</v>
      </c>
      <c r="D220" s="28" t="str">
        <f t="shared" si="55"/>
        <v>Yes</v>
      </c>
      <c r="E220" s="28" t="s">
        <v>653</v>
      </c>
      <c r="F220" s="11">
        <v>0</v>
      </c>
      <c r="G220" s="11">
        <v>0</v>
      </c>
      <c r="H220" s="37">
        <f t="shared" si="56"/>
        <v>20036.73</v>
      </c>
      <c r="I220" s="37">
        <f t="shared" si="57"/>
        <v>20304.745911677641</v>
      </c>
      <c r="J220" s="37">
        <f t="shared" si="58"/>
        <v>20654.755564251969</v>
      </c>
      <c r="K220" s="37">
        <f t="shared" si="59"/>
        <v>21010.798621894653</v>
      </c>
      <c r="L220" s="37">
        <f t="shared" si="60"/>
        <v>21372.979087385193</v>
      </c>
      <c r="M220" s="25">
        <f t="shared" si="62"/>
        <v>0</v>
      </c>
      <c r="N220" s="25">
        <f t="shared" si="62"/>
        <v>0</v>
      </c>
      <c r="O220" s="25">
        <f t="shared" si="62"/>
        <v>0</v>
      </c>
      <c r="P220" s="25">
        <f t="shared" si="62"/>
        <v>0</v>
      </c>
      <c r="Q220" s="25">
        <f t="shared" si="62"/>
        <v>0</v>
      </c>
      <c r="R220" s="38">
        <v>20816.09</v>
      </c>
      <c r="S220" s="37">
        <f t="shared" si="63"/>
        <v>20036.73</v>
      </c>
      <c r="T220" s="37">
        <f t="shared" si="64"/>
        <v>20304.75</v>
      </c>
      <c r="U220" s="37">
        <f t="shared" si="65"/>
        <v>20654.759999999998</v>
      </c>
      <c r="V220" s="37">
        <f t="shared" si="66"/>
        <v>21010.799999999999</v>
      </c>
      <c r="W220" s="37">
        <f t="shared" si="67"/>
        <v>21372.98</v>
      </c>
      <c r="X220" s="25"/>
      <c r="Y220" s="38">
        <v>20816.09</v>
      </c>
      <c r="Z220" s="25">
        <f t="shared" si="68"/>
        <v>20816.09</v>
      </c>
      <c r="AA220" s="25">
        <f t="shared" si="68"/>
        <v>20304.75</v>
      </c>
      <c r="AC220" s="25">
        <f t="shared" si="69"/>
        <v>20816.09</v>
      </c>
      <c r="AD220" s="25">
        <v>0</v>
      </c>
    </row>
    <row r="221" spans="1:30" x14ac:dyDescent="0.25">
      <c r="A221" s="30" t="s">
        <v>415</v>
      </c>
      <c r="B221" s="30" t="s">
        <v>866</v>
      </c>
      <c r="C221" s="27">
        <v>5329.19</v>
      </c>
      <c r="D221" s="28" t="str">
        <f t="shared" si="55"/>
        <v>Yes</v>
      </c>
      <c r="E221" s="28" t="s">
        <v>655</v>
      </c>
      <c r="F221" s="11">
        <v>0</v>
      </c>
      <c r="G221" s="11">
        <v>0</v>
      </c>
      <c r="H221" s="37">
        <f t="shared" si="56"/>
        <v>5329.19</v>
      </c>
      <c r="I221" s="37">
        <f t="shared" si="57"/>
        <v>5400.4744718850516</v>
      </c>
      <c r="J221" s="37">
        <f t="shared" si="58"/>
        <v>5493.5669046524035</v>
      </c>
      <c r="K221" s="37">
        <f t="shared" si="59"/>
        <v>5588.2640484657313</v>
      </c>
      <c r="L221" s="37">
        <f t="shared" si="60"/>
        <v>5684.5935650528945</v>
      </c>
      <c r="M221" s="25">
        <f t="shared" si="62"/>
        <v>0</v>
      </c>
      <c r="N221" s="25">
        <f t="shared" si="62"/>
        <v>0</v>
      </c>
      <c r="O221" s="25">
        <f t="shared" si="62"/>
        <v>0</v>
      </c>
      <c r="P221" s="25">
        <f t="shared" si="62"/>
        <v>0</v>
      </c>
      <c r="Q221" s="25">
        <f t="shared" si="62"/>
        <v>0</v>
      </c>
      <c r="R221" s="38">
        <v>5662.04</v>
      </c>
      <c r="S221" s="37">
        <f t="shared" si="63"/>
        <v>5329.19</v>
      </c>
      <c r="T221" s="37">
        <f t="shared" si="64"/>
        <v>5400.47</v>
      </c>
      <c r="U221" s="37">
        <f t="shared" si="65"/>
        <v>5493.57</v>
      </c>
      <c r="V221" s="37">
        <f t="shared" si="66"/>
        <v>5588.26</v>
      </c>
      <c r="W221" s="37">
        <f t="shared" si="67"/>
        <v>5684.59</v>
      </c>
      <c r="X221" s="25"/>
      <c r="Y221" s="38">
        <v>5662.04</v>
      </c>
      <c r="Z221" s="25">
        <f t="shared" si="68"/>
        <v>5662.04</v>
      </c>
      <c r="AA221" s="25">
        <f t="shared" si="68"/>
        <v>5400.47</v>
      </c>
      <c r="AC221" s="25">
        <f t="shared" si="69"/>
        <v>5662.04</v>
      </c>
      <c r="AD221" s="25">
        <v>0</v>
      </c>
    </row>
    <row r="222" spans="1:30" x14ac:dyDescent="0.25">
      <c r="A222" s="30" t="s">
        <v>417</v>
      </c>
      <c r="B222" s="30" t="s">
        <v>867</v>
      </c>
      <c r="C222" s="27">
        <v>9840.0499999999993</v>
      </c>
      <c r="D222" s="28" t="str">
        <f t="shared" si="55"/>
        <v>Yes</v>
      </c>
      <c r="E222" s="28" t="s">
        <v>653</v>
      </c>
      <c r="F222" s="11">
        <v>0</v>
      </c>
      <c r="G222" s="11">
        <v>0</v>
      </c>
      <c r="H222" s="37">
        <f t="shared" si="56"/>
        <v>9840.0499999999993</v>
      </c>
      <c r="I222" s="37">
        <f t="shared" si="57"/>
        <v>9971.6727733618991</v>
      </c>
      <c r="J222" s="37">
        <f t="shared" si="58"/>
        <v>10143.562721562728</v>
      </c>
      <c r="K222" s="37">
        <f t="shared" si="59"/>
        <v>10318.41567857502</v>
      </c>
      <c r="L222" s="37">
        <f t="shared" si="60"/>
        <v>10496.282720225538</v>
      </c>
      <c r="M222" s="25">
        <f t="shared" si="62"/>
        <v>0</v>
      </c>
      <c r="N222" s="25">
        <f t="shared" si="62"/>
        <v>0</v>
      </c>
      <c r="O222" s="25">
        <f t="shared" si="62"/>
        <v>0</v>
      </c>
      <c r="P222" s="25">
        <f t="shared" si="62"/>
        <v>0</v>
      </c>
      <c r="Q222" s="25">
        <f t="shared" si="62"/>
        <v>0</v>
      </c>
      <c r="R222" s="38">
        <v>10346.469999999999</v>
      </c>
      <c r="S222" s="37">
        <f t="shared" si="63"/>
        <v>9840.0499999999993</v>
      </c>
      <c r="T222" s="37">
        <f t="shared" si="64"/>
        <v>9971.67</v>
      </c>
      <c r="U222" s="37">
        <f t="shared" si="65"/>
        <v>10143.56</v>
      </c>
      <c r="V222" s="37">
        <f t="shared" si="66"/>
        <v>10318.42</v>
      </c>
      <c r="W222" s="37">
        <f t="shared" si="67"/>
        <v>10496.28</v>
      </c>
      <c r="X222" s="25"/>
      <c r="Y222" s="38">
        <v>10346.469999999999</v>
      </c>
      <c r="Z222" s="25">
        <f t="shared" si="68"/>
        <v>10346.469999999999</v>
      </c>
      <c r="AA222" s="25">
        <f t="shared" si="68"/>
        <v>9971.67</v>
      </c>
      <c r="AC222" s="25">
        <f t="shared" si="69"/>
        <v>10346.469999999999</v>
      </c>
      <c r="AD222" s="25">
        <v>0</v>
      </c>
    </row>
    <row r="223" spans="1:30" x14ac:dyDescent="0.25">
      <c r="A223" s="30" t="s">
        <v>419</v>
      </c>
      <c r="B223" s="30" t="s">
        <v>868</v>
      </c>
      <c r="C223" s="27">
        <v>24.68</v>
      </c>
      <c r="D223" s="28" t="str">
        <f t="shared" si="55"/>
        <v>No</v>
      </c>
      <c r="E223" s="28" t="s">
        <v>653</v>
      </c>
      <c r="F223" s="11">
        <v>0</v>
      </c>
      <c r="G223" s="11">
        <v>106.4</v>
      </c>
      <c r="H223" s="37">
        <f t="shared" si="56"/>
        <v>24.68</v>
      </c>
      <c r="I223" s="37">
        <f t="shared" si="57"/>
        <v>24.68</v>
      </c>
      <c r="J223" s="37">
        <f t="shared" si="58"/>
        <v>24.68</v>
      </c>
      <c r="K223" s="37">
        <f t="shared" si="59"/>
        <v>24.68</v>
      </c>
      <c r="L223" s="37">
        <f t="shared" si="60"/>
        <v>24.68</v>
      </c>
      <c r="M223" s="25">
        <f t="shared" si="62"/>
        <v>106.4</v>
      </c>
      <c r="N223" s="25">
        <f t="shared" si="62"/>
        <v>106.4</v>
      </c>
      <c r="O223" s="25">
        <f t="shared" si="62"/>
        <v>106.4</v>
      </c>
      <c r="P223" s="25">
        <f t="shared" si="62"/>
        <v>106.4</v>
      </c>
      <c r="Q223" s="25">
        <f t="shared" si="62"/>
        <v>106.4</v>
      </c>
      <c r="R223" s="38">
        <v>37.14</v>
      </c>
      <c r="S223" s="37">
        <f t="shared" si="63"/>
        <v>131.08000000000001</v>
      </c>
      <c r="T223" s="37">
        <f t="shared" si="64"/>
        <v>131.08000000000001</v>
      </c>
      <c r="U223" s="37">
        <f t="shared" si="65"/>
        <v>131.08000000000001</v>
      </c>
      <c r="V223" s="37">
        <f t="shared" si="66"/>
        <v>131.08000000000001</v>
      </c>
      <c r="W223" s="37">
        <f t="shared" si="67"/>
        <v>131.08000000000001</v>
      </c>
      <c r="X223" s="25"/>
      <c r="Y223" s="38">
        <v>37.14</v>
      </c>
      <c r="Z223" s="25">
        <f t="shared" si="68"/>
        <v>131.08000000000001</v>
      </c>
      <c r="AA223" s="25">
        <f t="shared" si="68"/>
        <v>131.08000000000001</v>
      </c>
      <c r="AC223" s="25">
        <f t="shared" si="69"/>
        <v>27.94</v>
      </c>
      <c r="AD223" s="25">
        <v>9.1999999999999993</v>
      </c>
    </row>
    <row r="224" spans="1:30" x14ac:dyDescent="0.25">
      <c r="A224" s="30" t="s">
        <v>421</v>
      </c>
      <c r="B224" s="30" t="s">
        <v>869</v>
      </c>
      <c r="C224" s="27">
        <v>5779.62</v>
      </c>
      <c r="D224" s="28" t="str">
        <f t="shared" si="55"/>
        <v>Yes</v>
      </c>
      <c r="E224" s="28" t="s">
        <v>653</v>
      </c>
      <c r="F224" s="11">
        <v>100</v>
      </c>
      <c r="G224" s="11">
        <v>0</v>
      </c>
      <c r="H224" s="37">
        <f t="shared" si="56"/>
        <v>5779.62</v>
      </c>
      <c r="I224" s="37">
        <f t="shared" si="57"/>
        <v>5856.9295272257668</v>
      </c>
      <c r="J224" s="37">
        <f t="shared" si="58"/>
        <v>5957.8902522648141</v>
      </c>
      <c r="K224" s="37">
        <f t="shared" si="59"/>
        <v>6060.5913205934685</v>
      </c>
      <c r="L224" s="37">
        <f t="shared" si="60"/>
        <v>6165.0627319444438</v>
      </c>
      <c r="M224" s="25">
        <f t="shared" si="62"/>
        <v>-100</v>
      </c>
      <c r="N224" s="25">
        <f t="shared" si="62"/>
        <v>-100</v>
      </c>
      <c r="O224" s="25">
        <f t="shared" si="62"/>
        <v>-100</v>
      </c>
      <c r="P224" s="25">
        <f t="shared" si="62"/>
        <v>-100</v>
      </c>
      <c r="Q224" s="25">
        <f t="shared" si="62"/>
        <v>-100</v>
      </c>
      <c r="R224" s="38">
        <v>6515.07</v>
      </c>
      <c r="S224" s="37">
        <f t="shared" si="63"/>
        <v>5679.62</v>
      </c>
      <c r="T224" s="37">
        <f t="shared" si="64"/>
        <v>5756.93</v>
      </c>
      <c r="U224" s="37">
        <f t="shared" si="65"/>
        <v>5857.89</v>
      </c>
      <c r="V224" s="37">
        <f t="shared" si="66"/>
        <v>5960.59</v>
      </c>
      <c r="W224" s="37">
        <f t="shared" si="67"/>
        <v>6065.06</v>
      </c>
      <c r="X224" s="25"/>
      <c r="Y224" s="38">
        <v>6515.07</v>
      </c>
      <c r="Z224" s="25">
        <f t="shared" si="68"/>
        <v>6515.07</v>
      </c>
      <c r="AA224" s="25">
        <f t="shared" si="68"/>
        <v>5756.93</v>
      </c>
      <c r="AC224" s="25">
        <f t="shared" si="69"/>
        <v>6515.07</v>
      </c>
      <c r="AD224" s="25">
        <v>0</v>
      </c>
    </row>
    <row r="225" spans="1:30" x14ac:dyDescent="0.25">
      <c r="A225" s="30" t="s">
        <v>423</v>
      </c>
      <c r="B225" s="30" t="s">
        <v>870</v>
      </c>
      <c r="C225" s="27">
        <v>9215.31</v>
      </c>
      <c r="D225" s="28" t="str">
        <f t="shared" si="55"/>
        <v>Yes</v>
      </c>
      <c r="E225" s="28" t="s">
        <v>653</v>
      </c>
      <c r="F225" s="11">
        <v>0</v>
      </c>
      <c r="G225" s="11">
        <v>0</v>
      </c>
      <c r="H225" s="37">
        <f t="shared" si="56"/>
        <v>9215.31</v>
      </c>
      <c r="I225" s="37">
        <f t="shared" si="57"/>
        <v>9338.5761073459635</v>
      </c>
      <c r="J225" s="37">
        <f t="shared" si="58"/>
        <v>9499.5528461384074</v>
      </c>
      <c r="K225" s="37">
        <f t="shared" si="59"/>
        <v>9663.304473750557</v>
      </c>
      <c r="L225" s="37">
        <f t="shared" si="60"/>
        <v>9829.8788232297193</v>
      </c>
      <c r="M225" s="25">
        <f t="shared" si="62"/>
        <v>0</v>
      </c>
      <c r="N225" s="25">
        <f t="shared" si="62"/>
        <v>0</v>
      </c>
      <c r="O225" s="25">
        <f t="shared" si="62"/>
        <v>0</v>
      </c>
      <c r="P225" s="25">
        <f t="shared" si="62"/>
        <v>0</v>
      </c>
      <c r="Q225" s="25">
        <f t="shared" si="62"/>
        <v>0</v>
      </c>
      <c r="R225" s="38">
        <v>9748.0300000000007</v>
      </c>
      <c r="S225" s="37">
        <f t="shared" si="63"/>
        <v>9215.31</v>
      </c>
      <c r="T225" s="37">
        <f t="shared" si="64"/>
        <v>9338.58</v>
      </c>
      <c r="U225" s="37">
        <f t="shared" si="65"/>
        <v>9499.5499999999993</v>
      </c>
      <c r="V225" s="37">
        <f t="shared" si="66"/>
        <v>9663.2999999999993</v>
      </c>
      <c r="W225" s="37">
        <f t="shared" si="67"/>
        <v>9829.8799999999992</v>
      </c>
      <c r="X225" s="25"/>
      <c r="Y225" s="38">
        <v>9748.0300000000007</v>
      </c>
      <c r="Z225" s="25">
        <f t="shared" si="68"/>
        <v>9748.0300000000007</v>
      </c>
      <c r="AA225" s="25">
        <f t="shared" si="68"/>
        <v>9338.58</v>
      </c>
      <c r="AC225" s="25">
        <f t="shared" si="69"/>
        <v>9748.0300000000007</v>
      </c>
      <c r="AD225" s="25">
        <v>0</v>
      </c>
    </row>
    <row r="226" spans="1:30" x14ac:dyDescent="0.25">
      <c r="A226" s="30" t="s">
        <v>425</v>
      </c>
      <c r="B226" s="30" t="s">
        <v>871</v>
      </c>
      <c r="C226" s="27">
        <v>2519.16</v>
      </c>
      <c r="D226" s="28" t="str">
        <f t="shared" si="55"/>
        <v>Yes</v>
      </c>
      <c r="E226" s="28" t="s">
        <v>653</v>
      </c>
      <c r="F226" s="11">
        <v>0</v>
      </c>
      <c r="G226" s="11">
        <v>0</v>
      </c>
      <c r="H226" s="37">
        <f t="shared" si="56"/>
        <v>2519.16</v>
      </c>
      <c r="I226" s="37">
        <f t="shared" si="57"/>
        <v>2552.8568639125169</v>
      </c>
      <c r="J226" s="37">
        <f t="shared" si="58"/>
        <v>2596.862563264614</v>
      </c>
      <c r="K226" s="37">
        <f t="shared" si="59"/>
        <v>2641.6268251522147</v>
      </c>
      <c r="L226" s="37">
        <f t="shared" si="60"/>
        <v>2687.1627255434032</v>
      </c>
      <c r="M226" s="25">
        <f t="shared" si="62"/>
        <v>0</v>
      </c>
      <c r="N226" s="25">
        <f t="shared" si="62"/>
        <v>0</v>
      </c>
      <c r="O226" s="25">
        <f t="shared" si="62"/>
        <v>0</v>
      </c>
      <c r="P226" s="25">
        <f t="shared" si="62"/>
        <v>0</v>
      </c>
      <c r="Q226" s="25">
        <f t="shared" si="62"/>
        <v>0</v>
      </c>
      <c r="R226" s="38">
        <v>2501</v>
      </c>
      <c r="S226" s="37">
        <f t="shared" si="63"/>
        <v>2519.16</v>
      </c>
      <c r="T226" s="37">
        <f t="shared" si="64"/>
        <v>2552.86</v>
      </c>
      <c r="U226" s="37">
        <f t="shared" si="65"/>
        <v>2596.86</v>
      </c>
      <c r="V226" s="37">
        <f t="shared" si="66"/>
        <v>2641.63</v>
      </c>
      <c r="W226" s="37">
        <f t="shared" si="67"/>
        <v>2687.16</v>
      </c>
      <c r="X226" s="25"/>
      <c r="Y226" s="38">
        <v>2501</v>
      </c>
      <c r="Z226" s="25">
        <f t="shared" si="68"/>
        <v>2519.16</v>
      </c>
      <c r="AA226" s="25">
        <f t="shared" si="68"/>
        <v>2552.86</v>
      </c>
      <c r="AC226" s="25">
        <f t="shared" si="69"/>
        <v>2501</v>
      </c>
      <c r="AD226" s="25">
        <v>0</v>
      </c>
    </row>
    <row r="227" spans="1:30" x14ac:dyDescent="0.25">
      <c r="A227" s="30" t="s">
        <v>427</v>
      </c>
      <c r="B227" s="30" t="s">
        <v>872</v>
      </c>
      <c r="C227" s="27">
        <v>1936.62</v>
      </c>
      <c r="D227" s="28" t="str">
        <f t="shared" si="55"/>
        <v>Yes</v>
      </c>
      <c r="E227" s="28" t="s">
        <v>653</v>
      </c>
      <c r="F227" s="11">
        <v>6.4</v>
      </c>
      <c r="G227" s="11">
        <v>0</v>
      </c>
      <c r="H227" s="37">
        <f t="shared" si="56"/>
        <v>1936.62</v>
      </c>
      <c r="I227" s="37">
        <f t="shared" si="57"/>
        <v>1962.5246748083721</v>
      </c>
      <c r="J227" s="37">
        <f t="shared" si="58"/>
        <v>1996.3543313126268</v>
      </c>
      <c r="K227" s="37">
        <f t="shared" si="59"/>
        <v>2030.7671375086463</v>
      </c>
      <c r="L227" s="37">
        <f t="shared" si="60"/>
        <v>2065.7731456286483</v>
      </c>
      <c r="M227" s="25">
        <f t="shared" si="62"/>
        <v>-6.4</v>
      </c>
      <c r="N227" s="25">
        <f t="shared" si="62"/>
        <v>-6.4</v>
      </c>
      <c r="O227" s="25">
        <f t="shared" si="62"/>
        <v>-6.4</v>
      </c>
      <c r="P227" s="25">
        <f t="shared" si="62"/>
        <v>-6.4</v>
      </c>
      <c r="Q227" s="25">
        <f t="shared" si="62"/>
        <v>-6.4</v>
      </c>
      <c r="R227" s="38">
        <v>1946</v>
      </c>
      <c r="S227" s="37">
        <f t="shared" si="63"/>
        <v>1930.22</v>
      </c>
      <c r="T227" s="37">
        <f t="shared" si="64"/>
        <v>1956.12</v>
      </c>
      <c r="U227" s="37">
        <f t="shared" si="65"/>
        <v>1989.95</v>
      </c>
      <c r="V227" s="37">
        <f t="shared" si="66"/>
        <v>2024.37</v>
      </c>
      <c r="W227" s="37">
        <f t="shared" si="67"/>
        <v>2059.37</v>
      </c>
      <c r="X227" s="25"/>
      <c r="Y227" s="38">
        <v>1946</v>
      </c>
      <c r="Z227" s="25">
        <f t="shared" si="68"/>
        <v>1946</v>
      </c>
      <c r="AA227" s="25">
        <f t="shared" si="68"/>
        <v>1956.12</v>
      </c>
      <c r="AC227" s="25">
        <f t="shared" si="69"/>
        <v>1955.2</v>
      </c>
      <c r="AD227" s="25">
        <v>-9.1999999999999993</v>
      </c>
    </row>
    <row r="228" spans="1:30" x14ac:dyDescent="0.25">
      <c r="A228" s="30" t="s">
        <v>429</v>
      </c>
      <c r="B228" s="30" t="s">
        <v>873</v>
      </c>
      <c r="C228" s="27">
        <v>411.48</v>
      </c>
      <c r="D228" s="28" t="str">
        <f t="shared" si="55"/>
        <v>Yes</v>
      </c>
      <c r="E228" s="28" t="s">
        <v>653</v>
      </c>
      <c r="F228" s="11">
        <v>0</v>
      </c>
      <c r="G228" s="11">
        <v>0</v>
      </c>
      <c r="H228" s="37">
        <f t="shared" si="56"/>
        <v>411.48</v>
      </c>
      <c r="I228" s="37">
        <f t="shared" si="57"/>
        <v>416.98405117686951</v>
      </c>
      <c r="J228" s="37">
        <f t="shared" si="58"/>
        <v>424.17194919422485</v>
      </c>
      <c r="K228" s="37">
        <f t="shared" si="59"/>
        <v>431.48375093826252</v>
      </c>
      <c r="L228" s="37">
        <f t="shared" si="60"/>
        <v>438.9215922397147</v>
      </c>
      <c r="M228" s="25">
        <f t="shared" si="62"/>
        <v>0</v>
      </c>
      <c r="N228" s="25">
        <f t="shared" si="62"/>
        <v>0</v>
      </c>
      <c r="O228" s="25">
        <f t="shared" si="62"/>
        <v>0</v>
      </c>
      <c r="P228" s="25">
        <f t="shared" si="62"/>
        <v>0</v>
      </c>
      <c r="Q228" s="25">
        <f t="shared" si="62"/>
        <v>0</v>
      </c>
      <c r="R228" s="38">
        <v>415.32</v>
      </c>
      <c r="S228" s="37">
        <f t="shared" si="63"/>
        <v>411.48</v>
      </c>
      <c r="T228" s="37">
        <f t="shared" si="64"/>
        <v>416.98</v>
      </c>
      <c r="U228" s="37">
        <f t="shared" si="65"/>
        <v>424.17</v>
      </c>
      <c r="V228" s="37">
        <f t="shared" si="66"/>
        <v>431.48</v>
      </c>
      <c r="W228" s="37">
        <f t="shared" si="67"/>
        <v>438.92</v>
      </c>
      <c r="X228" s="25"/>
      <c r="Y228" s="38">
        <v>415.32</v>
      </c>
      <c r="Z228" s="25">
        <f t="shared" si="68"/>
        <v>415.32</v>
      </c>
      <c r="AA228" s="25">
        <f t="shared" si="68"/>
        <v>416.98</v>
      </c>
      <c r="AC228" s="25">
        <f t="shared" si="69"/>
        <v>415.32</v>
      </c>
      <c r="AD228" s="25">
        <v>0</v>
      </c>
    </row>
    <row r="229" spans="1:30" x14ac:dyDescent="0.25">
      <c r="A229" s="30" t="s">
        <v>431</v>
      </c>
      <c r="B229" s="30" t="s">
        <v>874</v>
      </c>
      <c r="C229" s="27">
        <v>2183.88</v>
      </c>
      <c r="D229" s="28" t="str">
        <f t="shared" si="55"/>
        <v>Yes</v>
      </c>
      <c r="E229" s="28" t="s">
        <v>653</v>
      </c>
      <c r="F229" s="11">
        <v>0</v>
      </c>
      <c r="G229" s="11">
        <v>0</v>
      </c>
      <c r="H229" s="37">
        <f t="shared" si="56"/>
        <v>2183.88</v>
      </c>
      <c r="I229" s="37">
        <f t="shared" si="57"/>
        <v>2213.0920814721053</v>
      </c>
      <c r="J229" s="37">
        <f t="shared" si="58"/>
        <v>2251.2409750322831</v>
      </c>
      <c r="K229" s="37">
        <f t="shared" si="59"/>
        <v>2290.0474725358531</v>
      </c>
      <c r="L229" s="37">
        <f t="shared" si="60"/>
        <v>2329.5229096443773</v>
      </c>
      <c r="M229" s="25">
        <f t="shared" si="62"/>
        <v>0</v>
      </c>
      <c r="N229" s="25">
        <f t="shared" si="62"/>
        <v>0</v>
      </c>
      <c r="O229" s="25">
        <f t="shared" si="62"/>
        <v>0</v>
      </c>
      <c r="P229" s="25">
        <f t="shared" si="62"/>
        <v>0</v>
      </c>
      <c r="Q229" s="25">
        <f t="shared" si="62"/>
        <v>0</v>
      </c>
      <c r="R229" s="38">
        <v>2055.7600000000002</v>
      </c>
      <c r="S229" s="37">
        <f t="shared" si="63"/>
        <v>2183.88</v>
      </c>
      <c r="T229" s="37">
        <f t="shared" si="64"/>
        <v>2213.09</v>
      </c>
      <c r="U229" s="37">
        <f t="shared" si="65"/>
        <v>2251.2399999999998</v>
      </c>
      <c r="V229" s="37">
        <f t="shared" si="66"/>
        <v>2290.0500000000002</v>
      </c>
      <c r="W229" s="37">
        <f t="shared" si="67"/>
        <v>2329.52</v>
      </c>
      <c r="X229" s="25"/>
      <c r="Y229" s="38">
        <v>2055.7600000000002</v>
      </c>
      <c r="Z229" s="25">
        <f t="shared" si="68"/>
        <v>2183.88</v>
      </c>
      <c r="AA229" s="25">
        <f t="shared" si="68"/>
        <v>2213.09</v>
      </c>
      <c r="AC229" s="25">
        <f t="shared" si="69"/>
        <v>2055.7600000000002</v>
      </c>
      <c r="AD229" s="25">
        <v>0</v>
      </c>
    </row>
    <row r="230" spans="1:30" x14ac:dyDescent="0.25">
      <c r="A230" s="30" t="s">
        <v>433</v>
      </c>
      <c r="B230" s="30" t="s">
        <v>875</v>
      </c>
      <c r="C230" s="27">
        <v>4579.03</v>
      </c>
      <c r="D230" s="28" t="str">
        <f t="shared" si="55"/>
        <v>Yes</v>
      </c>
      <c r="E230" s="28" t="s">
        <v>655</v>
      </c>
      <c r="F230" s="11">
        <v>4.9000000000000004</v>
      </c>
      <c r="G230" s="11">
        <v>0</v>
      </c>
      <c r="H230" s="37">
        <f t="shared" si="56"/>
        <v>4579.03</v>
      </c>
      <c r="I230" s="37">
        <f t="shared" si="57"/>
        <v>4640.2801590853032</v>
      </c>
      <c r="J230" s="37">
        <f t="shared" si="58"/>
        <v>4720.2684954768911</v>
      </c>
      <c r="K230" s="37">
        <f t="shared" si="59"/>
        <v>4801.6356567970051</v>
      </c>
      <c r="L230" s="37">
        <f t="shared" si="60"/>
        <v>4884.4054109881899</v>
      </c>
      <c r="M230" s="25">
        <f t="shared" si="62"/>
        <v>-4.9000000000000004</v>
      </c>
      <c r="N230" s="25">
        <f t="shared" si="62"/>
        <v>-4.9000000000000004</v>
      </c>
      <c r="O230" s="25">
        <f t="shared" si="62"/>
        <v>-4.9000000000000004</v>
      </c>
      <c r="P230" s="25">
        <f t="shared" si="62"/>
        <v>-4.9000000000000004</v>
      </c>
      <c r="Q230" s="25">
        <f t="shared" si="62"/>
        <v>-4.9000000000000004</v>
      </c>
      <c r="R230" s="38">
        <v>4729.93</v>
      </c>
      <c r="S230" s="37">
        <f t="shared" si="63"/>
        <v>4574.13</v>
      </c>
      <c r="T230" s="37">
        <f t="shared" si="64"/>
        <v>4635.38</v>
      </c>
      <c r="U230" s="37">
        <f t="shared" si="65"/>
        <v>4715.37</v>
      </c>
      <c r="V230" s="37">
        <f t="shared" si="66"/>
        <v>4796.74</v>
      </c>
      <c r="W230" s="37">
        <f t="shared" si="67"/>
        <v>4879.51</v>
      </c>
      <c r="X230" s="25"/>
      <c r="Y230" s="38">
        <v>4729.93</v>
      </c>
      <c r="Z230" s="25">
        <f t="shared" si="68"/>
        <v>4729.93</v>
      </c>
      <c r="AA230" s="25">
        <f t="shared" si="68"/>
        <v>4635.38</v>
      </c>
      <c r="AC230" s="25">
        <f t="shared" si="69"/>
        <v>4737.2300000000005</v>
      </c>
      <c r="AD230" s="25">
        <v>-7.3</v>
      </c>
    </row>
    <row r="231" spans="1:30" x14ac:dyDescent="0.25">
      <c r="A231" s="30" t="s">
        <v>435</v>
      </c>
      <c r="B231" s="30" t="s">
        <v>876</v>
      </c>
      <c r="C231" s="27">
        <v>28355.119999999999</v>
      </c>
      <c r="D231" s="28" t="str">
        <f t="shared" si="55"/>
        <v>Yes</v>
      </c>
      <c r="E231" s="28" t="s">
        <v>655</v>
      </c>
      <c r="F231" s="11">
        <v>8.18</v>
      </c>
      <c r="G231" s="11">
        <v>0</v>
      </c>
      <c r="H231" s="37">
        <f t="shared" si="56"/>
        <v>28355.119999999999</v>
      </c>
      <c r="I231" s="37">
        <f t="shared" si="57"/>
        <v>28734.404610688918</v>
      </c>
      <c r="J231" s="37">
        <f t="shared" si="58"/>
        <v>29229.723243015818</v>
      </c>
      <c r="K231" s="37">
        <f t="shared" si="59"/>
        <v>29733.58009114549</v>
      </c>
      <c r="L231" s="37">
        <f t="shared" si="60"/>
        <v>30246.122335346019</v>
      </c>
      <c r="M231" s="25">
        <f t="shared" si="62"/>
        <v>-8.18</v>
      </c>
      <c r="N231" s="25">
        <f t="shared" si="62"/>
        <v>-8.18</v>
      </c>
      <c r="O231" s="25">
        <f t="shared" si="62"/>
        <v>-8.18</v>
      </c>
      <c r="P231" s="25">
        <f t="shared" si="62"/>
        <v>-8.18</v>
      </c>
      <c r="Q231" s="25">
        <f t="shared" si="62"/>
        <v>-8.18</v>
      </c>
      <c r="R231" s="38">
        <v>30012.78</v>
      </c>
      <c r="S231" s="37">
        <f t="shared" si="63"/>
        <v>28346.94</v>
      </c>
      <c r="T231" s="37">
        <f t="shared" si="64"/>
        <v>28726.22</v>
      </c>
      <c r="U231" s="37">
        <f t="shared" si="65"/>
        <v>29221.54</v>
      </c>
      <c r="V231" s="37">
        <f t="shared" si="66"/>
        <v>29725.4</v>
      </c>
      <c r="W231" s="37">
        <f t="shared" si="67"/>
        <v>30237.94</v>
      </c>
      <c r="X231" s="25"/>
      <c r="Y231" s="38">
        <v>30012.78</v>
      </c>
      <c r="Z231" s="25">
        <f t="shared" si="68"/>
        <v>30012.78</v>
      </c>
      <c r="AA231" s="25">
        <f t="shared" si="68"/>
        <v>28726.22</v>
      </c>
      <c r="AC231" s="25">
        <f t="shared" si="69"/>
        <v>30015.94</v>
      </c>
      <c r="AD231" s="25">
        <v>-3.16</v>
      </c>
    </row>
    <row r="232" spans="1:30" x14ac:dyDescent="0.25">
      <c r="A232" s="30" t="s">
        <v>437</v>
      </c>
      <c r="B232" s="30" t="s">
        <v>877</v>
      </c>
      <c r="C232" s="27">
        <v>68.7</v>
      </c>
      <c r="D232" s="28" t="str">
        <f t="shared" si="55"/>
        <v>No</v>
      </c>
      <c r="E232" s="28" t="s">
        <v>653</v>
      </c>
      <c r="F232" s="11">
        <v>0</v>
      </c>
      <c r="G232" s="11">
        <v>44.17</v>
      </c>
      <c r="H232" s="37">
        <f t="shared" si="56"/>
        <v>68.7</v>
      </c>
      <c r="I232" s="37">
        <f t="shared" si="57"/>
        <v>68.7</v>
      </c>
      <c r="J232" s="37">
        <f t="shared" si="58"/>
        <v>68.7</v>
      </c>
      <c r="K232" s="37">
        <f t="shared" si="59"/>
        <v>68.7</v>
      </c>
      <c r="L232" s="37">
        <f t="shared" si="60"/>
        <v>68.7</v>
      </c>
      <c r="M232" s="25">
        <f t="shared" si="62"/>
        <v>44.17</v>
      </c>
      <c r="N232" s="25">
        <f t="shared" si="62"/>
        <v>44.17</v>
      </c>
      <c r="O232" s="25">
        <f t="shared" si="62"/>
        <v>44.17</v>
      </c>
      <c r="P232" s="25">
        <f t="shared" si="62"/>
        <v>44.17</v>
      </c>
      <c r="Q232" s="25">
        <f t="shared" si="62"/>
        <v>44.17</v>
      </c>
      <c r="R232" s="38">
        <v>107.66</v>
      </c>
      <c r="S232" s="37">
        <f t="shared" si="63"/>
        <v>112.87</v>
      </c>
      <c r="T232" s="37">
        <f t="shared" si="64"/>
        <v>112.87</v>
      </c>
      <c r="U232" s="37">
        <f t="shared" si="65"/>
        <v>112.87</v>
      </c>
      <c r="V232" s="37">
        <f t="shared" si="66"/>
        <v>112.87</v>
      </c>
      <c r="W232" s="37">
        <f t="shared" si="67"/>
        <v>112.87</v>
      </c>
      <c r="X232" s="25"/>
      <c r="Y232" s="38">
        <v>107.66</v>
      </c>
      <c r="Z232" s="25">
        <f t="shared" si="68"/>
        <v>112.87</v>
      </c>
      <c r="AA232" s="25">
        <f t="shared" si="68"/>
        <v>112.87</v>
      </c>
      <c r="AC232" s="25">
        <f t="shared" si="69"/>
        <v>75.58</v>
      </c>
      <c r="AD232" s="25">
        <v>32.08</v>
      </c>
    </row>
    <row r="233" spans="1:30" x14ac:dyDescent="0.25">
      <c r="A233" s="30" t="s">
        <v>439</v>
      </c>
      <c r="B233" s="30" t="s">
        <v>878</v>
      </c>
      <c r="C233" s="27">
        <v>29.4</v>
      </c>
      <c r="D233" s="28" t="str">
        <f t="shared" si="55"/>
        <v>No</v>
      </c>
      <c r="E233" s="28" t="s">
        <v>653</v>
      </c>
      <c r="F233" s="11">
        <v>0</v>
      </c>
      <c r="G233" s="11">
        <v>43.43</v>
      </c>
      <c r="H233" s="37">
        <f t="shared" si="56"/>
        <v>29.4</v>
      </c>
      <c r="I233" s="37">
        <f t="shared" si="57"/>
        <v>29.4</v>
      </c>
      <c r="J233" s="37">
        <f t="shared" si="58"/>
        <v>29.4</v>
      </c>
      <c r="K233" s="37">
        <f t="shared" si="59"/>
        <v>29.4</v>
      </c>
      <c r="L233" s="37">
        <f t="shared" si="60"/>
        <v>29.4</v>
      </c>
      <c r="M233" s="25">
        <f t="shared" si="62"/>
        <v>43.43</v>
      </c>
      <c r="N233" s="25">
        <f t="shared" si="62"/>
        <v>43.43</v>
      </c>
      <c r="O233" s="25">
        <f t="shared" si="62"/>
        <v>43.43</v>
      </c>
      <c r="P233" s="25">
        <f t="shared" si="62"/>
        <v>43.43</v>
      </c>
      <c r="Q233" s="25">
        <f t="shared" si="62"/>
        <v>43.43</v>
      </c>
      <c r="R233" s="38">
        <v>79.459999999999994</v>
      </c>
      <c r="S233" s="37">
        <f t="shared" si="63"/>
        <v>72.83</v>
      </c>
      <c r="T233" s="37">
        <f t="shared" si="64"/>
        <v>72.83</v>
      </c>
      <c r="U233" s="37">
        <f t="shared" si="65"/>
        <v>72.83</v>
      </c>
      <c r="V233" s="37">
        <f t="shared" si="66"/>
        <v>72.83</v>
      </c>
      <c r="W233" s="37">
        <f t="shared" si="67"/>
        <v>72.83</v>
      </c>
      <c r="X233" s="25"/>
      <c r="Y233" s="38">
        <v>79.459999999999994</v>
      </c>
      <c r="Z233" s="25">
        <f t="shared" si="68"/>
        <v>79.459999999999994</v>
      </c>
      <c r="AA233" s="25">
        <f t="shared" si="68"/>
        <v>72.83</v>
      </c>
      <c r="AC233" s="25">
        <f t="shared" si="69"/>
        <v>42.899999999999991</v>
      </c>
      <c r="AD233" s="25">
        <v>36.56</v>
      </c>
    </row>
    <row r="234" spans="1:30" x14ac:dyDescent="0.25">
      <c r="A234" s="30" t="s">
        <v>441</v>
      </c>
      <c r="B234" s="30" t="s">
        <v>879</v>
      </c>
      <c r="C234" s="27">
        <v>1378.6</v>
      </c>
      <c r="D234" s="28" t="str">
        <f t="shared" si="55"/>
        <v>Yes</v>
      </c>
      <c r="E234" s="28" t="s">
        <v>653</v>
      </c>
      <c r="F234" s="11">
        <v>0</v>
      </c>
      <c r="G234" s="11">
        <v>0</v>
      </c>
      <c r="H234" s="37">
        <f t="shared" si="56"/>
        <v>1378.6</v>
      </c>
      <c r="I234" s="37">
        <f t="shared" si="57"/>
        <v>1397.0404708671922</v>
      </c>
      <c r="J234" s="37">
        <f t="shared" si="58"/>
        <v>1421.1224097384036</v>
      </c>
      <c r="K234" s="37">
        <f t="shared" si="59"/>
        <v>1445.6194688526505</v>
      </c>
      <c r="L234" s="37">
        <f t="shared" si="60"/>
        <v>1470.538803979952</v>
      </c>
      <c r="M234" s="25">
        <f t="shared" ref="M234:Q265" si="70">-$F234+$G234</f>
        <v>0</v>
      </c>
      <c r="N234" s="25">
        <f t="shared" si="70"/>
        <v>0</v>
      </c>
      <c r="O234" s="25">
        <f t="shared" si="70"/>
        <v>0</v>
      </c>
      <c r="P234" s="25">
        <f t="shared" si="70"/>
        <v>0</v>
      </c>
      <c r="Q234" s="25">
        <f t="shared" si="70"/>
        <v>0</v>
      </c>
      <c r="R234" s="38">
        <v>1423.85</v>
      </c>
      <c r="S234" s="37">
        <f t="shared" si="63"/>
        <v>1378.6</v>
      </c>
      <c r="T234" s="37">
        <f t="shared" si="64"/>
        <v>1397.04</v>
      </c>
      <c r="U234" s="37">
        <f t="shared" si="65"/>
        <v>1421.12</v>
      </c>
      <c r="V234" s="37">
        <f t="shared" si="66"/>
        <v>1445.62</v>
      </c>
      <c r="W234" s="37">
        <f t="shared" si="67"/>
        <v>1470.54</v>
      </c>
      <c r="X234" s="25"/>
      <c r="Y234" s="38">
        <v>1423.85</v>
      </c>
      <c r="Z234" s="25">
        <f t="shared" si="68"/>
        <v>1423.85</v>
      </c>
      <c r="AA234" s="25">
        <f t="shared" si="68"/>
        <v>1397.04</v>
      </c>
      <c r="AC234" s="25">
        <f t="shared" si="69"/>
        <v>1423.85</v>
      </c>
      <c r="AD234" s="25">
        <v>0</v>
      </c>
    </row>
    <row r="235" spans="1:30" x14ac:dyDescent="0.25">
      <c r="A235" s="30" t="s">
        <v>443</v>
      </c>
      <c r="B235" s="30" t="s">
        <v>880</v>
      </c>
      <c r="C235" s="27">
        <v>1752.07</v>
      </c>
      <c r="D235" s="28" t="str">
        <f t="shared" si="55"/>
        <v>Yes</v>
      </c>
      <c r="E235" s="28" t="s">
        <v>653</v>
      </c>
      <c r="F235" s="11">
        <v>2</v>
      </c>
      <c r="G235" s="11">
        <v>0</v>
      </c>
      <c r="H235" s="37">
        <f t="shared" si="56"/>
        <v>1752.07</v>
      </c>
      <c r="I235" s="37">
        <f t="shared" si="57"/>
        <v>1775.5060915365455</v>
      </c>
      <c r="J235" s="37">
        <f t="shared" si="58"/>
        <v>1806.111954468566</v>
      </c>
      <c r="K235" s="37">
        <f t="shared" si="59"/>
        <v>1837.2453959035713</v>
      </c>
      <c r="L235" s="37">
        <f t="shared" si="60"/>
        <v>1868.915510147363</v>
      </c>
      <c r="M235" s="25">
        <f t="shared" si="70"/>
        <v>-2</v>
      </c>
      <c r="N235" s="25">
        <f t="shared" si="70"/>
        <v>-2</v>
      </c>
      <c r="O235" s="25">
        <f t="shared" si="70"/>
        <v>-2</v>
      </c>
      <c r="P235" s="25">
        <f t="shared" si="70"/>
        <v>-2</v>
      </c>
      <c r="Q235" s="25">
        <f t="shared" si="70"/>
        <v>-2</v>
      </c>
      <c r="R235" s="38">
        <v>1821.39</v>
      </c>
      <c r="S235" s="37">
        <f t="shared" si="63"/>
        <v>1750.07</v>
      </c>
      <c r="T235" s="37">
        <f t="shared" si="64"/>
        <v>1773.51</v>
      </c>
      <c r="U235" s="37">
        <f t="shared" si="65"/>
        <v>1804.11</v>
      </c>
      <c r="V235" s="37">
        <f t="shared" si="66"/>
        <v>1835.25</v>
      </c>
      <c r="W235" s="37">
        <f t="shared" si="67"/>
        <v>1866.92</v>
      </c>
      <c r="X235" s="25"/>
      <c r="Y235" s="38">
        <v>1821.39</v>
      </c>
      <c r="Z235" s="25">
        <f t="shared" si="68"/>
        <v>1821.39</v>
      </c>
      <c r="AA235" s="25">
        <f t="shared" si="68"/>
        <v>1773.51</v>
      </c>
      <c r="AC235" s="25">
        <f t="shared" si="69"/>
        <v>1828.39</v>
      </c>
      <c r="AD235" s="25">
        <v>-7</v>
      </c>
    </row>
    <row r="236" spans="1:30" x14ac:dyDescent="0.25">
      <c r="A236" s="30" t="s">
        <v>445</v>
      </c>
      <c r="B236" s="30" t="s">
        <v>881</v>
      </c>
      <c r="C236" s="27">
        <v>10197.5</v>
      </c>
      <c r="D236" s="28" t="str">
        <f t="shared" si="55"/>
        <v>Yes</v>
      </c>
      <c r="E236" s="28" t="s">
        <v>653</v>
      </c>
      <c r="F236" s="11">
        <v>32.410000000000004</v>
      </c>
      <c r="G236" s="11">
        <v>0</v>
      </c>
      <c r="H236" s="37">
        <f t="shared" si="56"/>
        <v>10197.5</v>
      </c>
      <c r="I236" s="37">
        <f t="shared" si="57"/>
        <v>10333.904106824455</v>
      </c>
      <c r="J236" s="37">
        <f t="shared" si="58"/>
        <v>10512.038135287517</v>
      </c>
      <c r="K236" s="37">
        <f t="shared" si="59"/>
        <v>10693.242806923621</v>
      </c>
      <c r="L236" s="37">
        <f t="shared" si="60"/>
        <v>10877.571052941797</v>
      </c>
      <c r="M236" s="25">
        <f t="shared" si="70"/>
        <v>-32.410000000000004</v>
      </c>
      <c r="N236" s="25">
        <f t="shared" si="70"/>
        <v>-32.410000000000004</v>
      </c>
      <c r="O236" s="25">
        <f t="shared" si="70"/>
        <v>-32.410000000000004</v>
      </c>
      <c r="P236" s="25">
        <f t="shared" si="70"/>
        <v>-32.410000000000004</v>
      </c>
      <c r="Q236" s="25">
        <f t="shared" si="70"/>
        <v>-32.410000000000004</v>
      </c>
      <c r="R236" s="38">
        <v>10491.81</v>
      </c>
      <c r="S236" s="37">
        <f t="shared" si="63"/>
        <v>10165.09</v>
      </c>
      <c r="T236" s="37">
        <f t="shared" si="64"/>
        <v>10301.49</v>
      </c>
      <c r="U236" s="37">
        <f t="shared" si="65"/>
        <v>10479.629999999999</v>
      </c>
      <c r="V236" s="37">
        <f t="shared" si="66"/>
        <v>10660.83</v>
      </c>
      <c r="W236" s="37">
        <f t="shared" si="67"/>
        <v>10845.16</v>
      </c>
      <c r="X236" s="25"/>
      <c r="Y236" s="38">
        <v>10491.81</v>
      </c>
      <c r="Z236" s="25">
        <f t="shared" si="68"/>
        <v>10491.81</v>
      </c>
      <c r="AA236" s="25">
        <f t="shared" si="68"/>
        <v>10301.49</v>
      </c>
      <c r="AC236" s="25">
        <f t="shared" si="69"/>
        <v>10517.09</v>
      </c>
      <c r="AD236" s="25">
        <v>-25.279999999999998</v>
      </c>
    </row>
    <row r="237" spans="1:30" x14ac:dyDescent="0.25">
      <c r="A237" s="30" t="s">
        <v>447</v>
      </c>
      <c r="B237" s="30" t="s">
        <v>882</v>
      </c>
      <c r="C237" s="27">
        <v>14035.07</v>
      </c>
      <c r="D237" s="28" t="str">
        <f t="shared" si="55"/>
        <v>Yes</v>
      </c>
      <c r="E237" s="28" t="s">
        <v>653</v>
      </c>
      <c r="F237" s="11">
        <v>0</v>
      </c>
      <c r="G237" s="11">
        <v>0</v>
      </c>
      <c r="H237" s="37">
        <f t="shared" si="56"/>
        <v>14035.07</v>
      </c>
      <c r="I237" s="37">
        <f t="shared" si="57"/>
        <v>14222.806326312204</v>
      </c>
      <c r="J237" s="37">
        <f t="shared" si="58"/>
        <v>14467.976569887696</v>
      </c>
      <c r="K237" s="37">
        <f t="shared" si="59"/>
        <v>14717.373015167395</v>
      </c>
      <c r="L237" s="37">
        <f t="shared" si="60"/>
        <v>14971.068512675834</v>
      </c>
      <c r="M237" s="25">
        <f t="shared" si="70"/>
        <v>0</v>
      </c>
      <c r="N237" s="25">
        <f t="shared" si="70"/>
        <v>0</v>
      </c>
      <c r="O237" s="25">
        <f t="shared" si="70"/>
        <v>0</v>
      </c>
      <c r="P237" s="25">
        <f t="shared" si="70"/>
        <v>0</v>
      </c>
      <c r="Q237" s="25">
        <f t="shared" si="70"/>
        <v>0</v>
      </c>
      <c r="R237" s="38">
        <v>14171.69</v>
      </c>
      <c r="S237" s="37">
        <f t="shared" si="63"/>
        <v>14035.07</v>
      </c>
      <c r="T237" s="37">
        <f t="shared" si="64"/>
        <v>14222.81</v>
      </c>
      <c r="U237" s="37">
        <f t="shared" si="65"/>
        <v>14467.98</v>
      </c>
      <c r="V237" s="37">
        <f t="shared" si="66"/>
        <v>14717.37</v>
      </c>
      <c r="W237" s="37">
        <f t="shared" si="67"/>
        <v>14971.07</v>
      </c>
      <c r="X237" s="25"/>
      <c r="Y237" s="38">
        <v>14171.69</v>
      </c>
      <c r="Z237" s="25">
        <f t="shared" si="68"/>
        <v>14171.69</v>
      </c>
      <c r="AA237" s="25">
        <f t="shared" si="68"/>
        <v>14222.81</v>
      </c>
      <c r="AC237" s="25">
        <f t="shared" si="69"/>
        <v>14171.69</v>
      </c>
      <c r="AD237" s="25">
        <v>0</v>
      </c>
    </row>
    <row r="238" spans="1:30" x14ac:dyDescent="0.25">
      <c r="A238" s="30" t="s">
        <v>449</v>
      </c>
      <c r="B238" s="30" t="s">
        <v>883</v>
      </c>
      <c r="C238" s="27">
        <v>858.68</v>
      </c>
      <c r="D238" s="28" t="str">
        <f t="shared" si="55"/>
        <v>Yes</v>
      </c>
      <c r="E238" s="28" t="s">
        <v>653</v>
      </c>
      <c r="F238" s="11">
        <v>0</v>
      </c>
      <c r="G238" s="11">
        <v>0</v>
      </c>
      <c r="H238" s="37">
        <f t="shared" si="56"/>
        <v>858.68</v>
      </c>
      <c r="I238" s="37">
        <f t="shared" si="57"/>
        <v>870.16590129424094</v>
      </c>
      <c r="J238" s="37">
        <f t="shared" si="58"/>
        <v>885.1656686451272</v>
      </c>
      <c r="K238" s="37">
        <f t="shared" si="59"/>
        <v>900.42399935760466</v>
      </c>
      <c r="L238" s="37">
        <f t="shared" si="60"/>
        <v>915.94535050159948</v>
      </c>
      <c r="M238" s="25">
        <f t="shared" si="70"/>
        <v>0</v>
      </c>
      <c r="N238" s="25">
        <f t="shared" si="70"/>
        <v>0</v>
      </c>
      <c r="O238" s="25">
        <f t="shared" si="70"/>
        <v>0</v>
      </c>
      <c r="P238" s="25">
        <f t="shared" si="70"/>
        <v>0</v>
      </c>
      <c r="Q238" s="25">
        <f t="shared" si="70"/>
        <v>0</v>
      </c>
      <c r="R238" s="38">
        <v>908.19</v>
      </c>
      <c r="S238" s="37">
        <f t="shared" si="63"/>
        <v>858.68</v>
      </c>
      <c r="T238" s="37">
        <f t="shared" si="64"/>
        <v>870.17</v>
      </c>
      <c r="U238" s="37">
        <f t="shared" si="65"/>
        <v>885.17</v>
      </c>
      <c r="V238" s="37">
        <f t="shared" si="66"/>
        <v>900.42</v>
      </c>
      <c r="W238" s="37">
        <f t="shared" si="67"/>
        <v>915.95</v>
      </c>
      <c r="X238" s="25"/>
      <c r="Y238" s="38">
        <v>908.19</v>
      </c>
      <c r="Z238" s="25">
        <f t="shared" si="68"/>
        <v>908.19</v>
      </c>
      <c r="AA238" s="25">
        <f t="shared" si="68"/>
        <v>870.17</v>
      </c>
      <c r="AC238" s="25">
        <f t="shared" si="69"/>
        <v>908.19</v>
      </c>
      <c r="AD238" s="25">
        <v>0</v>
      </c>
    </row>
    <row r="239" spans="1:30" x14ac:dyDescent="0.25">
      <c r="A239" s="30" t="s">
        <v>451</v>
      </c>
      <c r="B239" s="30" t="s">
        <v>884</v>
      </c>
      <c r="C239" s="27">
        <v>5159.3999999999996</v>
      </c>
      <c r="D239" s="28" t="str">
        <f t="shared" si="55"/>
        <v>Yes</v>
      </c>
      <c r="E239" s="28" t="s">
        <v>653</v>
      </c>
      <c r="F239" s="11">
        <v>30.25</v>
      </c>
      <c r="G239" s="11">
        <v>0</v>
      </c>
      <c r="H239" s="37">
        <f t="shared" si="56"/>
        <v>5159.3999999999996</v>
      </c>
      <c r="I239" s="37">
        <f t="shared" si="57"/>
        <v>5228.4133217700501</v>
      </c>
      <c r="J239" s="37">
        <f t="shared" si="58"/>
        <v>5318.5397945773384</v>
      </c>
      <c r="K239" s="37">
        <f t="shared" si="59"/>
        <v>5410.2198517324559</v>
      </c>
      <c r="L239" s="37">
        <f t="shared" si="60"/>
        <v>5503.4802736501979</v>
      </c>
      <c r="M239" s="25">
        <f t="shared" si="70"/>
        <v>-30.25</v>
      </c>
      <c r="N239" s="25">
        <f t="shared" si="70"/>
        <v>-30.25</v>
      </c>
      <c r="O239" s="25">
        <f t="shared" si="70"/>
        <v>-30.25</v>
      </c>
      <c r="P239" s="25">
        <f t="shared" si="70"/>
        <v>-30.25</v>
      </c>
      <c r="Q239" s="25">
        <f t="shared" si="70"/>
        <v>-30.25</v>
      </c>
      <c r="R239" s="38">
        <v>4990.01</v>
      </c>
      <c r="S239" s="37">
        <f t="shared" si="63"/>
        <v>5129.1499999999996</v>
      </c>
      <c r="T239" s="37">
        <f t="shared" si="64"/>
        <v>5198.16</v>
      </c>
      <c r="U239" s="37">
        <f t="shared" si="65"/>
        <v>5288.29</v>
      </c>
      <c r="V239" s="37">
        <f t="shared" si="66"/>
        <v>5379.97</v>
      </c>
      <c r="W239" s="37">
        <f t="shared" si="67"/>
        <v>5473.23</v>
      </c>
      <c r="X239" s="25"/>
      <c r="Y239" s="38">
        <v>4990.01</v>
      </c>
      <c r="Z239" s="25">
        <f t="shared" si="68"/>
        <v>5129.1499999999996</v>
      </c>
      <c r="AA239" s="25">
        <f t="shared" si="68"/>
        <v>5198.16</v>
      </c>
      <c r="AC239" s="25">
        <f t="shared" si="69"/>
        <v>5013.21</v>
      </c>
      <c r="AD239" s="25">
        <v>-23.2</v>
      </c>
    </row>
    <row r="240" spans="1:30" x14ac:dyDescent="0.25">
      <c r="A240" s="30" t="s">
        <v>453</v>
      </c>
      <c r="B240" s="30" t="s">
        <v>885</v>
      </c>
      <c r="C240" s="27">
        <v>3487.48</v>
      </c>
      <c r="D240" s="28" t="str">
        <f t="shared" si="55"/>
        <v>Yes</v>
      </c>
      <c r="E240" s="28" t="s">
        <v>653</v>
      </c>
      <c r="F240" s="11">
        <v>0</v>
      </c>
      <c r="G240" s="11">
        <v>0</v>
      </c>
      <c r="H240" s="37">
        <f t="shared" si="56"/>
        <v>3487.48</v>
      </c>
      <c r="I240" s="37">
        <f t="shared" si="57"/>
        <v>3534.1293350790047</v>
      </c>
      <c r="J240" s="37">
        <f t="shared" si="58"/>
        <v>3595.050037367248</v>
      </c>
      <c r="K240" s="37">
        <f t="shared" si="59"/>
        <v>3657.02088004805</v>
      </c>
      <c r="L240" s="37">
        <f t="shared" si="60"/>
        <v>3720.0599652575097</v>
      </c>
      <c r="M240" s="25">
        <f t="shared" si="70"/>
        <v>0</v>
      </c>
      <c r="N240" s="25">
        <f t="shared" si="70"/>
        <v>0</v>
      </c>
      <c r="O240" s="25">
        <f t="shared" si="70"/>
        <v>0</v>
      </c>
      <c r="P240" s="25">
        <f t="shared" si="70"/>
        <v>0</v>
      </c>
      <c r="Q240" s="25">
        <f t="shared" si="70"/>
        <v>0</v>
      </c>
      <c r="R240" s="38">
        <v>3951.74</v>
      </c>
      <c r="S240" s="37">
        <f t="shared" si="63"/>
        <v>3487.48</v>
      </c>
      <c r="T240" s="37">
        <f t="shared" si="64"/>
        <v>3534.13</v>
      </c>
      <c r="U240" s="37">
        <f t="shared" si="65"/>
        <v>3595.05</v>
      </c>
      <c r="V240" s="37">
        <f t="shared" si="66"/>
        <v>3657.02</v>
      </c>
      <c r="W240" s="37">
        <f t="shared" si="67"/>
        <v>3720.06</v>
      </c>
      <c r="X240" s="25"/>
      <c r="Y240" s="38">
        <v>3951.74</v>
      </c>
      <c r="Z240" s="25">
        <f t="shared" si="68"/>
        <v>3951.74</v>
      </c>
      <c r="AA240" s="25">
        <f t="shared" si="68"/>
        <v>3534.13</v>
      </c>
      <c r="AC240" s="25">
        <f t="shared" si="69"/>
        <v>3951.74</v>
      </c>
      <c r="AD240" s="25">
        <v>0</v>
      </c>
    </row>
    <row r="241" spans="1:30" x14ac:dyDescent="0.25">
      <c r="A241" s="30" t="s">
        <v>455</v>
      </c>
      <c r="B241" s="30" t="s">
        <v>886</v>
      </c>
      <c r="C241" s="27">
        <v>564.58000000000004</v>
      </c>
      <c r="D241" s="28" t="str">
        <f t="shared" si="55"/>
        <v>Yes</v>
      </c>
      <c r="E241" s="28" t="s">
        <v>653</v>
      </c>
      <c r="F241" s="11">
        <v>0</v>
      </c>
      <c r="G241" s="11">
        <v>0</v>
      </c>
      <c r="H241" s="37">
        <f t="shared" si="56"/>
        <v>564.58000000000004</v>
      </c>
      <c r="I241" s="37">
        <f t="shared" si="57"/>
        <v>572.13195201088024</v>
      </c>
      <c r="J241" s="37">
        <f t="shared" si="58"/>
        <v>581.99426236044394</v>
      </c>
      <c r="K241" s="37">
        <f t="shared" si="59"/>
        <v>592.02657748790762</v>
      </c>
      <c r="L241" s="37">
        <f t="shared" si="60"/>
        <v>602.23182790584747</v>
      </c>
      <c r="M241" s="25">
        <f t="shared" si="70"/>
        <v>0</v>
      </c>
      <c r="N241" s="25">
        <f t="shared" si="70"/>
        <v>0</v>
      </c>
      <c r="O241" s="25">
        <f t="shared" si="70"/>
        <v>0</v>
      </c>
      <c r="P241" s="25">
        <f t="shared" si="70"/>
        <v>0</v>
      </c>
      <c r="Q241" s="25">
        <f t="shared" si="70"/>
        <v>0</v>
      </c>
      <c r="R241" s="38">
        <v>545.29999999999995</v>
      </c>
      <c r="S241" s="37">
        <f t="shared" si="63"/>
        <v>564.58000000000004</v>
      </c>
      <c r="T241" s="37">
        <f t="shared" si="64"/>
        <v>572.13</v>
      </c>
      <c r="U241" s="37">
        <f t="shared" si="65"/>
        <v>581.99</v>
      </c>
      <c r="V241" s="37">
        <f t="shared" si="66"/>
        <v>592.03</v>
      </c>
      <c r="W241" s="37">
        <f t="shared" si="67"/>
        <v>602.23</v>
      </c>
      <c r="X241" s="25"/>
      <c r="Y241" s="38">
        <v>545.29999999999995</v>
      </c>
      <c r="Z241" s="25">
        <f t="shared" si="68"/>
        <v>564.58000000000004</v>
      </c>
      <c r="AA241" s="25">
        <f t="shared" si="68"/>
        <v>572.13</v>
      </c>
      <c r="AC241" s="25">
        <f t="shared" si="69"/>
        <v>545.29999999999995</v>
      </c>
      <c r="AD241" s="25">
        <v>0</v>
      </c>
    </row>
    <row r="242" spans="1:30" x14ac:dyDescent="0.25">
      <c r="A242" s="30" t="s">
        <v>457</v>
      </c>
      <c r="B242" s="30" t="s">
        <v>887</v>
      </c>
      <c r="C242" s="27">
        <v>3398</v>
      </c>
      <c r="D242" s="28" t="str">
        <f t="shared" si="55"/>
        <v>Yes</v>
      </c>
      <c r="E242" s="28" t="s">
        <v>653</v>
      </c>
      <c r="F242" s="11">
        <v>16</v>
      </c>
      <c r="G242" s="11">
        <v>0</v>
      </c>
      <c r="H242" s="37">
        <f t="shared" si="56"/>
        <v>3398</v>
      </c>
      <c r="I242" s="37">
        <f t="shared" si="57"/>
        <v>3443.4524300063249</v>
      </c>
      <c r="J242" s="37">
        <f t="shared" si="58"/>
        <v>3502.8100596917857</v>
      </c>
      <c r="K242" s="37">
        <f t="shared" si="59"/>
        <v>3563.1908857981334</v>
      </c>
      <c r="L242" s="37">
        <f t="shared" si="60"/>
        <v>3624.6125460060039</v>
      </c>
      <c r="M242" s="25">
        <f t="shared" si="70"/>
        <v>-16</v>
      </c>
      <c r="N242" s="25">
        <f t="shared" si="70"/>
        <v>-16</v>
      </c>
      <c r="O242" s="25">
        <f t="shared" si="70"/>
        <v>-16</v>
      </c>
      <c r="P242" s="25">
        <f t="shared" si="70"/>
        <v>-16</v>
      </c>
      <c r="Q242" s="25">
        <f t="shared" si="70"/>
        <v>-16</v>
      </c>
      <c r="R242" s="38">
        <v>3606.66</v>
      </c>
      <c r="S242" s="37">
        <f t="shared" si="63"/>
        <v>3382</v>
      </c>
      <c r="T242" s="37">
        <f t="shared" si="64"/>
        <v>3427.45</v>
      </c>
      <c r="U242" s="37">
        <f t="shared" si="65"/>
        <v>3486.81</v>
      </c>
      <c r="V242" s="37">
        <f t="shared" si="66"/>
        <v>3547.19</v>
      </c>
      <c r="W242" s="37">
        <f t="shared" si="67"/>
        <v>3608.61</v>
      </c>
      <c r="X242" s="25"/>
      <c r="Y242" s="38">
        <v>3606.66</v>
      </c>
      <c r="Z242" s="25">
        <f t="shared" si="68"/>
        <v>3606.66</v>
      </c>
      <c r="AA242" s="25">
        <f t="shared" si="68"/>
        <v>3427.45</v>
      </c>
      <c r="AC242" s="25">
        <f t="shared" si="69"/>
        <v>3619.66</v>
      </c>
      <c r="AD242" s="25">
        <v>-13</v>
      </c>
    </row>
    <row r="243" spans="1:30" x14ac:dyDescent="0.25">
      <c r="A243" s="32" t="s">
        <v>459</v>
      </c>
      <c r="B243" s="30" t="s">
        <v>888</v>
      </c>
      <c r="C243" s="27">
        <v>2491.86</v>
      </c>
      <c r="D243" s="28" t="str">
        <f t="shared" si="55"/>
        <v>Yes</v>
      </c>
      <c r="E243" s="28" t="s">
        <v>653</v>
      </c>
      <c r="F243" s="11">
        <v>58.36</v>
      </c>
      <c r="G243" s="11">
        <v>0</v>
      </c>
      <c r="H243" s="37">
        <f t="shared" si="56"/>
        <v>2491.86</v>
      </c>
      <c r="I243" s="37">
        <f t="shared" si="57"/>
        <v>2525.191692829771</v>
      </c>
      <c r="J243" s="37">
        <f t="shared" si="58"/>
        <v>2568.720504809763</v>
      </c>
      <c r="K243" s="37">
        <f t="shared" si="59"/>
        <v>2612.9996588242902</v>
      </c>
      <c r="L243" s="37">
        <f t="shared" si="60"/>
        <v>2658.0420891378817</v>
      </c>
      <c r="M243" s="25">
        <f t="shared" si="70"/>
        <v>-58.36</v>
      </c>
      <c r="N243" s="25">
        <f t="shared" si="70"/>
        <v>-58.36</v>
      </c>
      <c r="O243" s="25">
        <f t="shared" si="70"/>
        <v>-58.36</v>
      </c>
      <c r="P243" s="25">
        <f t="shared" si="70"/>
        <v>-58.36</v>
      </c>
      <c r="Q243" s="25">
        <f t="shared" si="70"/>
        <v>-58.36</v>
      </c>
      <c r="R243" s="38">
        <v>2470.59</v>
      </c>
      <c r="S243" s="37">
        <f t="shared" si="63"/>
        <v>2433.5</v>
      </c>
      <c r="T243" s="37">
        <f t="shared" si="64"/>
        <v>2466.83</v>
      </c>
      <c r="U243" s="37">
        <f t="shared" si="65"/>
        <v>2510.36</v>
      </c>
      <c r="V243" s="37">
        <f t="shared" si="66"/>
        <v>2554.64</v>
      </c>
      <c r="W243" s="37">
        <f t="shared" si="67"/>
        <v>2599.6799999999998</v>
      </c>
      <c r="X243" s="25"/>
      <c r="Y243" s="38">
        <v>2470.59</v>
      </c>
      <c r="Z243" s="25">
        <f t="shared" si="68"/>
        <v>2470.59</v>
      </c>
      <c r="AA243" s="25">
        <f t="shared" si="68"/>
        <v>2466.83</v>
      </c>
      <c r="AC243" s="25">
        <f t="shared" si="69"/>
        <v>2529.19</v>
      </c>
      <c r="AD243" s="25">
        <v>-58.6</v>
      </c>
    </row>
    <row r="244" spans="1:30" x14ac:dyDescent="0.25">
      <c r="A244" s="32" t="s">
        <v>461</v>
      </c>
      <c r="B244" s="30" t="s">
        <v>889</v>
      </c>
      <c r="C244" s="27">
        <v>1429.92</v>
      </c>
      <c r="D244" s="28" t="str">
        <f t="shared" si="55"/>
        <v>Yes</v>
      </c>
      <c r="E244" s="28" t="s">
        <v>653</v>
      </c>
      <c r="F244" s="11">
        <v>0</v>
      </c>
      <c r="G244" s="11">
        <v>0</v>
      </c>
      <c r="H244" s="37">
        <f t="shared" si="56"/>
        <v>1429.92</v>
      </c>
      <c r="I244" s="37">
        <f t="shared" si="57"/>
        <v>1449.0469389978352</v>
      </c>
      <c r="J244" s="37">
        <f t="shared" si="58"/>
        <v>1474.0253562549965</v>
      </c>
      <c r="K244" s="37">
        <f t="shared" si="59"/>
        <v>1499.4343470925446</v>
      </c>
      <c r="L244" s="37">
        <f t="shared" si="60"/>
        <v>1525.2813336624206</v>
      </c>
      <c r="M244" s="25">
        <f t="shared" si="70"/>
        <v>0</v>
      </c>
      <c r="N244" s="25">
        <f t="shared" si="70"/>
        <v>0</v>
      </c>
      <c r="O244" s="25">
        <f t="shared" si="70"/>
        <v>0</v>
      </c>
      <c r="P244" s="25">
        <f t="shared" si="70"/>
        <v>0</v>
      </c>
      <c r="Q244" s="25">
        <f t="shared" si="70"/>
        <v>0</v>
      </c>
      <c r="R244" s="38">
        <v>1445.08</v>
      </c>
      <c r="S244" s="37">
        <f t="shared" si="63"/>
        <v>1429.92</v>
      </c>
      <c r="T244" s="37">
        <f t="shared" si="64"/>
        <v>1449.05</v>
      </c>
      <c r="U244" s="37">
        <f t="shared" si="65"/>
        <v>1474.03</v>
      </c>
      <c r="V244" s="37">
        <f t="shared" si="66"/>
        <v>1499.43</v>
      </c>
      <c r="W244" s="37">
        <f t="shared" si="67"/>
        <v>1525.28</v>
      </c>
      <c r="X244" s="25"/>
      <c r="Y244" s="38">
        <v>1445.08</v>
      </c>
      <c r="Z244" s="25">
        <f t="shared" si="68"/>
        <v>1445.08</v>
      </c>
      <c r="AA244" s="25">
        <f t="shared" si="68"/>
        <v>1449.05</v>
      </c>
      <c r="AC244" s="25">
        <f t="shared" si="69"/>
        <v>1445.08</v>
      </c>
      <c r="AD244" s="25">
        <v>0</v>
      </c>
    </row>
    <row r="245" spans="1:30" x14ac:dyDescent="0.25">
      <c r="A245" s="30" t="s">
        <v>463</v>
      </c>
      <c r="B245" s="30" t="s">
        <v>890</v>
      </c>
      <c r="C245" s="27">
        <v>47.4</v>
      </c>
      <c r="D245" s="28" t="str">
        <f t="shared" si="55"/>
        <v>No</v>
      </c>
      <c r="E245" s="28" t="s">
        <v>653</v>
      </c>
      <c r="F245" s="11">
        <v>0</v>
      </c>
      <c r="G245" s="11">
        <v>14</v>
      </c>
      <c r="H245" s="37">
        <f t="shared" si="56"/>
        <v>47.4</v>
      </c>
      <c r="I245" s="37">
        <f t="shared" si="57"/>
        <v>47.4</v>
      </c>
      <c r="J245" s="37">
        <f t="shared" si="58"/>
        <v>47.4</v>
      </c>
      <c r="K245" s="37">
        <f t="shared" si="59"/>
        <v>47.4</v>
      </c>
      <c r="L245" s="37">
        <f t="shared" si="60"/>
        <v>47.4</v>
      </c>
      <c r="M245" s="25">
        <f t="shared" si="70"/>
        <v>14</v>
      </c>
      <c r="N245" s="25">
        <f t="shared" si="70"/>
        <v>14</v>
      </c>
      <c r="O245" s="25">
        <f t="shared" si="70"/>
        <v>14</v>
      </c>
      <c r="P245" s="25">
        <f t="shared" si="70"/>
        <v>14</v>
      </c>
      <c r="Q245" s="25">
        <f t="shared" si="70"/>
        <v>14</v>
      </c>
      <c r="R245" s="38">
        <v>52.69</v>
      </c>
      <c r="S245" s="37">
        <f t="shared" si="63"/>
        <v>61.4</v>
      </c>
      <c r="T245" s="37">
        <f t="shared" si="64"/>
        <v>61.4</v>
      </c>
      <c r="U245" s="37">
        <f t="shared" si="65"/>
        <v>61.4</v>
      </c>
      <c r="V245" s="37">
        <f t="shared" si="66"/>
        <v>61.4</v>
      </c>
      <c r="W245" s="37">
        <f t="shared" si="67"/>
        <v>61.4</v>
      </c>
      <c r="X245" s="25"/>
      <c r="Y245" s="38">
        <v>52.69</v>
      </c>
      <c r="Z245" s="25">
        <f t="shared" si="68"/>
        <v>61.4</v>
      </c>
      <c r="AA245" s="25">
        <f t="shared" si="68"/>
        <v>61.4</v>
      </c>
      <c r="AC245" s="25">
        <f t="shared" si="69"/>
        <v>37.69</v>
      </c>
      <c r="AD245" s="25">
        <v>15</v>
      </c>
    </row>
    <row r="246" spans="1:30" x14ac:dyDescent="0.25">
      <c r="A246" s="30" t="s">
        <v>465</v>
      </c>
      <c r="B246" s="30" t="s">
        <v>891</v>
      </c>
      <c r="C246" s="27">
        <v>768.56</v>
      </c>
      <c r="D246" s="28" t="str">
        <f t="shared" si="55"/>
        <v>Yes</v>
      </c>
      <c r="E246" s="28" t="s">
        <v>655</v>
      </c>
      <c r="F246" s="11">
        <v>43.76</v>
      </c>
      <c r="G246" s="11">
        <v>0</v>
      </c>
      <c r="H246" s="37">
        <f t="shared" si="56"/>
        <v>768.56</v>
      </c>
      <c r="I246" s="37">
        <f t="shared" si="57"/>
        <v>778.84043543427333</v>
      </c>
      <c r="J246" s="37">
        <f t="shared" si="58"/>
        <v>792.26595040515554</v>
      </c>
      <c r="K246" s="37">
        <f t="shared" si="59"/>
        <v>805.92289205091618</v>
      </c>
      <c r="L246" s="37">
        <f t="shared" si="60"/>
        <v>819.81524966403003</v>
      </c>
      <c r="M246" s="25">
        <f t="shared" si="70"/>
        <v>-43.76</v>
      </c>
      <c r="N246" s="25">
        <f t="shared" si="70"/>
        <v>-43.76</v>
      </c>
      <c r="O246" s="25">
        <f t="shared" si="70"/>
        <v>-43.76</v>
      </c>
      <c r="P246" s="25">
        <f t="shared" si="70"/>
        <v>-43.76</v>
      </c>
      <c r="Q246" s="25">
        <f t="shared" si="70"/>
        <v>-43.76</v>
      </c>
      <c r="R246" s="38">
        <v>720.37</v>
      </c>
      <c r="S246" s="37">
        <f t="shared" si="63"/>
        <v>724.8</v>
      </c>
      <c r="T246" s="37">
        <f t="shared" si="64"/>
        <v>735.08</v>
      </c>
      <c r="U246" s="37">
        <f t="shared" si="65"/>
        <v>748.51</v>
      </c>
      <c r="V246" s="37">
        <f t="shared" si="66"/>
        <v>762.16</v>
      </c>
      <c r="W246" s="37">
        <f t="shared" si="67"/>
        <v>776.06</v>
      </c>
      <c r="X246" s="25"/>
      <c r="Y246" s="38">
        <v>720.37</v>
      </c>
      <c r="Z246" s="25">
        <f t="shared" si="68"/>
        <v>724.8</v>
      </c>
      <c r="AA246" s="25">
        <f t="shared" si="68"/>
        <v>735.08</v>
      </c>
      <c r="AC246" s="25">
        <f t="shared" si="69"/>
        <v>774.12</v>
      </c>
      <c r="AD246" s="25">
        <v>-53.75</v>
      </c>
    </row>
    <row r="247" spans="1:30" x14ac:dyDescent="0.25">
      <c r="A247" s="30" t="s">
        <v>467</v>
      </c>
      <c r="B247" s="30" t="s">
        <v>892</v>
      </c>
      <c r="C247" s="27">
        <v>388.24</v>
      </c>
      <c r="D247" s="28" t="str">
        <f t="shared" si="55"/>
        <v>Yes</v>
      </c>
      <c r="E247" s="28" t="s">
        <v>653</v>
      </c>
      <c r="F247" s="11">
        <v>0</v>
      </c>
      <c r="G247" s="11">
        <v>0</v>
      </c>
      <c r="H247" s="37">
        <f t="shared" si="56"/>
        <v>388.24</v>
      </c>
      <c r="I247" s="37">
        <f t="shared" si="57"/>
        <v>393.43318758848017</v>
      </c>
      <c r="J247" s="37">
        <f t="shared" si="58"/>
        <v>400.21511994547939</v>
      </c>
      <c r="K247" s="37">
        <f t="shared" si="59"/>
        <v>407.11395806423405</v>
      </c>
      <c r="L247" s="37">
        <f t="shared" si="60"/>
        <v>414.13171714578311</v>
      </c>
      <c r="M247" s="25">
        <f t="shared" si="70"/>
        <v>0</v>
      </c>
      <c r="N247" s="25">
        <f t="shared" si="70"/>
        <v>0</v>
      </c>
      <c r="O247" s="25">
        <f t="shared" si="70"/>
        <v>0</v>
      </c>
      <c r="P247" s="25">
        <f t="shared" si="70"/>
        <v>0</v>
      </c>
      <c r="Q247" s="25">
        <f t="shared" si="70"/>
        <v>0</v>
      </c>
      <c r="R247" s="38">
        <v>440.04</v>
      </c>
      <c r="S247" s="37">
        <f t="shared" si="63"/>
        <v>388.24</v>
      </c>
      <c r="T247" s="37">
        <f t="shared" si="64"/>
        <v>393.43</v>
      </c>
      <c r="U247" s="37">
        <f t="shared" si="65"/>
        <v>400.22</v>
      </c>
      <c r="V247" s="37">
        <f t="shared" si="66"/>
        <v>407.11</v>
      </c>
      <c r="W247" s="37">
        <f t="shared" si="67"/>
        <v>414.13</v>
      </c>
      <c r="X247" s="25"/>
      <c r="Y247" s="38">
        <v>440.04</v>
      </c>
      <c r="Z247" s="25">
        <f t="shared" si="68"/>
        <v>440.04</v>
      </c>
      <c r="AA247" s="25">
        <f t="shared" si="68"/>
        <v>393.43</v>
      </c>
      <c r="AC247" s="25">
        <f t="shared" si="69"/>
        <v>440.04</v>
      </c>
      <c r="AD247" s="25">
        <v>0</v>
      </c>
    </row>
    <row r="248" spans="1:30" x14ac:dyDescent="0.25">
      <c r="A248" s="30" t="s">
        <v>469</v>
      </c>
      <c r="B248" s="30" t="s">
        <v>893</v>
      </c>
      <c r="C248" s="27">
        <v>1088.28</v>
      </c>
      <c r="D248" s="28" t="str">
        <f t="shared" si="55"/>
        <v>Yes</v>
      </c>
      <c r="E248" s="28" t="s">
        <v>655</v>
      </c>
      <c r="F248" s="11">
        <v>8.4</v>
      </c>
      <c r="G248" s="11">
        <v>24.02</v>
      </c>
      <c r="H248" s="37">
        <f t="shared" si="56"/>
        <v>1088.28</v>
      </c>
      <c r="I248" s="37">
        <f t="shared" si="57"/>
        <v>1102.8370837337502</v>
      </c>
      <c r="J248" s="37">
        <f t="shared" si="58"/>
        <v>1121.8475961628535</v>
      </c>
      <c r="K248" s="37">
        <f t="shared" si="59"/>
        <v>1141.1858084745122</v>
      </c>
      <c r="L248" s="37">
        <f t="shared" si="60"/>
        <v>1160.8573695018877</v>
      </c>
      <c r="M248" s="25">
        <f t="shared" si="70"/>
        <v>15.62</v>
      </c>
      <c r="N248" s="25">
        <f t="shared" si="70"/>
        <v>15.62</v>
      </c>
      <c r="O248" s="25">
        <f t="shared" si="70"/>
        <v>15.62</v>
      </c>
      <c r="P248" s="25">
        <f t="shared" si="70"/>
        <v>15.62</v>
      </c>
      <c r="Q248" s="25">
        <f t="shared" si="70"/>
        <v>15.62</v>
      </c>
      <c r="R248" s="38">
        <v>1005.51</v>
      </c>
      <c r="S248" s="37">
        <f t="shared" si="63"/>
        <v>1103.9000000000001</v>
      </c>
      <c r="T248" s="37">
        <f t="shared" si="64"/>
        <v>1118.46</v>
      </c>
      <c r="U248" s="37">
        <f t="shared" si="65"/>
        <v>1137.47</v>
      </c>
      <c r="V248" s="37">
        <f t="shared" si="66"/>
        <v>1156.81</v>
      </c>
      <c r="W248" s="37">
        <f t="shared" si="67"/>
        <v>1176.48</v>
      </c>
      <c r="X248" s="25"/>
      <c r="Y248" s="38">
        <v>1005.51</v>
      </c>
      <c r="Z248" s="25">
        <f t="shared" si="68"/>
        <v>1103.9000000000001</v>
      </c>
      <c r="AA248" s="25">
        <f t="shared" si="68"/>
        <v>1118.46</v>
      </c>
      <c r="AC248" s="25">
        <f t="shared" si="69"/>
        <v>971.83</v>
      </c>
      <c r="AD248" s="25">
        <v>33.68</v>
      </c>
    </row>
    <row r="249" spans="1:30" x14ac:dyDescent="0.25">
      <c r="A249" s="30" t="s">
        <v>471</v>
      </c>
      <c r="B249" s="30" t="s">
        <v>894</v>
      </c>
      <c r="C249" s="27">
        <v>1623.85</v>
      </c>
      <c r="D249" s="28" t="str">
        <f t="shared" si="55"/>
        <v>Yes</v>
      </c>
      <c r="E249" s="28" t="s">
        <v>655</v>
      </c>
      <c r="F249" s="11">
        <v>16.8</v>
      </c>
      <c r="G249" s="11">
        <v>0</v>
      </c>
      <c r="H249" s="37">
        <f t="shared" si="56"/>
        <v>1623.85</v>
      </c>
      <c r="I249" s="37">
        <f t="shared" si="57"/>
        <v>1645.5709913083492</v>
      </c>
      <c r="J249" s="37">
        <f t="shared" si="58"/>
        <v>1673.9370557476475</v>
      </c>
      <c r="K249" s="37">
        <f t="shared" si="59"/>
        <v>1702.7920894359324</v>
      </c>
      <c r="L249" s="37">
        <f t="shared" si="60"/>
        <v>1732.1445211394494</v>
      </c>
      <c r="M249" s="25">
        <f t="shared" si="70"/>
        <v>-16.8</v>
      </c>
      <c r="N249" s="25">
        <f t="shared" si="70"/>
        <v>-16.8</v>
      </c>
      <c r="O249" s="25">
        <f t="shared" si="70"/>
        <v>-16.8</v>
      </c>
      <c r="P249" s="25">
        <f t="shared" si="70"/>
        <v>-16.8</v>
      </c>
      <c r="Q249" s="25">
        <f t="shared" si="70"/>
        <v>-16.8</v>
      </c>
      <c r="R249" s="38">
        <v>1713.99</v>
      </c>
      <c r="S249" s="37">
        <f t="shared" si="63"/>
        <v>1607.05</v>
      </c>
      <c r="T249" s="37">
        <f t="shared" si="64"/>
        <v>1628.77</v>
      </c>
      <c r="U249" s="37">
        <f t="shared" si="65"/>
        <v>1657.14</v>
      </c>
      <c r="V249" s="37">
        <f t="shared" si="66"/>
        <v>1685.99</v>
      </c>
      <c r="W249" s="37">
        <f t="shared" si="67"/>
        <v>1715.34</v>
      </c>
      <c r="X249" s="25"/>
      <c r="Y249" s="38">
        <v>1713.99</v>
      </c>
      <c r="Z249" s="25">
        <f t="shared" si="68"/>
        <v>1713.99</v>
      </c>
      <c r="AA249" s="25">
        <f t="shared" si="68"/>
        <v>1628.77</v>
      </c>
      <c r="AC249" s="25">
        <f t="shared" si="69"/>
        <v>1733.73</v>
      </c>
      <c r="AD249" s="25">
        <v>-19.740000000000002</v>
      </c>
    </row>
    <row r="250" spans="1:30" x14ac:dyDescent="0.25">
      <c r="A250" s="30" t="s">
        <v>473</v>
      </c>
      <c r="B250" s="30" t="s">
        <v>895</v>
      </c>
      <c r="C250" s="27">
        <v>233.7</v>
      </c>
      <c r="D250" s="28" t="str">
        <f t="shared" si="55"/>
        <v>Yes</v>
      </c>
      <c r="E250" s="28" t="s">
        <v>655</v>
      </c>
      <c r="F250" s="11">
        <v>0</v>
      </c>
      <c r="G250" s="11">
        <v>90.73</v>
      </c>
      <c r="H250" s="37">
        <f t="shared" si="56"/>
        <v>233.7</v>
      </c>
      <c r="I250" s="37">
        <f t="shared" si="57"/>
        <v>236.82602498307182</v>
      </c>
      <c r="J250" s="37">
        <f t="shared" si="58"/>
        <v>240.90839050911424</v>
      </c>
      <c r="K250" s="37">
        <f t="shared" si="59"/>
        <v>245.06112713685215</v>
      </c>
      <c r="L250" s="37">
        <f t="shared" si="60"/>
        <v>249.28544791100734</v>
      </c>
      <c r="M250" s="25">
        <f t="shared" si="70"/>
        <v>90.73</v>
      </c>
      <c r="N250" s="25">
        <f t="shared" si="70"/>
        <v>90.73</v>
      </c>
      <c r="O250" s="25">
        <f t="shared" si="70"/>
        <v>90.73</v>
      </c>
      <c r="P250" s="25">
        <f t="shared" si="70"/>
        <v>90.73</v>
      </c>
      <c r="Q250" s="25">
        <f t="shared" si="70"/>
        <v>90.73</v>
      </c>
      <c r="R250" s="38">
        <v>320.01</v>
      </c>
      <c r="S250" s="37">
        <f t="shared" si="63"/>
        <v>324.43</v>
      </c>
      <c r="T250" s="37">
        <f t="shared" si="64"/>
        <v>327.56</v>
      </c>
      <c r="U250" s="37">
        <f t="shared" si="65"/>
        <v>331.64</v>
      </c>
      <c r="V250" s="37">
        <f t="shared" si="66"/>
        <v>335.79</v>
      </c>
      <c r="W250" s="37">
        <f t="shared" si="67"/>
        <v>340.02</v>
      </c>
      <c r="X250" s="25"/>
      <c r="Y250" s="38">
        <v>320.01</v>
      </c>
      <c r="Z250" s="25">
        <f t="shared" si="68"/>
        <v>324.43</v>
      </c>
      <c r="AA250" s="25">
        <f t="shared" si="68"/>
        <v>327.56</v>
      </c>
      <c r="AC250" s="25">
        <f t="shared" si="69"/>
        <v>224.89</v>
      </c>
      <c r="AD250" s="25">
        <v>95.12</v>
      </c>
    </row>
    <row r="251" spans="1:30" x14ac:dyDescent="0.25">
      <c r="A251" s="30" t="s">
        <v>475</v>
      </c>
      <c r="B251" s="30" t="s">
        <v>896</v>
      </c>
      <c r="C251" s="27">
        <v>70.09</v>
      </c>
      <c r="D251" s="28" t="str">
        <f t="shared" si="55"/>
        <v>No</v>
      </c>
      <c r="E251" s="28" t="s">
        <v>653</v>
      </c>
      <c r="F251" s="11">
        <v>0</v>
      </c>
      <c r="G251" s="11">
        <v>21.14</v>
      </c>
      <c r="H251" s="37">
        <f t="shared" si="56"/>
        <v>70.09</v>
      </c>
      <c r="I251" s="37">
        <f t="shared" si="57"/>
        <v>70.09</v>
      </c>
      <c r="J251" s="37">
        <f t="shared" si="58"/>
        <v>70.09</v>
      </c>
      <c r="K251" s="37">
        <f t="shared" si="59"/>
        <v>70.09</v>
      </c>
      <c r="L251" s="37">
        <f t="shared" si="60"/>
        <v>70.09</v>
      </c>
      <c r="M251" s="25">
        <f t="shared" si="70"/>
        <v>21.14</v>
      </c>
      <c r="N251" s="25">
        <f t="shared" si="70"/>
        <v>21.14</v>
      </c>
      <c r="O251" s="25">
        <f t="shared" si="70"/>
        <v>21.14</v>
      </c>
      <c r="P251" s="25">
        <f t="shared" si="70"/>
        <v>21.14</v>
      </c>
      <c r="Q251" s="25">
        <f t="shared" si="70"/>
        <v>21.14</v>
      </c>
      <c r="R251" s="38">
        <v>91.05</v>
      </c>
      <c r="S251" s="37">
        <f t="shared" si="63"/>
        <v>91.23</v>
      </c>
      <c r="T251" s="37">
        <f t="shared" si="64"/>
        <v>91.23</v>
      </c>
      <c r="U251" s="37">
        <f t="shared" si="65"/>
        <v>91.23</v>
      </c>
      <c r="V251" s="37">
        <f t="shared" si="66"/>
        <v>91.23</v>
      </c>
      <c r="W251" s="37">
        <f t="shared" si="67"/>
        <v>91.23</v>
      </c>
      <c r="X251" s="25"/>
      <c r="Y251" s="38">
        <v>91.05</v>
      </c>
      <c r="Z251" s="25">
        <f t="shared" si="68"/>
        <v>91.23</v>
      </c>
      <c r="AA251" s="25">
        <f t="shared" si="68"/>
        <v>91.23</v>
      </c>
      <c r="AC251" s="25">
        <f t="shared" si="69"/>
        <v>67.169999999999987</v>
      </c>
      <c r="AD251" s="25">
        <v>23.880000000000003</v>
      </c>
    </row>
    <row r="252" spans="1:30" x14ac:dyDescent="0.25">
      <c r="A252" s="30" t="s">
        <v>477</v>
      </c>
      <c r="B252" s="30" t="s">
        <v>897</v>
      </c>
      <c r="C252" s="27">
        <v>27</v>
      </c>
      <c r="D252" s="28" t="str">
        <f t="shared" si="55"/>
        <v>No</v>
      </c>
      <c r="E252" s="28" t="s">
        <v>653</v>
      </c>
      <c r="F252" s="11">
        <v>0</v>
      </c>
      <c r="G252" s="11">
        <v>4.37</v>
      </c>
      <c r="H252" s="37">
        <f t="shared" si="56"/>
        <v>27</v>
      </c>
      <c r="I252" s="37">
        <f t="shared" si="57"/>
        <v>27</v>
      </c>
      <c r="J252" s="37">
        <f t="shared" si="58"/>
        <v>27</v>
      </c>
      <c r="K252" s="37">
        <f t="shared" si="59"/>
        <v>27</v>
      </c>
      <c r="L252" s="37">
        <f t="shared" si="60"/>
        <v>27</v>
      </c>
      <c r="M252" s="25">
        <f t="shared" si="70"/>
        <v>4.37</v>
      </c>
      <c r="N252" s="25">
        <f t="shared" si="70"/>
        <v>4.37</v>
      </c>
      <c r="O252" s="25">
        <f t="shared" si="70"/>
        <v>4.37</v>
      </c>
      <c r="P252" s="25">
        <f t="shared" si="70"/>
        <v>4.37</v>
      </c>
      <c r="Q252" s="25">
        <f t="shared" si="70"/>
        <v>4.37</v>
      </c>
      <c r="R252" s="38">
        <v>47.23</v>
      </c>
      <c r="S252" s="37">
        <f t="shared" si="63"/>
        <v>31.37</v>
      </c>
      <c r="T252" s="37">
        <f t="shared" si="64"/>
        <v>31.37</v>
      </c>
      <c r="U252" s="37">
        <f t="shared" si="65"/>
        <v>31.37</v>
      </c>
      <c r="V252" s="37">
        <f t="shared" si="66"/>
        <v>31.37</v>
      </c>
      <c r="W252" s="37">
        <f t="shared" si="67"/>
        <v>31.37</v>
      </c>
      <c r="X252" s="25"/>
      <c r="Y252" s="38">
        <v>47.23</v>
      </c>
      <c r="Z252" s="25">
        <f t="shared" si="68"/>
        <v>47.23</v>
      </c>
      <c r="AA252" s="25">
        <f t="shared" si="68"/>
        <v>31.37</v>
      </c>
      <c r="AC252" s="25">
        <f t="shared" si="69"/>
        <v>35.229999999999997</v>
      </c>
      <c r="AD252" s="25">
        <v>12</v>
      </c>
    </row>
    <row r="253" spans="1:30" x14ac:dyDescent="0.25">
      <c r="A253" s="30" t="s">
        <v>479</v>
      </c>
      <c r="B253" s="30" t="s">
        <v>898</v>
      </c>
      <c r="C253" s="27">
        <v>109.84</v>
      </c>
      <c r="D253" s="28" t="str">
        <f t="shared" si="55"/>
        <v>Yes</v>
      </c>
      <c r="E253" s="28" t="s">
        <v>653</v>
      </c>
      <c r="F253" s="11">
        <v>2.7</v>
      </c>
      <c r="G253" s="11">
        <v>0</v>
      </c>
      <c r="H253" s="37">
        <f t="shared" si="56"/>
        <v>109.84</v>
      </c>
      <c r="I253" s="37">
        <f t="shared" si="57"/>
        <v>111.30924511827391</v>
      </c>
      <c r="J253" s="37">
        <f t="shared" si="58"/>
        <v>113.22797438391576</v>
      </c>
      <c r="K253" s="37">
        <f t="shared" si="59"/>
        <v>115.17977836847174</v>
      </c>
      <c r="L253" s="37">
        <f t="shared" si="60"/>
        <v>117.16522720815171</v>
      </c>
      <c r="M253" s="25">
        <f t="shared" si="70"/>
        <v>-2.7</v>
      </c>
      <c r="N253" s="25">
        <f t="shared" si="70"/>
        <v>-2.7</v>
      </c>
      <c r="O253" s="25">
        <f t="shared" si="70"/>
        <v>-2.7</v>
      </c>
      <c r="P253" s="25">
        <f t="shared" si="70"/>
        <v>-2.7</v>
      </c>
      <c r="Q253" s="25">
        <f t="shared" si="70"/>
        <v>-2.7</v>
      </c>
      <c r="R253" s="38">
        <v>94.6</v>
      </c>
      <c r="S253" s="37">
        <f t="shared" si="63"/>
        <v>107.14</v>
      </c>
      <c r="T253" s="37">
        <f t="shared" si="64"/>
        <v>108.61</v>
      </c>
      <c r="U253" s="37">
        <f t="shared" si="65"/>
        <v>110.53</v>
      </c>
      <c r="V253" s="37">
        <f t="shared" si="66"/>
        <v>112.48</v>
      </c>
      <c r="W253" s="37">
        <f t="shared" si="67"/>
        <v>114.47</v>
      </c>
      <c r="X253" s="25"/>
      <c r="Y253" s="38">
        <v>94.6</v>
      </c>
      <c r="Z253" s="25">
        <f t="shared" si="68"/>
        <v>107.14</v>
      </c>
      <c r="AA253" s="25">
        <f t="shared" si="68"/>
        <v>108.61</v>
      </c>
      <c r="AC253" s="25">
        <f t="shared" si="69"/>
        <v>104.6</v>
      </c>
      <c r="AD253" s="25">
        <v>-10</v>
      </c>
    </row>
    <row r="254" spans="1:30" x14ac:dyDescent="0.25">
      <c r="A254" s="30" t="s">
        <v>481</v>
      </c>
      <c r="B254" s="30" t="s">
        <v>899</v>
      </c>
      <c r="C254" s="27">
        <v>461.11</v>
      </c>
      <c r="D254" s="28" t="str">
        <f t="shared" si="55"/>
        <v>Yes</v>
      </c>
      <c r="E254" s="28" t="s">
        <v>653</v>
      </c>
      <c r="F254" s="11">
        <v>20</v>
      </c>
      <c r="G254" s="11">
        <v>0</v>
      </c>
      <c r="H254" s="37">
        <f t="shared" si="56"/>
        <v>461.11</v>
      </c>
      <c r="I254" s="37">
        <f t="shared" si="57"/>
        <v>467.2779134785805</v>
      </c>
      <c r="J254" s="37">
        <f t="shared" si="58"/>
        <v>475.3327682826602</v>
      </c>
      <c r="K254" s="37">
        <f t="shared" si="59"/>
        <v>483.52647126261837</v>
      </c>
      <c r="L254" s="37">
        <f t="shared" si="60"/>
        <v>491.86141585898423</v>
      </c>
      <c r="M254" s="25">
        <f t="shared" si="70"/>
        <v>-20</v>
      </c>
      <c r="N254" s="25">
        <f t="shared" si="70"/>
        <v>-20</v>
      </c>
      <c r="O254" s="25">
        <f t="shared" si="70"/>
        <v>-20</v>
      </c>
      <c r="P254" s="25">
        <f t="shared" si="70"/>
        <v>-20</v>
      </c>
      <c r="Q254" s="25">
        <f t="shared" si="70"/>
        <v>-20</v>
      </c>
      <c r="R254" s="38">
        <v>437.57</v>
      </c>
      <c r="S254" s="37">
        <f t="shared" si="63"/>
        <v>441.11</v>
      </c>
      <c r="T254" s="37">
        <f t="shared" si="64"/>
        <v>447.28</v>
      </c>
      <c r="U254" s="37">
        <f t="shared" si="65"/>
        <v>455.33</v>
      </c>
      <c r="V254" s="37">
        <f t="shared" si="66"/>
        <v>463.53</v>
      </c>
      <c r="W254" s="37">
        <f t="shared" si="67"/>
        <v>471.86</v>
      </c>
      <c r="X254" s="25"/>
      <c r="Y254" s="38">
        <v>437.57</v>
      </c>
      <c r="Z254" s="25">
        <f t="shared" si="68"/>
        <v>441.11</v>
      </c>
      <c r="AA254" s="25">
        <f t="shared" si="68"/>
        <v>447.28</v>
      </c>
      <c r="AC254" s="25">
        <f t="shared" si="69"/>
        <v>468.57</v>
      </c>
      <c r="AD254" s="25">
        <v>-31</v>
      </c>
    </row>
    <row r="255" spans="1:30" x14ac:dyDescent="0.25">
      <c r="A255" s="30" t="s">
        <v>483</v>
      </c>
      <c r="B255" s="30" t="s">
        <v>900</v>
      </c>
      <c r="C255" s="27">
        <v>249.69</v>
      </c>
      <c r="D255" s="28" t="str">
        <f t="shared" si="55"/>
        <v>Yes</v>
      </c>
      <c r="E255" s="28" t="s">
        <v>653</v>
      </c>
      <c r="F255" s="11">
        <v>3</v>
      </c>
      <c r="G255" s="11">
        <v>0</v>
      </c>
      <c r="H255" s="37">
        <f t="shared" si="56"/>
        <v>249.69</v>
      </c>
      <c r="I255" s="37">
        <f t="shared" si="57"/>
        <v>253.02991090296624</v>
      </c>
      <c r="J255" s="37">
        <f t="shared" si="58"/>
        <v>257.39159617552735</v>
      </c>
      <c r="K255" s="37">
        <f t="shared" si="59"/>
        <v>261.8284674146368</v>
      </c>
      <c r="L255" s="37">
        <f t="shared" si="60"/>
        <v>266.34182066281312</v>
      </c>
      <c r="M255" s="25">
        <f t="shared" si="70"/>
        <v>-3</v>
      </c>
      <c r="N255" s="25">
        <f t="shared" si="70"/>
        <v>-3</v>
      </c>
      <c r="O255" s="25">
        <f t="shared" si="70"/>
        <v>-3</v>
      </c>
      <c r="P255" s="25">
        <f t="shared" si="70"/>
        <v>-3</v>
      </c>
      <c r="Q255" s="25">
        <f t="shared" si="70"/>
        <v>-3</v>
      </c>
      <c r="R255" s="38">
        <v>210.38</v>
      </c>
      <c r="S255" s="37">
        <f t="shared" si="63"/>
        <v>246.69</v>
      </c>
      <c r="T255" s="37">
        <f t="shared" si="64"/>
        <v>250.03</v>
      </c>
      <c r="U255" s="37">
        <f t="shared" si="65"/>
        <v>254.39</v>
      </c>
      <c r="V255" s="37">
        <f t="shared" si="66"/>
        <v>258.83</v>
      </c>
      <c r="W255" s="37">
        <f t="shared" si="67"/>
        <v>263.33999999999997</v>
      </c>
      <c r="X255" s="25"/>
      <c r="Y255" s="38">
        <v>210.38</v>
      </c>
      <c r="Z255" s="25">
        <f t="shared" si="68"/>
        <v>246.69</v>
      </c>
      <c r="AA255" s="25">
        <f t="shared" si="68"/>
        <v>250.03</v>
      </c>
      <c r="AC255" s="25">
        <f t="shared" si="69"/>
        <v>213.38</v>
      </c>
      <c r="AD255" s="25">
        <v>-3</v>
      </c>
    </row>
    <row r="256" spans="1:30" x14ac:dyDescent="0.25">
      <c r="A256" s="30" t="s">
        <v>485</v>
      </c>
      <c r="B256" s="30" t="s">
        <v>901</v>
      </c>
      <c r="C256" s="27">
        <v>1039.69</v>
      </c>
      <c r="D256" s="28" t="str">
        <f t="shared" si="55"/>
        <v>Yes</v>
      </c>
      <c r="E256" s="28" t="s">
        <v>653</v>
      </c>
      <c r="F256" s="11">
        <v>21.86</v>
      </c>
      <c r="G256" s="11">
        <v>0</v>
      </c>
      <c r="H256" s="37">
        <f t="shared" si="56"/>
        <v>1039.69</v>
      </c>
      <c r="I256" s="37">
        <f t="shared" si="57"/>
        <v>1053.5971327113821</v>
      </c>
      <c r="J256" s="37">
        <f t="shared" si="58"/>
        <v>1071.7588554917461</v>
      </c>
      <c r="K256" s="37">
        <f t="shared" si="59"/>
        <v>1090.2336468674107</v>
      </c>
      <c r="L256" s="37">
        <f t="shared" si="60"/>
        <v>1109.0269034599712</v>
      </c>
      <c r="M256" s="25">
        <f t="shared" si="70"/>
        <v>-21.86</v>
      </c>
      <c r="N256" s="25">
        <f t="shared" si="70"/>
        <v>-21.86</v>
      </c>
      <c r="O256" s="25">
        <f t="shared" si="70"/>
        <v>-21.86</v>
      </c>
      <c r="P256" s="25">
        <f t="shared" si="70"/>
        <v>-21.86</v>
      </c>
      <c r="Q256" s="25">
        <f t="shared" si="70"/>
        <v>-21.86</v>
      </c>
      <c r="R256" s="38">
        <v>1019.65</v>
      </c>
      <c r="S256" s="37">
        <f t="shared" si="63"/>
        <v>1017.83</v>
      </c>
      <c r="T256" s="37">
        <f t="shared" si="64"/>
        <v>1031.74</v>
      </c>
      <c r="U256" s="37">
        <f t="shared" si="65"/>
        <v>1049.9000000000001</v>
      </c>
      <c r="V256" s="37">
        <f t="shared" si="66"/>
        <v>1068.3699999999999</v>
      </c>
      <c r="W256" s="37">
        <f t="shared" si="67"/>
        <v>1087.17</v>
      </c>
      <c r="X256" s="25"/>
      <c r="Y256" s="38">
        <v>1019.65</v>
      </c>
      <c r="Z256" s="25">
        <f t="shared" si="68"/>
        <v>1019.65</v>
      </c>
      <c r="AA256" s="25">
        <f t="shared" si="68"/>
        <v>1031.74</v>
      </c>
      <c r="AC256" s="25">
        <f t="shared" si="69"/>
        <v>1039.95</v>
      </c>
      <c r="AD256" s="25">
        <v>-20.3</v>
      </c>
    </row>
    <row r="257" spans="1:30" x14ac:dyDescent="0.25">
      <c r="A257" s="30" t="s">
        <v>487</v>
      </c>
      <c r="B257" s="30" t="s">
        <v>902</v>
      </c>
      <c r="C257" s="27">
        <v>5348.94</v>
      </c>
      <c r="D257" s="28" t="str">
        <f t="shared" si="55"/>
        <v>Yes</v>
      </c>
      <c r="E257" s="28" t="s">
        <v>653</v>
      </c>
      <c r="F257" s="11">
        <v>0</v>
      </c>
      <c r="G257" s="11">
        <v>0</v>
      </c>
      <c r="H257" s="37">
        <f t="shared" si="56"/>
        <v>5348.94</v>
      </c>
      <c r="I257" s="37">
        <f t="shared" si="57"/>
        <v>5420.4886524302619</v>
      </c>
      <c r="J257" s="37">
        <f t="shared" si="58"/>
        <v>5513.9260861353087</v>
      </c>
      <c r="K257" s="37">
        <f t="shared" si="59"/>
        <v>5608.97417795205</v>
      </c>
      <c r="L257" s="37">
        <f t="shared" si="60"/>
        <v>5705.6606921228231</v>
      </c>
      <c r="M257" s="25">
        <f t="shared" si="70"/>
        <v>0</v>
      </c>
      <c r="N257" s="25">
        <f t="shared" si="70"/>
        <v>0</v>
      </c>
      <c r="O257" s="25">
        <f t="shared" si="70"/>
        <v>0</v>
      </c>
      <c r="P257" s="25">
        <f t="shared" si="70"/>
        <v>0</v>
      </c>
      <c r="Q257" s="25">
        <f t="shared" si="70"/>
        <v>0</v>
      </c>
      <c r="R257" s="38">
        <v>5705.5</v>
      </c>
      <c r="S257" s="37">
        <f t="shared" si="63"/>
        <v>5348.94</v>
      </c>
      <c r="T257" s="37">
        <f t="shared" si="64"/>
        <v>5420.49</v>
      </c>
      <c r="U257" s="37">
        <f t="shared" si="65"/>
        <v>5513.93</v>
      </c>
      <c r="V257" s="37">
        <f t="shared" si="66"/>
        <v>5608.97</v>
      </c>
      <c r="W257" s="37">
        <f t="shared" si="67"/>
        <v>5705.66</v>
      </c>
      <c r="X257" s="25"/>
      <c r="Y257" s="38">
        <v>5705.5</v>
      </c>
      <c r="Z257" s="25">
        <f t="shared" si="68"/>
        <v>5705.5</v>
      </c>
      <c r="AA257" s="25">
        <f t="shared" si="68"/>
        <v>5420.49</v>
      </c>
      <c r="AC257" s="25">
        <f t="shared" si="69"/>
        <v>5705.5</v>
      </c>
      <c r="AD257" s="25">
        <v>0</v>
      </c>
    </row>
    <row r="258" spans="1:30" x14ac:dyDescent="0.25">
      <c r="A258" s="30" t="s">
        <v>489</v>
      </c>
      <c r="B258" s="30" t="s">
        <v>903</v>
      </c>
      <c r="C258" s="27">
        <v>14771.38</v>
      </c>
      <c r="D258" s="28" t="str">
        <f t="shared" si="55"/>
        <v>Yes</v>
      </c>
      <c r="E258" s="28" t="s">
        <v>653</v>
      </c>
      <c r="F258" s="11">
        <v>2.4</v>
      </c>
      <c r="G258" s="11">
        <v>0</v>
      </c>
      <c r="H258" s="37">
        <f t="shared" si="56"/>
        <v>14771.38</v>
      </c>
      <c r="I258" s="37">
        <f t="shared" si="57"/>
        <v>14968.96537832455</v>
      </c>
      <c r="J258" s="37">
        <f t="shared" si="58"/>
        <v>15226.997780909371</v>
      </c>
      <c r="K258" s="37">
        <f t="shared" si="59"/>
        <v>15489.478100841914</v>
      </c>
      <c r="L258" s="37">
        <f t="shared" si="60"/>
        <v>15756.48301054213</v>
      </c>
      <c r="M258" s="25">
        <f t="shared" si="70"/>
        <v>-2.4</v>
      </c>
      <c r="N258" s="25">
        <f t="shared" si="70"/>
        <v>-2.4</v>
      </c>
      <c r="O258" s="25">
        <f t="shared" si="70"/>
        <v>-2.4</v>
      </c>
      <c r="P258" s="25">
        <f t="shared" si="70"/>
        <v>-2.4</v>
      </c>
      <c r="Q258" s="25">
        <f t="shared" si="70"/>
        <v>-2.4</v>
      </c>
      <c r="R258" s="43">
        <v>15248.77</v>
      </c>
      <c r="S258" s="37">
        <f t="shared" si="63"/>
        <v>14768.98</v>
      </c>
      <c r="T258" s="37">
        <f t="shared" si="64"/>
        <v>14966.57</v>
      </c>
      <c r="U258" s="37">
        <f t="shared" si="65"/>
        <v>15224.6</v>
      </c>
      <c r="V258" s="37">
        <f t="shared" si="66"/>
        <v>15487.08</v>
      </c>
      <c r="W258" s="37">
        <f t="shared" si="67"/>
        <v>15754.08</v>
      </c>
      <c r="X258" s="25"/>
      <c r="Y258" s="38">
        <v>15383.25</v>
      </c>
      <c r="Z258" s="25">
        <f t="shared" si="68"/>
        <v>15248.77</v>
      </c>
      <c r="AA258" s="25">
        <f t="shared" si="68"/>
        <v>14966.57</v>
      </c>
      <c r="AC258" s="25">
        <f t="shared" si="69"/>
        <v>15250.17</v>
      </c>
      <c r="AD258" s="25">
        <v>-1.4</v>
      </c>
    </row>
    <row r="259" spans="1:30" x14ac:dyDescent="0.25">
      <c r="A259" s="30" t="s">
        <v>491</v>
      </c>
      <c r="B259" s="30" t="s">
        <v>904</v>
      </c>
      <c r="C259" s="27">
        <v>6693.24</v>
      </c>
      <c r="D259" s="28" t="str">
        <f t="shared" si="55"/>
        <v>Yes</v>
      </c>
      <c r="E259" s="28" t="s">
        <v>653</v>
      </c>
      <c r="F259" s="11">
        <v>4</v>
      </c>
      <c r="G259" s="11">
        <v>0</v>
      </c>
      <c r="H259" s="37">
        <f t="shared" si="56"/>
        <v>6693.24</v>
      </c>
      <c r="I259" s="37">
        <f t="shared" si="57"/>
        <v>6782.770318603747</v>
      </c>
      <c r="J259" s="37">
        <f t="shared" si="58"/>
        <v>6899.6905249945394</v>
      </c>
      <c r="K259" s="37">
        <f t="shared" si="59"/>
        <v>7018.6261814183326</v>
      </c>
      <c r="L259" s="37">
        <f t="shared" si="60"/>
        <v>7139.6120298496826</v>
      </c>
      <c r="M259" s="25">
        <f t="shared" si="70"/>
        <v>-4</v>
      </c>
      <c r="N259" s="25">
        <f t="shared" si="70"/>
        <v>-4</v>
      </c>
      <c r="O259" s="25">
        <f t="shared" si="70"/>
        <v>-4</v>
      </c>
      <c r="P259" s="25">
        <f t="shared" si="70"/>
        <v>-4</v>
      </c>
      <c r="Q259" s="25">
        <f t="shared" si="70"/>
        <v>-4</v>
      </c>
      <c r="R259" s="38">
        <v>6775.33</v>
      </c>
      <c r="S259" s="37">
        <f t="shared" si="63"/>
        <v>6689.24</v>
      </c>
      <c r="T259" s="37">
        <f t="shared" si="64"/>
        <v>6778.77</v>
      </c>
      <c r="U259" s="37">
        <f t="shared" si="65"/>
        <v>6895.69</v>
      </c>
      <c r="V259" s="37">
        <f t="shared" si="66"/>
        <v>7014.63</v>
      </c>
      <c r="W259" s="37">
        <f t="shared" si="67"/>
        <v>7135.61</v>
      </c>
      <c r="X259" s="25"/>
      <c r="Y259" s="38">
        <v>6775.33</v>
      </c>
      <c r="Z259" s="25">
        <f t="shared" si="68"/>
        <v>6775.33</v>
      </c>
      <c r="AA259" s="25">
        <f t="shared" si="68"/>
        <v>6778.77</v>
      </c>
      <c r="AC259" s="25">
        <f t="shared" si="69"/>
        <v>6784.86</v>
      </c>
      <c r="AD259" s="25">
        <v>-9.5299999999999994</v>
      </c>
    </row>
    <row r="260" spans="1:30" x14ac:dyDescent="0.25">
      <c r="A260" s="30" t="s">
        <v>493</v>
      </c>
      <c r="B260" s="30" t="s">
        <v>905</v>
      </c>
      <c r="C260" s="27">
        <v>9579.35</v>
      </c>
      <c r="D260" s="28" t="str">
        <f t="shared" si="55"/>
        <v>Yes</v>
      </c>
      <c r="E260" s="28" t="s">
        <v>655</v>
      </c>
      <c r="F260" s="11">
        <v>237.86</v>
      </c>
      <c r="G260" s="11">
        <v>0</v>
      </c>
      <c r="H260" s="37">
        <f t="shared" si="56"/>
        <v>9579.35</v>
      </c>
      <c r="I260" s="37">
        <f t="shared" si="57"/>
        <v>9707.4855901651226</v>
      </c>
      <c r="J260" s="37">
        <f t="shared" si="58"/>
        <v>9874.8215259883764</v>
      </c>
      <c r="K260" s="37">
        <f t="shared" si="59"/>
        <v>10045.041969355605</v>
      </c>
      <c r="L260" s="37">
        <f t="shared" si="60"/>
        <v>10218.196642902476</v>
      </c>
      <c r="M260" s="25">
        <f t="shared" si="70"/>
        <v>-237.86</v>
      </c>
      <c r="N260" s="25">
        <f t="shared" si="70"/>
        <v>-237.86</v>
      </c>
      <c r="O260" s="25">
        <f t="shared" si="70"/>
        <v>-237.86</v>
      </c>
      <c r="P260" s="25">
        <f t="shared" si="70"/>
        <v>-237.86</v>
      </c>
      <c r="Q260" s="25">
        <f t="shared" si="70"/>
        <v>-237.86</v>
      </c>
      <c r="R260" s="38">
        <v>9819.27</v>
      </c>
      <c r="S260" s="37">
        <f t="shared" si="63"/>
        <v>9341.49</v>
      </c>
      <c r="T260" s="37">
        <f t="shared" si="64"/>
        <v>9469.6299999999992</v>
      </c>
      <c r="U260" s="37">
        <f t="shared" si="65"/>
        <v>9636.9599999999991</v>
      </c>
      <c r="V260" s="37">
        <f t="shared" si="66"/>
        <v>9807.18</v>
      </c>
      <c r="W260" s="37">
        <f t="shared" si="67"/>
        <v>9980.34</v>
      </c>
      <c r="X260" s="25"/>
      <c r="Y260" s="38">
        <v>9819.27</v>
      </c>
      <c r="Z260" s="25">
        <f t="shared" si="68"/>
        <v>9819.27</v>
      </c>
      <c r="AA260" s="25">
        <f t="shared" si="68"/>
        <v>9469.6299999999992</v>
      </c>
      <c r="AC260" s="25">
        <f t="shared" si="69"/>
        <v>10066.41</v>
      </c>
      <c r="AD260" s="25">
        <v>-247.14000000000001</v>
      </c>
    </row>
    <row r="261" spans="1:30" x14ac:dyDescent="0.25">
      <c r="A261" s="30" t="s">
        <v>495</v>
      </c>
      <c r="B261" s="30" t="s">
        <v>906</v>
      </c>
      <c r="C261" s="27">
        <v>876.61</v>
      </c>
      <c r="D261" s="28" t="str">
        <f t="shared" si="55"/>
        <v>Yes</v>
      </c>
      <c r="E261" s="28" t="s">
        <v>653</v>
      </c>
      <c r="F261" s="11">
        <v>0</v>
      </c>
      <c r="G261" s="11">
        <v>0</v>
      </c>
      <c r="H261" s="37">
        <f t="shared" si="56"/>
        <v>876.61</v>
      </c>
      <c r="I261" s="37">
        <f t="shared" si="57"/>
        <v>888.3357371006017</v>
      </c>
      <c r="J261" s="37">
        <f t="shared" si="58"/>
        <v>903.6487128977094</v>
      </c>
      <c r="K261" s="37">
        <f t="shared" si="59"/>
        <v>919.22565108872925</v>
      </c>
      <c r="L261" s="37">
        <f t="shared" si="60"/>
        <v>935.07110181116047</v>
      </c>
      <c r="M261" s="25">
        <f t="shared" si="70"/>
        <v>0</v>
      </c>
      <c r="N261" s="25">
        <f t="shared" si="70"/>
        <v>0</v>
      </c>
      <c r="O261" s="25">
        <f t="shared" si="70"/>
        <v>0</v>
      </c>
      <c r="P261" s="25">
        <f t="shared" si="70"/>
        <v>0</v>
      </c>
      <c r="Q261" s="25">
        <f t="shared" si="70"/>
        <v>0</v>
      </c>
      <c r="R261" s="38">
        <v>887.07</v>
      </c>
      <c r="S261" s="37">
        <f t="shared" si="63"/>
        <v>876.61</v>
      </c>
      <c r="T261" s="37">
        <f t="shared" si="64"/>
        <v>888.34</v>
      </c>
      <c r="U261" s="37">
        <f t="shared" si="65"/>
        <v>903.65</v>
      </c>
      <c r="V261" s="37">
        <f t="shared" si="66"/>
        <v>919.23</v>
      </c>
      <c r="W261" s="37">
        <f t="shared" si="67"/>
        <v>935.07</v>
      </c>
      <c r="X261" s="25"/>
      <c r="Y261" s="38">
        <v>887.07</v>
      </c>
      <c r="Z261" s="25">
        <f t="shared" si="68"/>
        <v>887.07</v>
      </c>
      <c r="AA261" s="25">
        <f t="shared" si="68"/>
        <v>888.34</v>
      </c>
      <c r="AC261" s="25">
        <f t="shared" si="69"/>
        <v>887.07</v>
      </c>
      <c r="AD261" s="25">
        <v>0</v>
      </c>
    </row>
    <row r="262" spans="1:30" x14ac:dyDescent="0.25">
      <c r="A262" s="30" t="s">
        <v>497</v>
      </c>
      <c r="B262" s="30" t="s">
        <v>907</v>
      </c>
      <c r="C262" s="27">
        <v>602.63</v>
      </c>
      <c r="D262" s="28" t="str">
        <f t="shared" si="55"/>
        <v>Yes</v>
      </c>
      <c r="E262" s="28" t="s">
        <v>653</v>
      </c>
      <c r="F262" s="11">
        <v>0</v>
      </c>
      <c r="G262" s="11">
        <v>214.64000000000001</v>
      </c>
      <c r="H262" s="37">
        <f t="shared" si="56"/>
        <v>602.63</v>
      </c>
      <c r="I262" s="37">
        <f t="shared" si="57"/>
        <v>610.69091756760201</v>
      </c>
      <c r="J262" s="37">
        <f t="shared" si="58"/>
        <v>621.21790060978833</v>
      </c>
      <c r="K262" s="37">
        <f t="shared" si="59"/>
        <v>631.92634594129754</v>
      </c>
      <c r="L262" s="37">
        <f t="shared" si="60"/>
        <v>642.81938157728018</v>
      </c>
      <c r="M262" s="25">
        <f t="shared" si="70"/>
        <v>214.64000000000001</v>
      </c>
      <c r="N262" s="25">
        <f t="shared" si="70"/>
        <v>214.64000000000001</v>
      </c>
      <c r="O262" s="25">
        <f t="shared" si="70"/>
        <v>214.64000000000001</v>
      </c>
      <c r="P262" s="25">
        <f t="shared" si="70"/>
        <v>214.64000000000001</v>
      </c>
      <c r="Q262" s="25">
        <f t="shared" si="70"/>
        <v>214.64000000000001</v>
      </c>
      <c r="R262" s="38">
        <v>842.46</v>
      </c>
      <c r="S262" s="37">
        <f t="shared" si="63"/>
        <v>817.27</v>
      </c>
      <c r="T262" s="37">
        <f t="shared" si="64"/>
        <v>825.33</v>
      </c>
      <c r="U262" s="37">
        <f t="shared" si="65"/>
        <v>835.86</v>
      </c>
      <c r="V262" s="37">
        <f t="shared" si="66"/>
        <v>846.57</v>
      </c>
      <c r="W262" s="37">
        <f t="shared" si="67"/>
        <v>857.46</v>
      </c>
      <c r="X262" s="25"/>
      <c r="Y262" s="38">
        <v>842.46</v>
      </c>
      <c r="Z262" s="25">
        <f t="shared" si="68"/>
        <v>842.46</v>
      </c>
      <c r="AA262" s="25">
        <f t="shared" si="68"/>
        <v>825.33</v>
      </c>
      <c r="AC262" s="25">
        <f t="shared" si="69"/>
        <v>625.05000000000007</v>
      </c>
      <c r="AD262" s="25">
        <v>217.41</v>
      </c>
    </row>
    <row r="263" spans="1:30" x14ac:dyDescent="0.25">
      <c r="A263" s="30" t="s">
        <v>499</v>
      </c>
      <c r="B263" s="30" t="s">
        <v>908</v>
      </c>
      <c r="C263" s="27">
        <v>2054.04</v>
      </c>
      <c r="D263" s="28" t="str">
        <f t="shared" si="55"/>
        <v>Yes</v>
      </c>
      <c r="E263" s="28" t="s">
        <v>653</v>
      </c>
      <c r="F263" s="11">
        <v>0</v>
      </c>
      <c r="G263" s="11">
        <v>0</v>
      </c>
      <c r="H263" s="37">
        <f t="shared" si="56"/>
        <v>2054.04</v>
      </c>
      <c r="I263" s="37">
        <f t="shared" si="57"/>
        <v>2081.5153117510863</v>
      </c>
      <c r="J263" s="37">
        <f t="shared" si="58"/>
        <v>2117.39610800745</v>
      </c>
      <c r="K263" s="37">
        <f t="shared" si="59"/>
        <v>2153.8954111432599</v>
      </c>
      <c r="L263" s="37">
        <f t="shared" si="60"/>
        <v>2191.0238828717397</v>
      </c>
      <c r="M263" s="25">
        <f t="shared" si="70"/>
        <v>0</v>
      </c>
      <c r="N263" s="25">
        <f t="shared" si="70"/>
        <v>0</v>
      </c>
      <c r="O263" s="25">
        <f t="shared" si="70"/>
        <v>0</v>
      </c>
      <c r="P263" s="25">
        <f t="shared" si="70"/>
        <v>0</v>
      </c>
      <c r="Q263" s="25">
        <f t="shared" si="70"/>
        <v>0</v>
      </c>
      <c r="R263" s="38">
        <v>2181.62</v>
      </c>
      <c r="S263" s="37">
        <f t="shared" si="63"/>
        <v>2054.04</v>
      </c>
      <c r="T263" s="37">
        <f t="shared" si="64"/>
        <v>2081.52</v>
      </c>
      <c r="U263" s="37">
        <f t="shared" si="65"/>
        <v>2117.4</v>
      </c>
      <c r="V263" s="37">
        <f t="shared" si="66"/>
        <v>2153.9</v>
      </c>
      <c r="W263" s="37">
        <f t="shared" si="67"/>
        <v>2191.02</v>
      </c>
      <c r="X263" s="25"/>
      <c r="Y263" s="38">
        <v>2181.62</v>
      </c>
      <c r="Z263" s="25">
        <f t="shared" si="68"/>
        <v>2181.62</v>
      </c>
      <c r="AA263" s="25">
        <f t="shared" si="68"/>
        <v>2081.52</v>
      </c>
      <c r="AC263" s="25">
        <f t="shared" si="69"/>
        <v>2181.62</v>
      </c>
      <c r="AD263" s="25">
        <v>0</v>
      </c>
    </row>
    <row r="264" spans="1:30" x14ac:dyDescent="0.25">
      <c r="A264" s="30" t="s">
        <v>501</v>
      </c>
      <c r="B264" s="30" t="s">
        <v>909</v>
      </c>
      <c r="C264" s="27">
        <v>1220.08</v>
      </c>
      <c r="D264" s="28" t="str">
        <f t="shared" si="55"/>
        <v>Yes</v>
      </c>
      <c r="E264" s="28" t="s">
        <v>655</v>
      </c>
      <c r="F264" s="11">
        <v>0</v>
      </c>
      <c r="G264" s="11">
        <v>0</v>
      </c>
      <c r="H264" s="37">
        <f t="shared" si="56"/>
        <v>1220.08</v>
      </c>
      <c r="I264" s="37">
        <f t="shared" si="57"/>
        <v>1236.4000708658377</v>
      </c>
      <c r="J264" s="37">
        <f t="shared" si="58"/>
        <v>1257.7129186664961</v>
      </c>
      <c r="K264" s="37">
        <f t="shared" si="59"/>
        <v>1279.3931536034686</v>
      </c>
      <c r="L264" s="37">
        <f t="shared" si="60"/>
        <v>1301.4471086318438</v>
      </c>
      <c r="M264" s="25">
        <f t="shared" si="70"/>
        <v>0</v>
      </c>
      <c r="N264" s="25">
        <f t="shared" si="70"/>
        <v>0</v>
      </c>
      <c r="O264" s="25">
        <f t="shared" si="70"/>
        <v>0</v>
      </c>
      <c r="P264" s="25">
        <f t="shared" si="70"/>
        <v>0</v>
      </c>
      <c r="Q264" s="25">
        <f t="shared" si="70"/>
        <v>0</v>
      </c>
      <c r="R264" s="38">
        <v>1306.9000000000001</v>
      </c>
      <c r="S264" s="37">
        <f t="shared" si="63"/>
        <v>1220.08</v>
      </c>
      <c r="T264" s="37">
        <f t="shared" si="64"/>
        <v>1236.4000000000001</v>
      </c>
      <c r="U264" s="37">
        <f t="shared" si="65"/>
        <v>1257.71</v>
      </c>
      <c r="V264" s="37">
        <f t="shared" si="66"/>
        <v>1279.3900000000001</v>
      </c>
      <c r="W264" s="37">
        <f t="shared" si="67"/>
        <v>1301.45</v>
      </c>
      <c r="X264" s="25"/>
      <c r="Y264" s="38">
        <v>1306.9000000000001</v>
      </c>
      <c r="Z264" s="25">
        <f t="shared" si="68"/>
        <v>1306.9000000000001</v>
      </c>
      <c r="AA264" s="25">
        <f t="shared" si="68"/>
        <v>1236.4000000000001</v>
      </c>
      <c r="AC264" s="25">
        <f t="shared" si="69"/>
        <v>1306.9000000000001</v>
      </c>
      <c r="AD264" s="25">
        <v>0</v>
      </c>
    </row>
    <row r="265" spans="1:30" x14ac:dyDescent="0.25">
      <c r="A265" s="30" t="s">
        <v>910</v>
      </c>
      <c r="B265" s="30" t="s">
        <v>911</v>
      </c>
      <c r="C265" s="27">
        <v>127.4</v>
      </c>
      <c r="D265" s="28" t="str">
        <f t="shared" ref="D265:D309" si="71">IF(C265&gt;100,"Yes","No")</f>
        <v>Yes</v>
      </c>
      <c r="E265" s="28" t="s">
        <v>653</v>
      </c>
      <c r="F265" s="11">
        <v>0</v>
      </c>
      <c r="G265" s="11">
        <v>0</v>
      </c>
      <c r="H265" s="37">
        <f t="shared" ref="H265:H310" si="72">(IF(D265="Yes",(C265*(1+SY202021Growth)),C265))</f>
        <v>127.4</v>
      </c>
      <c r="I265" s="37">
        <f t="shared" ref="I265:I310" si="73">(IF(D265="Yes",((C265*(1+SY202021Growth))*(1+SY202122Growth)),C265))</f>
        <v>129.10413171948375</v>
      </c>
      <c r="J265" s="37">
        <f t="shared" ref="J265:J310" si="74">(IF(D265="Yes",(((C265*(1+SY202021Growth))*(1+SY202122Growth))*(1+SY202223growth)),C265))</f>
        <v>131.32960612264083</v>
      </c>
      <c r="K265" s="37">
        <f t="shared" ref="K265:K310" si="75">(IF(D265="Yes",((((C265*(1+SY202021Growth))*(1+SY202122Growth))*(1+SY202223growth))*(1+SY202324growth)),C265))</f>
        <v>133.59344286364987</v>
      </c>
      <c r="L265" s="37">
        <f t="shared" ref="L265:L310" si="76">(IF($D265="Yes",((((($C265*(1+SY202021Growth))*(1+SY202122Growth))*(1+SY202223growth))*(1+SY202324growth))*(1+SY202425Growth)),$C265))</f>
        <v>135.89630322576957</v>
      </c>
      <c r="M265" s="25">
        <f t="shared" si="70"/>
        <v>0</v>
      </c>
      <c r="N265" s="25">
        <f t="shared" si="70"/>
        <v>0</v>
      </c>
      <c r="O265" s="25">
        <f t="shared" si="70"/>
        <v>0</v>
      </c>
      <c r="P265" s="25">
        <f t="shared" si="70"/>
        <v>0</v>
      </c>
      <c r="Q265" s="25">
        <f t="shared" si="70"/>
        <v>0</v>
      </c>
      <c r="R265" s="43">
        <v>134.47999999999999</v>
      </c>
      <c r="S265" s="37">
        <f t="shared" si="63"/>
        <v>127.4</v>
      </c>
      <c r="T265" s="37">
        <f t="shared" si="64"/>
        <v>129.1</v>
      </c>
      <c r="U265" s="37">
        <f t="shared" si="65"/>
        <v>131.33000000000001</v>
      </c>
      <c r="V265" s="37">
        <f t="shared" si="66"/>
        <v>133.59</v>
      </c>
      <c r="W265" s="37">
        <f t="shared" si="67"/>
        <v>135.9</v>
      </c>
      <c r="X265" s="25"/>
      <c r="Y265" s="38">
        <v>0</v>
      </c>
      <c r="Z265" s="25">
        <f t="shared" si="68"/>
        <v>134.47999999999999</v>
      </c>
      <c r="AA265" s="25">
        <f t="shared" si="68"/>
        <v>129.1</v>
      </c>
      <c r="AC265" s="25">
        <f t="shared" si="69"/>
        <v>134.47999999999999</v>
      </c>
      <c r="AD265" s="25">
        <v>0</v>
      </c>
    </row>
    <row r="266" spans="1:30" x14ac:dyDescent="0.25">
      <c r="A266" s="30" t="s">
        <v>503</v>
      </c>
      <c r="B266" s="30" t="s">
        <v>912</v>
      </c>
      <c r="C266" s="27">
        <v>447.66</v>
      </c>
      <c r="D266" s="28" t="str">
        <f t="shared" si="71"/>
        <v>Yes</v>
      </c>
      <c r="E266" s="28" t="s">
        <v>655</v>
      </c>
      <c r="F266" s="11">
        <v>0</v>
      </c>
      <c r="G266" s="11">
        <v>0</v>
      </c>
      <c r="H266" s="37">
        <f t="shared" si="72"/>
        <v>447.66</v>
      </c>
      <c r="I266" s="37">
        <f t="shared" si="73"/>
        <v>453.64800318323466</v>
      </c>
      <c r="J266" s="37">
        <f t="shared" si="74"/>
        <v>461.46790798164358</v>
      </c>
      <c r="K266" s="37">
        <f t="shared" si="75"/>
        <v>469.42261092889714</v>
      </c>
      <c r="L266" s="37">
        <f t="shared" si="76"/>
        <v>477.5144356518681</v>
      </c>
      <c r="M266" s="25">
        <f t="shared" ref="M266:Q310" si="77">-$F266+$G266</f>
        <v>0</v>
      </c>
      <c r="N266" s="25">
        <f t="shared" si="77"/>
        <v>0</v>
      </c>
      <c r="O266" s="25">
        <f t="shared" si="77"/>
        <v>0</v>
      </c>
      <c r="P266" s="25">
        <f t="shared" si="77"/>
        <v>0</v>
      </c>
      <c r="Q266" s="25">
        <f t="shared" si="77"/>
        <v>0</v>
      </c>
      <c r="R266" s="38">
        <v>505.21</v>
      </c>
      <c r="S266" s="37">
        <f t="shared" ref="S266:S310" si="78">ROUND(SUM(H266,M266),2)</f>
        <v>447.66</v>
      </c>
      <c r="T266" s="37">
        <f t="shared" ref="T266:T310" si="79">ROUND(SUM(I266,N266),2)</f>
        <v>453.65</v>
      </c>
      <c r="U266" s="37">
        <f t="shared" ref="U266:U310" si="80">ROUND(SUM(J266,O266),2)</f>
        <v>461.47</v>
      </c>
      <c r="V266" s="37">
        <f t="shared" ref="V266:V310" si="81">ROUND(SUM(K266,P266),2)</f>
        <v>469.42</v>
      </c>
      <c r="W266" s="37">
        <f t="shared" ref="W266:W310" si="82">ROUND(SUM(L266,Q266),2)</f>
        <v>477.51</v>
      </c>
      <c r="X266" s="25"/>
      <c r="Y266" s="38">
        <v>505.21</v>
      </c>
      <c r="Z266" s="25">
        <f t="shared" ref="Z266:AA310" si="83">MAX(S266,R266)</f>
        <v>505.21</v>
      </c>
      <c r="AA266" s="25">
        <f t="shared" si="83"/>
        <v>453.65</v>
      </c>
      <c r="AC266" s="25">
        <f t="shared" ref="AC266:AC310" si="84">R266-AD266</f>
        <v>505.21</v>
      </c>
      <c r="AD266" s="25">
        <v>0</v>
      </c>
    </row>
    <row r="267" spans="1:30" x14ac:dyDescent="0.25">
      <c r="A267" s="30" t="s">
        <v>505</v>
      </c>
      <c r="B267" s="30" t="s">
        <v>913</v>
      </c>
      <c r="C267" s="27">
        <v>17.3</v>
      </c>
      <c r="D267" s="28" t="str">
        <f t="shared" si="71"/>
        <v>No</v>
      </c>
      <c r="E267" s="28" t="s">
        <v>653</v>
      </c>
      <c r="F267" s="11">
        <v>0</v>
      </c>
      <c r="G267" s="11">
        <v>15.07</v>
      </c>
      <c r="H267" s="37">
        <f t="shared" si="72"/>
        <v>17.3</v>
      </c>
      <c r="I267" s="37">
        <f t="shared" si="73"/>
        <v>17.3</v>
      </c>
      <c r="J267" s="37">
        <f t="shared" si="74"/>
        <v>17.3</v>
      </c>
      <c r="K267" s="37">
        <f t="shared" si="75"/>
        <v>17.3</v>
      </c>
      <c r="L267" s="37">
        <f t="shared" si="76"/>
        <v>17.3</v>
      </c>
      <c r="M267" s="25">
        <f t="shared" si="77"/>
        <v>15.07</v>
      </c>
      <c r="N267" s="25">
        <f t="shared" si="77"/>
        <v>15.07</v>
      </c>
      <c r="O267" s="25">
        <f t="shared" si="77"/>
        <v>15.07</v>
      </c>
      <c r="P267" s="25">
        <f t="shared" si="77"/>
        <v>15.07</v>
      </c>
      <c r="Q267" s="25">
        <f t="shared" si="77"/>
        <v>15.07</v>
      </c>
      <c r="R267" s="38">
        <v>28.05</v>
      </c>
      <c r="S267" s="37">
        <f t="shared" si="78"/>
        <v>32.369999999999997</v>
      </c>
      <c r="T267" s="37">
        <f t="shared" si="79"/>
        <v>32.369999999999997</v>
      </c>
      <c r="U267" s="37">
        <f t="shared" si="80"/>
        <v>32.369999999999997</v>
      </c>
      <c r="V267" s="37">
        <f t="shared" si="81"/>
        <v>32.369999999999997</v>
      </c>
      <c r="W267" s="37">
        <f t="shared" si="82"/>
        <v>32.369999999999997</v>
      </c>
      <c r="X267" s="25"/>
      <c r="Y267" s="38">
        <v>28.05</v>
      </c>
      <c r="Z267" s="25">
        <f t="shared" si="83"/>
        <v>32.369999999999997</v>
      </c>
      <c r="AA267" s="25">
        <f t="shared" si="83"/>
        <v>32.369999999999997</v>
      </c>
      <c r="AC267" s="25">
        <f t="shared" si="84"/>
        <v>13.75</v>
      </c>
      <c r="AD267" s="25">
        <v>14.3</v>
      </c>
    </row>
    <row r="268" spans="1:30" x14ac:dyDescent="0.25">
      <c r="A268" s="30" t="s">
        <v>507</v>
      </c>
      <c r="B268" s="30" t="s">
        <v>914</v>
      </c>
      <c r="C268" s="27">
        <v>5490.8</v>
      </c>
      <c r="D268" s="28" t="str">
        <f t="shared" si="71"/>
        <v>Yes</v>
      </c>
      <c r="E268" s="28" t="s">
        <v>653</v>
      </c>
      <c r="F268" s="11">
        <v>6.17</v>
      </c>
      <c r="G268" s="11">
        <v>0</v>
      </c>
      <c r="H268" s="37">
        <f t="shared" si="72"/>
        <v>5490.8</v>
      </c>
      <c r="I268" s="37">
        <f t="shared" si="73"/>
        <v>5564.2462044375307</v>
      </c>
      <c r="J268" s="37">
        <f t="shared" si="74"/>
        <v>5660.1617056373334</v>
      </c>
      <c r="K268" s="37">
        <f t="shared" si="75"/>
        <v>5757.7305814421397</v>
      </c>
      <c r="L268" s="37">
        <f t="shared" si="76"/>
        <v>5856.9813324337156</v>
      </c>
      <c r="M268" s="25">
        <f t="shared" si="77"/>
        <v>-6.17</v>
      </c>
      <c r="N268" s="25">
        <f t="shared" si="77"/>
        <v>-6.17</v>
      </c>
      <c r="O268" s="25">
        <f t="shared" si="77"/>
        <v>-6.17</v>
      </c>
      <c r="P268" s="25">
        <f t="shared" si="77"/>
        <v>-6.17</v>
      </c>
      <c r="Q268" s="25">
        <f t="shared" si="77"/>
        <v>-6.17</v>
      </c>
      <c r="R268" s="38">
        <v>5668.71</v>
      </c>
      <c r="S268" s="37">
        <f t="shared" si="78"/>
        <v>5484.63</v>
      </c>
      <c r="T268" s="37">
        <f t="shared" si="79"/>
        <v>5558.08</v>
      </c>
      <c r="U268" s="37">
        <f t="shared" si="80"/>
        <v>5653.99</v>
      </c>
      <c r="V268" s="37">
        <f t="shared" si="81"/>
        <v>5751.56</v>
      </c>
      <c r="W268" s="37">
        <f t="shared" si="82"/>
        <v>5850.81</v>
      </c>
      <c r="X268" s="25"/>
      <c r="Y268" s="38">
        <v>5668.71</v>
      </c>
      <c r="Z268" s="25">
        <f t="shared" si="83"/>
        <v>5668.71</v>
      </c>
      <c r="AA268" s="25">
        <f t="shared" si="83"/>
        <v>5558.08</v>
      </c>
      <c r="AC268" s="25">
        <f t="shared" si="84"/>
        <v>5674.71</v>
      </c>
      <c r="AD268" s="25">
        <v>-6</v>
      </c>
    </row>
    <row r="269" spans="1:30" x14ac:dyDescent="0.25">
      <c r="A269" s="30" t="s">
        <v>509</v>
      </c>
      <c r="B269" s="30" t="s">
        <v>915</v>
      </c>
      <c r="C269" s="27">
        <v>1517.7</v>
      </c>
      <c r="D269" s="28" t="str">
        <f t="shared" si="71"/>
        <v>Yes</v>
      </c>
      <c r="E269" s="28" t="s">
        <v>653</v>
      </c>
      <c r="F269" s="11">
        <v>0</v>
      </c>
      <c r="G269" s="11">
        <v>0</v>
      </c>
      <c r="H269" s="37">
        <f t="shared" si="72"/>
        <v>1517.7</v>
      </c>
      <c r="I269" s="37">
        <f t="shared" si="73"/>
        <v>1538.0011044792818</v>
      </c>
      <c r="J269" s="37">
        <f t="shared" si="74"/>
        <v>1564.5128980559809</v>
      </c>
      <c r="K269" s="37">
        <f t="shared" si="75"/>
        <v>1591.4816972854112</v>
      </c>
      <c r="L269" s="37">
        <f t="shared" si="76"/>
        <v>1618.9153799509454</v>
      </c>
      <c r="M269" s="25">
        <f t="shared" si="77"/>
        <v>0</v>
      </c>
      <c r="N269" s="25">
        <f t="shared" si="77"/>
        <v>0</v>
      </c>
      <c r="O269" s="25">
        <f t="shared" si="77"/>
        <v>0</v>
      </c>
      <c r="P269" s="25">
        <f t="shared" si="77"/>
        <v>0</v>
      </c>
      <c r="Q269" s="25">
        <f t="shared" si="77"/>
        <v>0</v>
      </c>
      <c r="R269" s="38">
        <v>1590.29</v>
      </c>
      <c r="S269" s="37">
        <f t="shared" si="78"/>
        <v>1517.7</v>
      </c>
      <c r="T269" s="37">
        <f t="shared" si="79"/>
        <v>1538</v>
      </c>
      <c r="U269" s="37">
        <f t="shared" si="80"/>
        <v>1564.51</v>
      </c>
      <c r="V269" s="37">
        <f t="shared" si="81"/>
        <v>1591.48</v>
      </c>
      <c r="W269" s="37">
        <f t="shared" si="82"/>
        <v>1618.92</v>
      </c>
      <c r="X269" s="25"/>
      <c r="Y269" s="38">
        <v>1590.29</v>
      </c>
      <c r="Z269" s="25">
        <f t="shared" si="83"/>
        <v>1590.29</v>
      </c>
      <c r="AA269" s="25">
        <f t="shared" si="83"/>
        <v>1538</v>
      </c>
      <c r="AC269" s="25">
        <f t="shared" si="84"/>
        <v>1590.29</v>
      </c>
      <c r="AD269" s="25">
        <v>0</v>
      </c>
    </row>
    <row r="270" spans="1:30" x14ac:dyDescent="0.25">
      <c r="A270" s="30" t="s">
        <v>511</v>
      </c>
      <c r="B270" s="30" t="s">
        <v>916</v>
      </c>
      <c r="C270" s="27">
        <v>200.9</v>
      </c>
      <c r="D270" s="28" t="str">
        <f t="shared" si="71"/>
        <v>Yes</v>
      </c>
      <c r="E270" s="28" t="s">
        <v>653</v>
      </c>
      <c r="F270" s="11">
        <v>0</v>
      </c>
      <c r="G270" s="11">
        <v>0</v>
      </c>
      <c r="H270" s="37">
        <f t="shared" si="72"/>
        <v>200.9</v>
      </c>
      <c r="I270" s="37">
        <f t="shared" si="73"/>
        <v>203.58728463457055</v>
      </c>
      <c r="J270" s="37">
        <f t="shared" si="74"/>
        <v>207.09668657801055</v>
      </c>
      <c r="K270" s="37">
        <f t="shared" si="75"/>
        <v>210.66658297729401</v>
      </c>
      <c r="L270" s="37">
        <f t="shared" si="76"/>
        <v>214.29801662525199</v>
      </c>
      <c r="M270" s="25">
        <f t="shared" si="77"/>
        <v>0</v>
      </c>
      <c r="N270" s="25">
        <f t="shared" si="77"/>
        <v>0</v>
      </c>
      <c r="O270" s="25">
        <f t="shared" si="77"/>
        <v>0</v>
      </c>
      <c r="P270" s="25">
        <f t="shared" si="77"/>
        <v>0</v>
      </c>
      <c r="Q270" s="25">
        <f t="shared" si="77"/>
        <v>0</v>
      </c>
      <c r="R270" s="38">
        <v>220</v>
      </c>
      <c r="S270" s="37">
        <f t="shared" si="78"/>
        <v>200.9</v>
      </c>
      <c r="T270" s="37">
        <f t="shared" si="79"/>
        <v>203.59</v>
      </c>
      <c r="U270" s="37">
        <f t="shared" si="80"/>
        <v>207.1</v>
      </c>
      <c r="V270" s="37">
        <f t="shared" si="81"/>
        <v>210.67</v>
      </c>
      <c r="W270" s="37">
        <f t="shared" si="82"/>
        <v>214.3</v>
      </c>
      <c r="X270" s="25"/>
      <c r="Y270" s="38">
        <v>220</v>
      </c>
      <c r="Z270" s="25">
        <f t="shared" si="83"/>
        <v>220</v>
      </c>
      <c r="AA270" s="25">
        <f t="shared" si="83"/>
        <v>203.59</v>
      </c>
      <c r="AC270" s="25">
        <f t="shared" si="84"/>
        <v>220</v>
      </c>
      <c r="AD270" s="25">
        <v>0</v>
      </c>
    </row>
    <row r="271" spans="1:30" x14ac:dyDescent="0.25">
      <c r="A271" s="30" t="s">
        <v>513</v>
      </c>
      <c r="B271" s="30" t="s">
        <v>917</v>
      </c>
      <c r="C271" s="27">
        <v>716.14</v>
      </c>
      <c r="D271" s="28" t="str">
        <f t="shared" si="71"/>
        <v>Yes</v>
      </c>
      <c r="E271" s="28" t="s">
        <v>653</v>
      </c>
      <c r="F271" s="11">
        <v>0</v>
      </c>
      <c r="G271" s="11">
        <v>0</v>
      </c>
      <c r="H271" s="37">
        <f t="shared" si="72"/>
        <v>716.14</v>
      </c>
      <c r="I271" s="37">
        <f t="shared" si="73"/>
        <v>725.71925345047953</v>
      </c>
      <c r="J271" s="37">
        <f t="shared" si="74"/>
        <v>738.22907479331229</v>
      </c>
      <c r="K271" s="37">
        <f t="shared" si="75"/>
        <v>750.95453824469541</v>
      </c>
      <c r="L271" s="37">
        <f t="shared" si="76"/>
        <v>763.89936100551483</v>
      </c>
      <c r="M271" s="25">
        <f t="shared" si="77"/>
        <v>0</v>
      </c>
      <c r="N271" s="25">
        <f t="shared" si="77"/>
        <v>0</v>
      </c>
      <c r="O271" s="25">
        <f t="shared" si="77"/>
        <v>0</v>
      </c>
      <c r="P271" s="25">
        <f t="shared" si="77"/>
        <v>0</v>
      </c>
      <c r="Q271" s="25">
        <f t="shared" si="77"/>
        <v>0</v>
      </c>
      <c r="R271" s="38">
        <v>753.39</v>
      </c>
      <c r="S271" s="37">
        <f t="shared" si="78"/>
        <v>716.14</v>
      </c>
      <c r="T271" s="37">
        <f t="shared" si="79"/>
        <v>725.72</v>
      </c>
      <c r="U271" s="37">
        <f t="shared" si="80"/>
        <v>738.23</v>
      </c>
      <c r="V271" s="37">
        <f t="shared" si="81"/>
        <v>750.95</v>
      </c>
      <c r="W271" s="37">
        <f t="shared" si="82"/>
        <v>763.9</v>
      </c>
      <c r="X271" s="25"/>
      <c r="Y271" s="38">
        <v>753.39</v>
      </c>
      <c r="Z271" s="25">
        <f t="shared" si="83"/>
        <v>753.39</v>
      </c>
      <c r="AA271" s="25">
        <f t="shared" si="83"/>
        <v>725.72</v>
      </c>
      <c r="AC271" s="25">
        <f t="shared" si="84"/>
        <v>753.39</v>
      </c>
      <c r="AD271" s="25">
        <v>0</v>
      </c>
    </row>
    <row r="272" spans="1:30" x14ac:dyDescent="0.25">
      <c r="A272" s="30" t="s">
        <v>515</v>
      </c>
      <c r="B272" s="30" t="s">
        <v>918</v>
      </c>
      <c r="C272" s="27">
        <v>259.14999999999998</v>
      </c>
      <c r="D272" s="28" t="str">
        <f t="shared" si="71"/>
        <v>Yes</v>
      </c>
      <c r="E272" s="28" t="s">
        <v>653</v>
      </c>
      <c r="F272" s="11">
        <v>8.9</v>
      </c>
      <c r="G272" s="11">
        <v>0</v>
      </c>
      <c r="H272" s="37">
        <f t="shared" si="72"/>
        <v>259.14999999999998</v>
      </c>
      <c r="I272" s="37">
        <f t="shared" si="73"/>
        <v>262.61645004006448</v>
      </c>
      <c r="J272" s="37">
        <f t="shared" si="74"/>
        <v>267.14338639468104</v>
      </c>
      <c r="K272" s="37">
        <f t="shared" si="75"/>
        <v>271.74835728504598</v>
      </c>
      <c r="L272" s="37">
        <f t="shared" si="76"/>
        <v>276.43270785681455</v>
      </c>
      <c r="M272" s="25">
        <f t="shared" si="77"/>
        <v>-8.9</v>
      </c>
      <c r="N272" s="25">
        <f t="shared" si="77"/>
        <v>-8.9</v>
      </c>
      <c r="O272" s="25">
        <f t="shared" si="77"/>
        <v>-8.9</v>
      </c>
      <c r="P272" s="25">
        <f t="shared" si="77"/>
        <v>-8.9</v>
      </c>
      <c r="Q272" s="25">
        <f t="shared" si="77"/>
        <v>-8.9</v>
      </c>
      <c r="R272" s="38">
        <v>264.60000000000002</v>
      </c>
      <c r="S272" s="37">
        <f t="shared" si="78"/>
        <v>250.25</v>
      </c>
      <c r="T272" s="37">
        <f t="shared" si="79"/>
        <v>253.72</v>
      </c>
      <c r="U272" s="37">
        <f t="shared" si="80"/>
        <v>258.24</v>
      </c>
      <c r="V272" s="37">
        <f t="shared" si="81"/>
        <v>262.85000000000002</v>
      </c>
      <c r="W272" s="37">
        <f t="shared" si="82"/>
        <v>267.52999999999997</v>
      </c>
      <c r="X272" s="25"/>
      <c r="Y272" s="38">
        <v>264.60000000000002</v>
      </c>
      <c r="Z272" s="25">
        <f t="shared" si="83"/>
        <v>264.60000000000002</v>
      </c>
      <c r="AA272" s="25">
        <f t="shared" si="83"/>
        <v>253.72</v>
      </c>
      <c r="AC272" s="25">
        <f t="shared" si="84"/>
        <v>272.90000000000003</v>
      </c>
      <c r="AD272" s="25">
        <v>-8.3000000000000007</v>
      </c>
    </row>
    <row r="273" spans="1:30" x14ac:dyDescent="0.25">
      <c r="A273" s="30" t="s">
        <v>517</v>
      </c>
      <c r="B273" s="30" t="s">
        <v>919</v>
      </c>
      <c r="C273" s="27">
        <v>248.47</v>
      </c>
      <c r="D273" s="28" t="str">
        <f t="shared" si="71"/>
        <v>Yes</v>
      </c>
      <c r="E273" s="28" t="s">
        <v>653</v>
      </c>
      <c r="F273" s="11">
        <v>0</v>
      </c>
      <c r="G273" s="11">
        <v>0</v>
      </c>
      <c r="H273" s="37">
        <f t="shared" si="72"/>
        <v>248.47</v>
      </c>
      <c r="I273" s="37">
        <f t="shared" si="73"/>
        <v>251.79359190219881</v>
      </c>
      <c r="J273" s="37">
        <f t="shared" si="74"/>
        <v>256.13396572443145</v>
      </c>
      <c r="K273" s="37">
        <f t="shared" si="75"/>
        <v>260.54915815016545</v>
      </c>
      <c r="L273" s="37">
        <f t="shared" si="76"/>
        <v>265.04045888937958</v>
      </c>
      <c r="M273" s="25">
        <f t="shared" si="77"/>
        <v>0</v>
      </c>
      <c r="N273" s="25">
        <f t="shared" si="77"/>
        <v>0</v>
      </c>
      <c r="O273" s="25">
        <f t="shared" si="77"/>
        <v>0</v>
      </c>
      <c r="P273" s="25">
        <f t="shared" si="77"/>
        <v>0</v>
      </c>
      <c r="Q273" s="25">
        <f t="shared" si="77"/>
        <v>0</v>
      </c>
      <c r="R273" s="38">
        <v>242.73</v>
      </c>
      <c r="S273" s="37">
        <f t="shared" si="78"/>
        <v>248.47</v>
      </c>
      <c r="T273" s="37">
        <f t="shared" si="79"/>
        <v>251.79</v>
      </c>
      <c r="U273" s="37">
        <f t="shared" si="80"/>
        <v>256.13</v>
      </c>
      <c r="V273" s="37">
        <f t="shared" si="81"/>
        <v>260.55</v>
      </c>
      <c r="W273" s="37">
        <f t="shared" si="82"/>
        <v>265.04000000000002</v>
      </c>
      <c r="X273" s="25"/>
      <c r="Y273" s="38">
        <v>242.73</v>
      </c>
      <c r="Z273" s="25">
        <f t="shared" si="83"/>
        <v>248.47</v>
      </c>
      <c r="AA273" s="25">
        <f t="shared" si="83"/>
        <v>251.79</v>
      </c>
      <c r="AC273" s="25">
        <f t="shared" si="84"/>
        <v>242.73</v>
      </c>
      <c r="AD273" s="25">
        <v>0</v>
      </c>
    </row>
    <row r="274" spans="1:30" x14ac:dyDescent="0.25">
      <c r="A274" s="30" t="s">
        <v>519</v>
      </c>
      <c r="B274" s="30" t="s">
        <v>920</v>
      </c>
      <c r="C274" s="27">
        <v>11259.73</v>
      </c>
      <c r="D274" s="28" t="str">
        <f t="shared" si="71"/>
        <v>Yes</v>
      </c>
      <c r="E274" s="28" t="s">
        <v>653</v>
      </c>
      <c r="F274" s="11">
        <v>0</v>
      </c>
      <c r="G274" s="11">
        <v>0</v>
      </c>
      <c r="H274" s="37">
        <f t="shared" si="72"/>
        <v>11259.73</v>
      </c>
      <c r="I274" s="37">
        <f t="shared" si="73"/>
        <v>11410.342739763129</v>
      </c>
      <c r="J274" s="37">
        <f t="shared" si="74"/>
        <v>11607.032228785576</v>
      </c>
      <c r="K274" s="37">
        <f t="shared" si="75"/>
        <v>11807.112216759215</v>
      </c>
      <c r="L274" s="37">
        <f t="shared" si="76"/>
        <v>12010.641148510942</v>
      </c>
      <c r="M274" s="25">
        <f t="shared" si="77"/>
        <v>0</v>
      </c>
      <c r="N274" s="25">
        <f t="shared" si="77"/>
        <v>0</v>
      </c>
      <c r="O274" s="25">
        <f t="shared" si="77"/>
        <v>0</v>
      </c>
      <c r="P274" s="25">
        <f t="shared" si="77"/>
        <v>0</v>
      </c>
      <c r="Q274" s="25">
        <f t="shared" si="77"/>
        <v>0</v>
      </c>
      <c r="R274" s="38">
        <v>11568.36</v>
      </c>
      <c r="S274" s="37">
        <f t="shared" si="78"/>
        <v>11259.73</v>
      </c>
      <c r="T274" s="37">
        <f t="shared" si="79"/>
        <v>11410.34</v>
      </c>
      <c r="U274" s="37">
        <f t="shared" si="80"/>
        <v>11607.03</v>
      </c>
      <c r="V274" s="37">
        <f t="shared" si="81"/>
        <v>11807.11</v>
      </c>
      <c r="W274" s="37">
        <f t="shared" si="82"/>
        <v>12010.64</v>
      </c>
      <c r="X274" s="25"/>
      <c r="Y274" s="38">
        <v>11568.36</v>
      </c>
      <c r="Z274" s="25">
        <f t="shared" si="83"/>
        <v>11568.36</v>
      </c>
      <c r="AA274" s="25">
        <f t="shared" si="83"/>
        <v>11410.34</v>
      </c>
      <c r="AC274" s="25">
        <f t="shared" si="84"/>
        <v>11568.36</v>
      </c>
      <c r="AD274" s="25">
        <v>0</v>
      </c>
    </row>
    <row r="275" spans="1:30" x14ac:dyDescent="0.25">
      <c r="A275" s="30" t="s">
        <v>521</v>
      </c>
      <c r="B275" s="30" t="s">
        <v>921</v>
      </c>
      <c r="C275" s="27">
        <v>4368.3100000000004</v>
      </c>
      <c r="D275" s="28" t="str">
        <f t="shared" si="71"/>
        <v>Yes</v>
      </c>
      <c r="E275" s="28" t="s">
        <v>653</v>
      </c>
      <c r="F275" s="11">
        <v>0</v>
      </c>
      <c r="G275" s="11">
        <v>0</v>
      </c>
      <c r="H275" s="37">
        <f t="shared" si="72"/>
        <v>4368.3100000000004</v>
      </c>
      <c r="I275" s="37">
        <f t="shared" si="73"/>
        <v>4426.7415198707859</v>
      </c>
      <c r="J275" s="37">
        <f t="shared" si="74"/>
        <v>4503.0489146121909</v>
      </c>
      <c r="K275" s="37">
        <f t="shared" si="75"/>
        <v>4580.6716828548688</v>
      </c>
      <c r="L275" s="37">
        <f t="shared" si="76"/>
        <v>4659.6324987767766</v>
      </c>
      <c r="M275" s="25">
        <f t="shared" si="77"/>
        <v>0</v>
      </c>
      <c r="N275" s="25">
        <f t="shared" si="77"/>
        <v>0</v>
      </c>
      <c r="O275" s="25">
        <f t="shared" si="77"/>
        <v>0</v>
      </c>
      <c r="P275" s="25">
        <f t="shared" si="77"/>
        <v>0</v>
      </c>
      <c r="Q275" s="25">
        <f t="shared" si="77"/>
        <v>0</v>
      </c>
      <c r="R275" s="43">
        <v>4695.95</v>
      </c>
      <c r="S275" s="37">
        <f t="shared" si="78"/>
        <v>4368.3100000000004</v>
      </c>
      <c r="T275" s="37">
        <f t="shared" si="79"/>
        <v>4426.74</v>
      </c>
      <c r="U275" s="37">
        <f t="shared" si="80"/>
        <v>4503.05</v>
      </c>
      <c r="V275" s="37">
        <f t="shared" si="81"/>
        <v>4580.67</v>
      </c>
      <c r="W275" s="37">
        <f t="shared" si="82"/>
        <v>4659.63</v>
      </c>
      <c r="X275" s="25"/>
      <c r="Y275" s="38">
        <v>5076.78</v>
      </c>
      <c r="Z275" s="25">
        <f t="shared" si="83"/>
        <v>4695.95</v>
      </c>
      <c r="AA275" s="25">
        <f t="shared" si="83"/>
        <v>4426.74</v>
      </c>
      <c r="AC275" s="25">
        <f t="shared" si="84"/>
        <v>4695.95</v>
      </c>
      <c r="AD275" s="25">
        <v>0</v>
      </c>
    </row>
    <row r="276" spans="1:30" x14ac:dyDescent="0.25">
      <c r="A276" s="30" t="s">
        <v>523</v>
      </c>
      <c r="B276" s="30" t="s">
        <v>922</v>
      </c>
      <c r="C276" s="27">
        <v>2094.67</v>
      </c>
      <c r="D276" s="28" t="str">
        <f t="shared" si="71"/>
        <v>Yes</v>
      </c>
      <c r="E276" s="28" t="s">
        <v>653</v>
      </c>
      <c r="F276" s="11">
        <v>0</v>
      </c>
      <c r="G276" s="11">
        <v>0</v>
      </c>
      <c r="H276" s="37">
        <f t="shared" si="72"/>
        <v>2094.67</v>
      </c>
      <c r="I276" s="37">
        <f t="shared" si="73"/>
        <v>2122.6887879815622</v>
      </c>
      <c r="J276" s="37">
        <f t="shared" si="74"/>
        <v>2159.2793254074727</v>
      </c>
      <c r="K276" s="37">
        <f t="shared" si="75"/>
        <v>2196.5006041067613</v>
      </c>
      <c r="L276" s="37">
        <f t="shared" si="76"/>
        <v>2234.3634966869909</v>
      </c>
      <c r="M276" s="25">
        <f t="shared" si="77"/>
        <v>0</v>
      </c>
      <c r="N276" s="25">
        <f t="shared" si="77"/>
        <v>0</v>
      </c>
      <c r="O276" s="25">
        <f t="shared" si="77"/>
        <v>0</v>
      </c>
      <c r="P276" s="25">
        <f t="shared" si="77"/>
        <v>0</v>
      </c>
      <c r="Q276" s="25">
        <f t="shared" si="77"/>
        <v>0</v>
      </c>
      <c r="R276" s="38">
        <v>2218.79</v>
      </c>
      <c r="S276" s="37">
        <f t="shared" si="78"/>
        <v>2094.67</v>
      </c>
      <c r="T276" s="37">
        <f t="shared" si="79"/>
        <v>2122.69</v>
      </c>
      <c r="U276" s="37">
        <f t="shared" si="80"/>
        <v>2159.2800000000002</v>
      </c>
      <c r="V276" s="37">
        <f t="shared" si="81"/>
        <v>2196.5</v>
      </c>
      <c r="W276" s="37">
        <f t="shared" si="82"/>
        <v>2234.36</v>
      </c>
      <c r="X276" s="25"/>
      <c r="Y276" s="38">
        <v>2218.79</v>
      </c>
      <c r="Z276" s="25">
        <f t="shared" si="83"/>
        <v>2218.79</v>
      </c>
      <c r="AA276" s="25">
        <f t="shared" si="83"/>
        <v>2122.69</v>
      </c>
      <c r="AC276" s="25">
        <f t="shared" si="84"/>
        <v>2218.79</v>
      </c>
      <c r="AD276" s="25">
        <v>0</v>
      </c>
    </row>
    <row r="277" spans="1:30" x14ac:dyDescent="0.25">
      <c r="A277" s="30" t="s">
        <v>525</v>
      </c>
      <c r="B277" s="30" t="s">
        <v>923</v>
      </c>
      <c r="C277" s="27">
        <v>3307.02</v>
      </c>
      <c r="D277" s="28" t="str">
        <f t="shared" si="71"/>
        <v>Yes</v>
      </c>
      <c r="E277" s="28" t="s">
        <v>653</v>
      </c>
      <c r="F277" s="11">
        <v>0</v>
      </c>
      <c r="G277" s="11">
        <v>0</v>
      </c>
      <c r="H277" s="37">
        <f t="shared" si="72"/>
        <v>3307.02</v>
      </c>
      <c r="I277" s="37">
        <f t="shared" si="73"/>
        <v>3351.2554605884393</v>
      </c>
      <c r="J277" s="37">
        <f t="shared" si="74"/>
        <v>3409.0238150682549</v>
      </c>
      <c r="K277" s="37">
        <f t="shared" si="75"/>
        <v>3467.787970321408</v>
      </c>
      <c r="L277" s="37">
        <f t="shared" si="76"/>
        <v>3527.5650917871621</v>
      </c>
      <c r="M277" s="25">
        <f t="shared" si="77"/>
        <v>0</v>
      </c>
      <c r="N277" s="25">
        <f t="shared" si="77"/>
        <v>0</v>
      </c>
      <c r="O277" s="25">
        <f t="shared" si="77"/>
        <v>0</v>
      </c>
      <c r="P277" s="25">
        <f t="shared" si="77"/>
        <v>0</v>
      </c>
      <c r="Q277" s="25">
        <f t="shared" si="77"/>
        <v>0</v>
      </c>
      <c r="R277" s="38">
        <v>3464.95</v>
      </c>
      <c r="S277" s="37">
        <f t="shared" si="78"/>
        <v>3307.02</v>
      </c>
      <c r="T277" s="37">
        <f t="shared" si="79"/>
        <v>3351.26</v>
      </c>
      <c r="U277" s="37">
        <f t="shared" si="80"/>
        <v>3409.02</v>
      </c>
      <c r="V277" s="37">
        <f t="shared" si="81"/>
        <v>3467.79</v>
      </c>
      <c r="W277" s="37">
        <f t="shared" si="82"/>
        <v>3527.57</v>
      </c>
      <c r="X277" s="25"/>
      <c r="Y277" s="38">
        <v>3464.95</v>
      </c>
      <c r="Z277" s="25">
        <f t="shared" si="83"/>
        <v>3464.95</v>
      </c>
      <c r="AA277" s="25">
        <f t="shared" si="83"/>
        <v>3351.26</v>
      </c>
      <c r="AC277" s="25">
        <f t="shared" si="84"/>
        <v>3464.95</v>
      </c>
      <c r="AD277" s="25">
        <v>0</v>
      </c>
    </row>
    <row r="278" spans="1:30" x14ac:dyDescent="0.25">
      <c r="A278" s="33" t="s">
        <v>527</v>
      </c>
      <c r="B278" s="30" t="s">
        <v>924</v>
      </c>
      <c r="C278" s="27">
        <v>1730.42</v>
      </c>
      <c r="D278" s="28" t="str">
        <f t="shared" si="71"/>
        <v>Yes</v>
      </c>
      <c r="E278" s="28" t="s">
        <v>653</v>
      </c>
      <c r="F278" s="11">
        <v>0</v>
      </c>
      <c r="G278" s="11">
        <v>0</v>
      </c>
      <c r="H278" s="37">
        <f t="shared" si="72"/>
        <v>1730.42</v>
      </c>
      <c r="I278" s="37">
        <f t="shared" si="73"/>
        <v>1753.5664961540745</v>
      </c>
      <c r="J278" s="37">
        <f t="shared" si="74"/>
        <v>1783.7941681847735</v>
      </c>
      <c r="K278" s="37">
        <f t="shared" si="75"/>
        <v>1814.5428995299608</v>
      </c>
      <c r="L278" s="37">
        <f t="shared" si="76"/>
        <v>1845.8216721188082</v>
      </c>
      <c r="M278" s="25">
        <f t="shared" si="77"/>
        <v>0</v>
      </c>
      <c r="N278" s="25">
        <f t="shared" si="77"/>
        <v>0</v>
      </c>
      <c r="O278" s="25">
        <f t="shared" si="77"/>
        <v>0</v>
      </c>
      <c r="P278" s="25">
        <f t="shared" si="77"/>
        <v>0</v>
      </c>
      <c r="Q278" s="25">
        <f t="shared" si="77"/>
        <v>0</v>
      </c>
      <c r="R278" s="38">
        <v>1785.13</v>
      </c>
      <c r="S278" s="37">
        <f t="shared" si="78"/>
        <v>1730.42</v>
      </c>
      <c r="T278" s="37">
        <f t="shared" si="79"/>
        <v>1753.57</v>
      </c>
      <c r="U278" s="37">
        <f t="shared" si="80"/>
        <v>1783.79</v>
      </c>
      <c r="V278" s="37">
        <f t="shared" si="81"/>
        <v>1814.54</v>
      </c>
      <c r="W278" s="37">
        <f t="shared" si="82"/>
        <v>1845.82</v>
      </c>
      <c r="X278" s="25"/>
      <c r="Y278" s="38">
        <v>1785.13</v>
      </c>
      <c r="Z278" s="25">
        <f t="shared" si="83"/>
        <v>1785.13</v>
      </c>
      <c r="AA278" s="25">
        <f t="shared" si="83"/>
        <v>1753.57</v>
      </c>
      <c r="AC278" s="25">
        <f t="shared" si="84"/>
        <v>1785.13</v>
      </c>
      <c r="AD278" s="25">
        <v>0</v>
      </c>
    </row>
    <row r="279" spans="1:30" x14ac:dyDescent="0.25">
      <c r="A279" s="30" t="s">
        <v>529</v>
      </c>
      <c r="B279" s="30" t="s">
        <v>925</v>
      </c>
      <c r="C279" s="27">
        <v>1798.51</v>
      </c>
      <c r="D279" s="28" t="str">
        <f t="shared" si="71"/>
        <v>Yes</v>
      </c>
      <c r="E279" s="28" t="s">
        <v>653</v>
      </c>
      <c r="F279" s="11">
        <v>0</v>
      </c>
      <c r="G279" s="11">
        <v>0</v>
      </c>
      <c r="H279" s="37">
        <f t="shared" si="72"/>
        <v>1798.51</v>
      </c>
      <c r="I279" s="37">
        <f t="shared" si="73"/>
        <v>1822.5672836641188</v>
      </c>
      <c r="J279" s="37">
        <f t="shared" si="74"/>
        <v>1853.984379180775</v>
      </c>
      <c r="K279" s="37">
        <f t="shared" si="75"/>
        <v>1885.94303708558</v>
      </c>
      <c r="L279" s="37">
        <f t="shared" si="76"/>
        <v>1918.4525927360971</v>
      </c>
      <c r="M279" s="25">
        <f t="shared" si="77"/>
        <v>0</v>
      </c>
      <c r="N279" s="25">
        <f t="shared" si="77"/>
        <v>0</v>
      </c>
      <c r="O279" s="25">
        <f t="shared" si="77"/>
        <v>0</v>
      </c>
      <c r="P279" s="25">
        <f t="shared" si="77"/>
        <v>0</v>
      </c>
      <c r="Q279" s="25">
        <f t="shared" si="77"/>
        <v>0</v>
      </c>
      <c r="R279" s="38">
        <v>1890.51</v>
      </c>
      <c r="S279" s="37">
        <f t="shared" si="78"/>
        <v>1798.51</v>
      </c>
      <c r="T279" s="37">
        <f t="shared" si="79"/>
        <v>1822.57</v>
      </c>
      <c r="U279" s="37">
        <f t="shared" si="80"/>
        <v>1853.98</v>
      </c>
      <c r="V279" s="37">
        <f t="shared" si="81"/>
        <v>1885.94</v>
      </c>
      <c r="W279" s="37">
        <f t="shared" si="82"/>
        <v>1918.45</v>
      </c>
      <c r="X279" s="25"/>
      <c r="Y279" s="38">
        <v>1890.51</v>
      </c>
      <c r="Z279" s="25">
        <f t="shared" si="83"/>
        <v>1890.51</v>
      </c>
      <c r="AA279" s="25">
        <f t="shared" si="83"/>
        <v>1822.57</v>
      </c>
      <c r="AC279" s="25">
        <f t="shared" si="84"/>
        <v>1890.51</v>
      </c>
      <c r="AD279" s="25">
        <v>0</v>
      </c>
    </row>
    <row r="280" spans="1:30" x14ac:dyDescent="0.25">
      <c r="A280" s="30" t="s">
        <v>531</v>
      </c>
      <c r="B280" s="30" t="s">
        <v>926</v>
      </c>
      <c r="C280" s="27">
        <v>1631.44</v>
      </c>
      <c r="D280" s="28" t="str">
        <f t="shared" si="71"/>
        <v>Yes</v>
      </c>
      <c r="E280" s="28" t="s">
        <v>655</v>
      </c>
      <c r="F280" s="11">
        <v>0</v>
      </c>
      <c r="G280" s="11">
        <v>0</v>
      </c>
      <c r="H280" s="37">
        <f t="shared" si="72"/>
        <v>1631.44</v>
      </c>
      <c r="I280" s="37">
        <f t="shared" si="73"/>
        <v>1653.2625168950908</v>
      </c>
      <c r="J280" s="37">
        <f t="shared" si="74"/>
        <v>1681.7611665048755</v>
      </c>
      <c r="K280" s="37">
        <f t="shared" si="75"/>
        <v>1710.7510708435864</v>
      </c>
      <c r="L280" s="37">
        <f t="shared" si="76"/>
        <v>1740.2406980741716</v>
      </c>
      <c r="M280" s="25">
        <f t="shared" si="77"/>
        <v>0</v>
      </c>
      <c r="N280" s="25">
        <f t="shared" si="77"/>
        <v>0</v>
      </c>
      <c r="O280" s="25">
        <f t="shared" si="77"/>
        <v>0</v>
      </c>
      <c r="P280" s="25">
        <f t="shared" si="77"/>
        <v>0</v>
      </c>
      <c r="Q280" s="25">
        <f t="shared" si="77"/>
        <v>0</v>
      </c>
      <c r="R280" s="38">
        <v>1787.06</v>
      </c>
      <c r="S280" s="37">
        <f t="shared" si="78"/>
        <v>1631.44</v>
      </c>
      <c r="T280" s="37">
        <f t="shared" si="79"/>
        <v>1653.26</v>
      </c>
      <c r="U280" s="37">
        <f t="shared" si="80"/>
        <v>1681.76</v>
      </c>
      <c r="V280" s="37">
        <f t="shared" si="81"/>
        <v>1710.75</v>
      </c>
      <c r="W280" s="37">
        <f t="shared" si="82"/>
        <v>1740.24</v>
      </c>
      <c r="X280" s="25"/>
      <c r="Y280" s="38">
        <v>1787.06</v>
      </c>
      <c r="Z280" s="25">
        <f t="shared" si="83"/>
        <v>1787.06</v>
      </c>
      <c r="AA280" s="25">
        <f t="shared" si="83"/>
        <v>1653.26</v>
      </c>
      <c r="AC280" s="25">
        <f t="shared" si="84"/>
        <v>1787.06</v>
      </c>
      <c r="AD280" s="25">
        <v>0</v>
      </c>
    </row>
    <row r="281" spans="1:30" x14ac:dyDescent="0.25">
      <c r="A281" s="30" t="s">
        <v>927</v>
      </c>
      <c r="B281" s="30" t="s">
        <v>928</v>
      </c>
      <c r="C281" s="27">
        <v>393.4</v>
      </c>
      <c r="D281" s="28" t="str">
        <f t="shared" si="71"/>
        <v>Yes</v>
      </c>
      <c r="E281" s="28" t="s">
        <v>653</v>
      </c>
      <c r="F281" s="11">
        <v>0</v>
      </c>
      <c r="G281" s="11">
        <v>0</v>
      </c>
      <c r="H281" s="37">
        <f t="shared" si="72"/>
        <v>393.4</v>
      </c>
      <c r="I281" s="37">
        <f t="shared" si="73"/>
        <v>398.66220893598825</v>
      </c>
      <c r="J281" s="37">
        <f t="shared" si="74"/>
        <v>405.53427824683587</v>
      </c>
      <c r="K281" s="37">
        <f t="shared" si="75"/>
        <v>412.52480708445717</v>
      </c>
      <c r="L281" s="37">
        <f t="shared" si="76"/>
        <v>419.63583743342019</v>
      </c>
      <c r="M281" s="25">
        <f t="shared" si="77"/>
        <v>0</v>
      </c>
      <c r="N281" s="25">
        <f t="shared" si="77"/>
        <v>0</v>
      </c>
      <c r="O281" s="25">
        <f t="shared" si="77"/>
        <v>0</v>
      </c>
      <c r="P281" s="25">
        <f t="shared" si="77"/>
        <v>0</v>
      </c>
      <c r="Q281" s="25">
        <f t="shared" si="77"/>
        <v>0</v>
      </c>
      <c r="R281" s="43">
        <v>380.83</v>
      </c>
      <c r="S281" s="37">
        <f t="shared" si="78"/>
        <v>393.4</v>
      </c>
      <c r="T281" s="37">
        <f t="shared" si="79"/>
        <v>398.66</v>
      </c>
      <c r="U281" s="37">
        <f t="shared" si="80"/>
        <v>405.53</v>
      </c>
      <c r="V281" s="37">
        <f t="shared" si="81"/>
        <v>412.52</v>
      </c>
      <c r="W281" s="37">
        <f t="shared" si="82"/>
        <v>419.64</v>
      </c>
      <c r="X281" s="25"/>
      <c r="Y281" s="38">
        <v>0</v>
      </c>
      <c r="Z281" s="25">
        <f t="shared" si="83"/>
        <v>393.4</v>
      </c>
      <c r="AA281" s="25">
        <f t="shared" si="83"/>
        <v>398.66</v>
      </c>
      <c r="AC281" s="25">
        <f t="shared" si="84"/>
        <v>380.83</v>
      </c>
      <c r="AD281" s="25">
        <v>0</v>
      </c>
    </row>
    <row r="282" spans="1:30" x14ac:dyDescent="0.25">
      <c r="A282" s="30" t="s">
        <v>533</v>
      </c>
      <c r="B282" s="30" t="s">
        <v>958</v>
      </c>
      <c r="C282" s="27">
        <v>80.400000000000006</v>
      </c>
      <c r="D282" s="28" t="str">
        <f t="shared" si="71"/>
        <v>No</v>
      </c>
      <c r="E282" s="28" t="s">
        <v>653</v>
      </c>
      <c r="F282" s="11">
        <v>0</v>
      </c>
      <c r="G282" s="11">
        <v>0</v>
      </c>
      <c r="H282" s="37">
        <f t="shared" si="72"/>
        <v>80.400000000000006</v>
      </c>
      <c r="I282" s="37">
        <f t="shared" si="73"/>
        <v>80.400000000000006</v>
      </c>
      <c r="J282" s="37">
        <f t="shared" si="74"/>
        <v>80.400000000000006</v>
      </c>
      <c r="K282" s="37">
        <f t="shared" si="75"/>
        <v>80.400000000000006</v>
      </c>
      <c r="L282" s="37">
        <f t="shared" si="76"/>
        <v>80.400000000000006</v>
      </c>
      <c r="M282" s="25">
        <f t="shared" si="77"/>
        <v>0</v>
      </c>
      <c r="N282" s="25">
        <f t="shared" si="77"/>
        <v>0</v>
      </c>
      <c r="O282" s="25">
        <f t="shared" si="77"/>
        <v>0</v>
      </c>
      <c r="P282" s="25">
        <f t="shared" si="77"/>
        <v>0</v>
      </c>
      <c r="Q282" s="25">
        <f t="shared" si="77"/>
        <v>0</v>
      </c>
      <c r="R282" s="38">
        <v>79.88</v>
      </c>
      <c r="S282" s="37">
        <f t="shared" si="78"/>
        <v>80.400000000000006</v>
      </c>
      <c r="T282" s="37">
        <f t="shared" si="79"/>
        <v>80.400000000000006</v>
      </c>
      <c r="U282" s="37">
        <f t="shared" si="80"/>
        <v>80.400000000000006</v>
      </c>
      <c r="V282" s="37">
        <f t="shared" si="81"/>
        <v>80.400000000000006</v>
      </c>
      <c r="W282" s="37">
        <f t="shared" si="82"/>
        <v>80.400000000000006</v>
      </c>
      <c r="X282" s="25"/>
      <c r="Y282" s="38">
        <v>79.88</v>
      </c>
      <c r="Z282" s="25">
        <f t="shared" si="83"/>
        <v>80.400000000000006</v>
      </c>
      <c r="AA282" s="25">
        <f t="shared" si="83"/>
        <v>80.400000000000006</v>
      </c>
      <c r="AC282" s="25">
        <f t="shared" si="84"/>
        <v>79.88</v>
      </c>
      <c r="AD282" s="25">
        <v>0</v>
      </c>
    </row>
    <row r="283" spans="1:30" x14ac:dyDescent="0.25">
      <c r="A283" s="30" t="s">
        <v>535</v>
      </c>
      <c r="B283" s="30" t="s">
        <v>929</v>
      </c>
      <c r="C283" s="27">
        <v>35.6</v>
      </c>
      <c r="D283" s="28" t="str">
        <f t="shared" si="71"/>
        <v>No</v>
      </c>
      <c r="E283" s="28" t="s">
        <v>653</v>
      </c>
      <c r="F283" s="11">
        <v>0</v>
      </c>
      <c r="G283" s="11">
        <v>4</v>
      </c>
      <c r="H283" s="37">
        <f t="shared" si="72"/>
        <v>35.6</v>
      </c>
      <c r="I283" s="37">
        <f t="shared" si="73"/>
        <v>35.6</v>
      </c>
      <c r="J283" s="37">
        <f t="shared" si="74"/>
        <v>35.6</v>
      </c>
      <c r="K283" s="37">
        <f t="shared" si="75"/>
        <v>35.6</v>
      </c>
      <c r="L283" s="37">
        <f t="shared" si="76"/>
        <v>35.6</v>
      </c>
      <c r="M283" s="25">
        <f t="shared" si="77"/>
        <v>4</v>
      </c>
      <c r="N283" s="25">
        <f t="shared" si="77"/>
        <v>4</v>
      </c>
      <c r="O283" s="25">
        <f t="shared" si="77"/>
        <v>4</v>
      </c>
      <c r="P283" s="25">
        <f t="shared" si="77"/>
        <v>4</v>
      </c>
      <c r="Q283" s="25">
        <f t="shared" si="77"/>
        <v>4</v>
      </c>
      <c r="R283" s="38">
        <v>52.02</v>
      </c>
      <c r="S283" s="37">
        <f t="shared" si="78"/>
        <v>39.6</v>
      </c>
      <c r="T283" s="37">
        <f t="shared" si="79"/>
        <v>39.6</v>
      </c>
      <c r="U283" s="37">
        <f t="shared" si="80"/>
        <v>39.6</v>
      </c>
      <c r="V283" s="37">
        <f t="shared" si="81"/>
        <v>39.6</v>
      </c>
      <c r="W283" s="37">
        <f t="shared" si="82"/>
        <v>39.6</v>
      </c>
      <c r="X283" s="25"/>
      <c r="Y283" s="38">
        <v>52.02</v>
      </c>
      <c r="Z283" s="25">
        <f t="shared" si="83"/>
        <v>52.02</v>
      </c>
      <c r="AA283" s="25">
        <f t="shared" si="83"/>
        <v>39.6</v>
      </c>
      <c r="AC283" s="25">
        <f t="shared" si="84"/>
        <v>39.020000000000003</v>
      </c>
      <c r="AD283" s="25">
        <v>13</v>
      </c>
    </row>
    <row r="284" spans="1:30" x14ac:dyDescent="0.25">
      <c r="A284" s="30" t="s">
        <v>537</v>
      </c>
      <c r="B284" s="30" t="s">
        <v>930</v>
      </c>
      <c r="C284" s="27">
        <v>189.95</v>
      </c>
      <c r="D284" s="28" t="str">
        <f t="shared" si="71"/>
        <v>Yes</v>
      </c>
      <c r="E284" s="28" t="s">
        <v>653</v>
      </c>
      <c r="F284" s="11">
        <v>0</v>
      </c>
      <c r="G284" s="11">
        <v>0</v>
      </c>
      <c r="H284" s="37">
        <f t="shared" si="72"/>
        <v>189.95</v>
      </c>
      <c r="I284" s="37">
        <f t="shared" si="73"/>
        <v>192.49081491456781</v>
      </c>
      <c r="J284" s="37">
        <f t="shared" si="74"/>
        <v>195.8089378571085</v>
      </c>
      <c r="K284" s="37">
        <f t="shared" si="75"/>
        <v>199.18425802158782</v>
      </c>
      <c r="L284" s="37">
        <f t="shared" si="76"/>
        <v>202.61776136369642</v>
      </c>
      <c r="M284" s="25">
        <f t="shared" si="77"/>
        <v>0</v>
      </c>
      <c r="N284" s="25">
        <f t="shared" si="77"/>
        <v>0</v>
      </c>
      <c r="O284" s="25">
        <f t="shared" si="77"/>
        <v>0</v>
      </c>
      <c r="P284" s="25">
        <f t="shared" si="77"/>
        <v>0</v>
      </c>
      <c r="Q284" s="25">
        <f t="shared" si="77"/>
        <v>0</v>
      </c>
      <c r="R284" s="38">
        <v>200.33</v>
      </c>
      <c r="S284" s="37">
        <f t="shared" si="78"/>
        <v>189.95</v>
      </c>
      <c r="T284" s="37">
        <f t="shared" si="79"/>
        <v>192.49</v>
      </c>
      <c r="U284" s="37">
        <f t="shared" si="80"/>
        <v>195.81</v>
      </c>
      <c r="V284" s="37">
        <f t="shared" si="81"/>
        <v>199.18</v>
      </c>
      <c r="W284" s="37">
        <f t="shared" si="82"/>
        <v>202.62</v>
      </c>
      <c r="X284" s="25"/>
      <c r="Y284" s="38">
        <v>200.33</v>
      </c>
      <c r="Z284" s="25">
        <f t="shared" si="83"/>
        <v>200.33</v>
      </c>
      <c r="AA284" s="25">
        <f t="shared" si="83"/>
        <v>192.49</v>
      </c>
      <c r="AC284" s="25">
        <f t="shared" si="84"/>
        <v>200.33</v>
      </c>
      <c r="AD284" s="25">
        <v>0</v>
      </c>
    </row>
    <row r="285" spans="1:30" x14ac:dyDescent="0.25">
      <c r="A285" s="30" t="s">
        <v>539</v>
      </c>
      <c r="B285" s="30" t="s">
        <v>931</v>
      </c>
      <c r="C285" s="27">
        <v>2599.9699999999998</v>
      </c>
      <c r="D285" s="28" t="str">
        <f t="shared" si="71"/>
        <v>Yes</v>
      </c>
      <c r="E285" s="28" t="s">
        <v>653</v>
      </c>
      <c r="F285" s="11">
        <v>0</v>
      </c>
      <c r="G285" s="11">
        <v>0</v>
      </c>
      <c r="H285" s="37">
        <f t="shared" si="72"/>
        <v>2599.9699999999998</v>
      </c>
      <c r="I285" s="37">
        <f t="shared" si="73"/>
        <v>2634.7477970699069</v>
      </c>
      <c r="J285" s="37">
        <f t="shared" si="74"/>
        <v>2680.1651179802388</v>
      </c>
      <c r="K285" s="37">
        <f t="shared" si="75"/>
        <v>2726.3653347111749</v>
      </c>
      <c r="L285" s="37">
        <f t="shared" si="76"/>
        <v>2773.3619426837049</v>
      </c>
      <c r="M285" s="25">
        <f t="shared" si="77"/>
        <v>0</v>
      </c>
      <c r="N285" s="25">
        <f t="shared" si="77"/>
        <v>0</v>
      </c>
      <c r="O285" s="25">
        <f t="shared" si="77"/>
        <v>0</v>
      </c>
      <c r="P285" s="25">
        <f t="shared" si="77"/>
        <v>0</v>
      </c>
      <c r="Q285" s="25">
        <f t="shared" si="77"/>
        <v>0</v>
      </c>
      <c r="R285" s="38">
        <v>2734.63</v>
      </c>
      <c r="S285" s="37">
        <f t="shared" si="78"/>
        <v>2599.9699999999998</v>
      </c>
      <c r="T285" s="37">
        <f t="shared" si="79"/>
        <v>2634.75</v>
      </c>
      <c r="U285" s="37">
        <f t="shared" si="80"/>
        <v>2680.17</v>
      </c>
      <c r="V285" s="37">
        <f t="shared" si="81"/>
        <v>2726.37</v>
      </c>
      <c r="W285" s="37">
        <f t="shared" si="82"/>
        <v>2773.36</v>
      </c>
      <c r="X285" s="25"/>
      <c r="Y285" s="38">
        <v>2734.63</v>
      </c>
      <c r="Z285" s="25">
        <f t="shared" si="83"/>
        <v>2734.63</v>
      </c>
      <c r="AA285" s="25">
        <f t="shared" si="83"/>
        <v>2634.75</v>
      </c>
      <c r="AC285" s="25">
        <f t="shared" si="84"/>
        <v>2734.63</v>
      </c>
      <c r="AD285" s="25">
        <v>0</v>
      </c>
    </row>
    <row r="286" spans="1:30" x14ac:dyDescent="0.25">
      <c r="A286" s="30" t="s">
        <v>541</v>
      </c>
      <c r="B286" s="30" t="s">
        <v>932</v>
      </c>
      <c r="C286" s="27">
        <v>513.47</v>
      </c>
      <c r="D286" s="28" t="str">
        <f t="shared" si="71"/>
        <v>Yes</v>
      </c>
      <c r="E286" s="28" t="s">
        <v>655</v>
      </c>
      <c r="F286" s="11">
        <v>6.47</v>
      </c>
      <c r="G286" s="11">
        <v>0</v>
      </c>
      <c r="H286" s="37">
        <f t="shared" si="72"/>
        <v>513.47</v>
      </c>
      <c r="I286" s="37">
        <f t="shared" si="73"/>
        <v>520.33829288856612</v>
      </c>
      <c r="J286" s="37">
        <f t="shared" si="74"/>
        <v>529.30779321658065</v>
      </c>
      <c r="K286" s="37">
        <f t="shared" si="75"/>
        <v>538.43190821976668</v>
      </c>
      <c r="L286" s="37">
        <f t="shared" si="76"/>
        <v>547.71330311880592</v>
      </c>
      <c r="M286" s="25">
        <f t="shared" si="77"/>
        <v>-6.47</v>
      </c>
      <c r="N286" s="25">
        <f t="shared" si="77"/>
        <v>-6.47</v>
      </c>
      <c r="O286" s="25">
        <f t="shared" si="77"/>
        <v>-6.47</v>
      </c>
      <c r="P286" s="25">
        <f t="shared" si="77"/>
        <v>-6.47</v>
      </c>
      <c r="Q286" s="25">
        <f t="shared" si="77"/>
        <v>-6.47</v>
      </c>
      <c r="R286" s="38">
        <v>542.13</v>
      </c>
      <c r="S286" s="37">
        <f t="shared" si="78"/>
        <v>507</v>
      </c>
      <c r="T286" s="37">
        <f t="shared" si="79"/>
        <v>513.87</v>
      </c>
      <c r="U286" s="37">
        <f t="shared" si="80"/>
        <v>522.84</v>
      </c>
      <c r="V286" s="37">
        <f t="shared" si="81"/>
        <v>531.96</v>
      </c>
      <c r="W286" s="37">
        <f t="shared" si="82"/>
        <v>541.24</v>
      </c>
      <c r="X286" s="25"/>
      <c r="Y286" s="38">
        <v>542.13</v>
      </c>
      <c r="Z286" s="25">
        <f t="shared" si="83"/>
        <v>542.13</v>
      </c>
      <c r="AA286" s="25">
        <f t="shared" si="83"/>
        <v>513.87</v>
      </c>
      <c r="AC286" s="25">
        <f t="shared" si="84"/>
        <v>549.73</v>
      </c>
      <c r="AD286" s="25">
        <v>-7.6</v>
      </c>
    </row>
    <row r="287" spans="1:30" x14ac:dyDescent="0.25">
      <c r="A287" s="30" t="s">
        <v>543</v>
      </c>
      <c r="B287" s="30" t="s">
        <v>933</v>
      </c>
      <c r="C287" s="27">
        <v>155.58000000000001</v>
      </c>
      <c r="D287" s="28" t="str">
        <f t="shared" si="71"/>
        <v>Yes</v>
      </c>
      <c r="E287" s="28" t="s">
        <v>653</v>
      </c>
      <c r="F287" s="11">
        <v>0</v>
      </c>
      <c r="G287" s="11">
        <v>0</v>
      </c>
      <c r="H287" s="37">
        <f t="shared" si="72"/>
        <v>155.58000000000001</v>
      </c>
      <c r="I287" s="37">
        <f t="shared" si="73"/>
        <v>157.66107388475106</v>
      </c>
      <c r="J287" s="37">
        <f t="shared" si="74"/>
        <v>160.37880785369279</v>
      </c>
      <c r="K287" s="37">
        <f t="shared" si="75"/>
        <v>163.14338964463616</v>
      </c>
      <c r="L287" s="37">
        <f t="shared" si="76"/>
        <v>165.95562681212894</v>
      </c>
      <c r="M287" s="25">
        <f t="shared" si="77"/>
        <v>0</v>
      </c>
      <c r="N287" s="25">
        <f t="shared" si="77"/>
        <v>0</v>
      </c>
      <c r="O287" s="25">
        <f t="shared" si="77"/>
        <v>0</v>
      </c>
      <c r="P287" s="25">
        <f t="shared" si="77"/>
        <v>0</v>
      </c>
      <c r="Q287" s="25">
        <f t="shared" si="77"/>
        <v>0</v>
      </c>
      <c r="R287" s="38">
        <v>181.26</v>
      </c>
      <c r="S287" s="37">
        <f t="shared" si="78"/>
        <v>155.58000000000001</v>
      </c>
      <c r="T287" s="37">
        <f t="shared" si="79"/>
        <v>157.66</v>
      </c>
      <c r="U287" s="37">
        <f t="shared" si="80"/>
        <v>160.38</v>
      </c>
      <c r="V287" s="37">
        <f t="shared" si="81"/>
        <v>163.13999999999999</v>
      </c>
      <c r="W287" s="37">
        <f t="shared" si="82"/>
        <v>165.96</v>
      </c>
      <c r="X287" s="25"/>
      <c r="Y287" s="38">
        <v>181.26</v>
      </c>
      <c r="Z287" s="25">
        <f t="shared" si="83"/>
        <v>181.26</v>
      </c>
      <c r="AA287" s="25">
        <f t="shared" si="83"/>
        <v>157.66</v>
      </c>
      <c r="AC287" s="25">
        <f t="shared" si="84"/>
        <v>181.26</v>
      </c>
      <c r="AD287" s="25">
        <v>0</v>
      </c>
    </row>
    <row r="288" spans="1:30" x14ac:dyDescent="0.25">
      <c r="A288" s="30" t="s">
        <v>545</v>
      </c>
      <c r="B288" s="30" t="s">
        <v>934</v>
      </c>
      <c r="C288" s="27">
        <v>106</v>
      </c>
      <c r="D288" s="28" t="str">
        <f t="shared" si="71"/>
        <v>Yes</v>
      </c>
      <c r="E288" s="28" t="s">
        <v>653</v>
      </c>
      <c r="F288" s="11">
        <v>0</v>
      </c>
      <c r="G288" s="11">
        <v>0</v>
      </c>
      <c r="H288" s="37">
        <f t="shared" si="72"/>
        <v>106</v>
      </c>
      <c r="I288" s="37">
        <f t="shared" si="73"/>
        <v>107.41788039454693</v>
      </c>
      <c r="J288" s="37">
        <f t="shared" si="74"/>
        <v>109.26953099685971</v>
      </c>
      <c r="K288" s="37">
        <f t="shared" si="75"/>
        <v>111.15310002784054</v>
      </c>
      <c r="L288" s="37">
        <f t="shared" si="76"/>
        <v>113.06913769177058</v>
      </c>
      <c r="M288" s="25">
        <f t="shared" si="77"/>
        <v>0</v>
      </c>
      <c r="N288" s="25">
        <f t="shared" si="77"/>
        <v>0</v>
      </c>
      <c r="O288" s="25">
        <f t="shared" si="77"/>
        <v>0</v>
      </c>
      <c r="P288" s="25">
        <f t="shared" si="77"/>
        <v>0</v>
      </c>
      <c r="Q288" s="25">
        <f t="shared" si="77"/>
        <v>0</v>
      </c>
      <c r="R288" s="38">
        <v>122.9</v>
      </c>
      <c r="S288" s="37">
        <f t="shared" si="78"/>
        <v>106</v>
      </c>
      <c r="T288" s="37">
        <f t="shared" si="79"/>
        <v>107.42</v>
      </c>
      <c r="U288" s="37">
        <f t="shared" si="80"/>
        <v>109.27</v>
      </c>
      <c r="V288" s="37">
        <f t="shared" si="81"/>
        <v>111.15</v>
      </c>
      <c r="W288" s="37">
        <f t="shared" si="82"/>
        <v>113.07</v>
      </c>
      <c r="X288" s="25"/>
      <c r="Y288" s="38">
        <v>122.9</v>
      </c>
      <c r="Z288" s="25">
        <f t="shared" si="83"/>
        <v>122.9</v>
      </c>
      <c r="AA288" s="25">
        <f t="shared" si="83"/>
        <v>107.42</v>
      </c>
      <c r="AC288" s="25">
        <f t="shared" si="84"/>
        <v>122.9</v>
      </c>
      <c r="AD288" s="25">
        <v>0</v>
      </c>
    </row>
    <row r="289" spans="1:30" x14ac:dyDescent="0.25">
      <c r="A289" s="30" t="s">
        <v>547</v>
      </c>
      <c r="B289" s="30" t="s">
        <v>935</v>
      </c>
      <c r="C289" s="27">
        <v>38.799999999999997</v>
      </c>
      <c r="D289" s="28" t="str">
        <f t="shared" si="71"/>
        <v>No</v>
      </c>
      <c r="E289" s="28" t="s">
        <v>653</v>
      </c>
      <c r="F289" s="11">
        <v>0</v>
      </c>
      <c r="G289" s="11">
        <v>6.47</v>
      </c>
      <c r="H289" s="37">
        <f t="shared" si="72"/>
        <v>38.799999999999997</v>
      </c>
      <c r="I289" s="37">
        <f t="shared" si="73"/>
        <v>38.799999999999997</v>
      </c>
      <c r="J289" s="37">
        <f t="shared" si="74"/>
        <v>38.799999999999997</v>
      </c>
      <c r="K289" s="37">
        <f t="shared" si="75"/>
        <v>38.799999999999997</v>
      </c>
      <c r="L289" s="37">
        <f t="shared" si="76"/>
        <v>38.799999999999997</v>
      </c>
      <c r="M289" s="25">
        <f t="shared" si="77"/>
        <v>6.47</v>
      </c>
      <c r="N289" s="25">
        <f t="shared" si="77"/>
        <v>6.47</v>
      </c>
      <c r="O289" s="25">
        <f t="shared" si="77"/>
        <v>6.47</v>
      </c>
      <c r="P289" s="25">
        <f t="shared" si="77"/>
        <v>6.47</v>
      </c>
      <c r="Q289" s="25">
        <f t="shared" si="77"/>
        <v>6.47</v>
      </c>
      <c r="R289" s="38">
        <v>58.5</v>
      </c>
      <c r="S289" s="37">
        <f t="shared" si="78"/>
        <v>45.27</v>
      </c>
      <c r="T289" s="37">
        <f t="shared" si="79"/>
        <v>45.27</v>
      </c>
      <c r="U289" s="37">
        <f t="shared" si="80"/>
        <v>45.27</v>
      </c>
      <c r="V289" s="37">
        <f t="shared" si="81"/>
        <v>45.27</v>
      </c>
      <c r="W289" s="37">
        <f t="shared" si="82"/>
        <v>45.27</v>
      </c>
      <c r="X289" s="25"/>
      <c r="Y289" s="38">
        <v>58.5</v>
      </c>
      <c r="Z289" s="25">
        <f t="shared" si="83"/>
        <v>58.5</v>
      </c>
      <c r="AA289" s="25">
        <f t="shared" si="83"/>
        <v>45.27</v>
      </c>
      <c r="AC289" s="25">
        <f t="shared" si="84"/>
        <v>50.9</v>
      </c>
      <c r="AD289" s="25">
        <v>7.6</v>
      </c>
    </row>
    <row r="290" spans="1:30" x14ac:dyDescent="0.25">
      <c r="A290" s="30" t="s">
        <v>549</v>
      </c>
      <c r="B290" s="30" t="s">
        <v>936</v>
      </c>
      <c r="C290" s="27">
        <v>155.27000000000001</v>
      </c>
      <c r="D290" s="28" t="str">
        <f t="shared" si="71"/>
        <v>Yes</v>
      </c>
      <c r="E290" s="28" t="s">
        <v>653</v>
      </c>
      <c r="F290" s="11">
        <v>0</v>
      </c>
      <c r="G290" s="11">
        <v>0</v>
      </c>
      <c r="H290" s="37">
        <f t="shared" si="72"/>
        <v>155.27000000000001</v>
      </c>
      <c r="I290" s="37">
        <f t="shared" si="73"/>
        <v>157.3469272534085</v>
      </c>
      <c r="J290" s="37">
        <f t="shared" si="74"/>
        <v>160.05924601775857</v>
      </c>
      <c r="K290" s="37">
        <f t="shared" si="75"/>
        <v>162.81831925776228</v>
      </c>
      <c r="L290" s="37">
        <f t="shared" si="76"/>
        <v>165.62495291887944</v>
      </c>
      <c r="M290" s="25">
        <f t="shared" si="77"/>
        <v>0</v>
      </c>
      <c r="N290" s="25">
        <f t="shared" si="77"/>
        <v>0</v>
      </c>
      <c r="O290" s="25">
        <f t="shared" si="77"/>
        <v>0</v>
      </c>
      <c r="P290" s="25">
        <f t="shared" si="77"/>
        <v>0</v>
      </c>
      <c r="Q290" s="25">
        <f t="shared" si="77"/>
        <v>0</v>
      </c>
      <c r="R290" s="38">
        <v>169.89</v>
      </c>
      <c r="S290" s="37">
        <f t="shared" si="78"/>
        <v>155.27000000000001</v>
      </c>
      <c r="T290" s="37">
        <f t="shared" si="79"/>
        <v>157.35</v>
      </c>
      <c r="U290" s="37">
        <f t="shared" si="80"/>
        <v>160.06</v>
      </c>
      <c r="V290" s="37">
        <f t="shared" si="81"/>
        <v>162.82</v>
      </c>
      <c r="W290" s="37">
        <f t="shared" si="82"/>
        <v>165.62</v>
      </c>
      <c r="X290" s="25"/>
      <c r="Y290" s="38">
        <v>169.89</v>
      </c>
      <c r="Z290" s="25">
        <f t="shared" si="83"/>
        <v>169.89</v>
      </c>
      <c r="AA290" s="25">
        <f t="shared" si="83"/>
        <v>157.35</v>
      </c>
      <c r="AC290" s="25">
        <f t="shared" si="84"/>
        <v>169.89</v>
      </c>
      <c r="AD290" s="25">
        <v>0</v>
      </c>
    </row>
    <row r="291" spans="1:30" x14ac:dyDescent="0.25">
      <c r="A291" s="30" t="s">
        <v>551</v>
      </c>
      <c r="B291" s="30" t="s">
        <v>937</v>
      </c>
      <c r="C291" s="27">
        <v>74.39</v>
      </c>
      <c r="D291" s="28" t="str">
        <f t="shared" si="71"/>
        <v>No</v>
      </c>
      <c r="E291" s="28" t="s">
        <v>653</v>
      </c>
      <c r="F291" s="11">
        <v>0</v>
      </c>
      <c r="G291" s="11">
        <v>0</v>
      </c>
      <c r="H291" s="37">
        <f t="shared" si="72"/>
        <v>74.39</v>
      </c>
      <c r="I291" s="37">
        <f t="shared" si="73"/>
        <v>74.39</v>
      </c>
      <c r="J291" s="37">
        <f t="shared" si="74"/>
        <v>74.39</v>
      </c>
      <c r="K291" s="37">
        <f t="shared" si="75"/>
        <v>74.39</v>
      </c>
      <c r="L291" s="37">
        <f t="shared" si="76"/>
        <v>74.39</v>
      </c>
      <c r="M291" s="25">
        <f t="shared" si="77"/>
        <v>0</v>
      </c>
      <c r="N291" s="25">
        <f t="shared" si="77"/>
        <v>0</v>
      </c>
      <c r="O291" s="25">
        <f t="shared" si="77"/>
        <v>0</v>
      </c>
      <c r="P291" s="25">
        <f t="shared" si="77"/>
        <v>0</v>
      </c>
      <c r="Q291" s="25">
        <f t="shared" si="77"/>
        <v>0</v>
      </c>
      <c r="R291" s="38">
        <v>80.510000000000005</v>
      </c>
      <c r="S291" s="37">
        <f t="shared" si="78"/>
        <v>74.39</v>
      </c>
      <c r="T291" s="37">
        <f t="shared" si="79"/>
        <v>74.39</v>
      </c>
      <c r="U291" s="37">
        <f t="shared" si="80"/>
        <v>74.39</v>
      </c>
      <c r="V291" s="37">
        <f t="shared" si="81"/>
        <v>74.39</v>
      </c>
      <c r="W291" s="37">
        <f t="shared" si="82"/>
        <v>74.39</v>
      </c>
      <c r="X291" s="25"/>
      <c r="Y291" s="38">
        <v>80.510000000000005</v>
      </c>
      <c r="Z291" s="25">
        <f t="shared" si="83"/>
        <v>80.510000000000005</v>
      </c>
      <c r="AA291" s="25">
        <f t="shared" si="83"/>
        <v>74.39</v>
      </c>
      <c r="AC291" s="25">
        <f t="shared" si="84"/>
        <v>80.510000000000005</v>
      </c>
      <c r="AD291" s="25">
        <v>0</v>
      </c>
    </row>
    <row r="292" spans="1:30" x14ac:dyDescent="0.25">
      <c r="A292" s="30" t="s">
        <v>553</v>
      </c>
      <c r="B292" s="30" t="s">
        <v>938</v>
      </c>
      <c r="C292" s="27">
        <v>152.47999999999999</v>
      </c>
      <c r="D292" s="28" t="str">
        <f t="shared" si="71"/>
        <v>Yes</v>
      </c>
      <c r="E292" s="28" t="s">
        <v>655</v>
      </c>
      <c r="F292" s="11">
        <v>0</v>
      </c>
      <c r="G292" s="11">
        <v>0</v>
      </c>
      <c r="H292" s="37">
        <f t="shared" si="72"/>
        <v>152.47999999999999</v>
      </c>
      <c r="I292" s="37">
        <f t="shared" si="73"/>
        <v>154.51960757132559</v>
      </c>
      <c r="J292" s="37">
        <f t="shared" si="74"/>
        <v>157.18318949435061</v>
      </c>
      <c r="K292" s="37">
        <f t="shared" si="75"/>
        <v>159.89268577589738</v>
      </c>
      <c r="L292" s="37">
        <f t="shared" si="76"/>
        <v>162.64888787963372</v>
      </c>
      <c r="M292" s="25">
        <f t="shared" si="77"/>
        <v>0</v>
      </c>
      <c r="N292" s="25">
        <f t="shared" si="77"/>
        <v>0</v>
      </c>
      <c r="O292" s="25">
        <f t="shared" si="77"/>
        <v>0</v>
      </c>
      <c r="P292" s="25">
        <f t="shared" si="77"/>
        <v>0</v>
      </c>
      <c r="Q292" s="25">
        <f t="shared" si="77"/>
        <v>0</v>
      </c>
      <c r="R292" s="38">
        <v>189.25</v>
      </c>
      <c r="S292" s="37">
        <f t="shared" si="78"/>
        <v>152.47999999999999</v>
      </c>
      <c r="T292" s="37">
        <f t="shared" si="79"/>
        <v>154.52000000000001</v>
      </c>
      <c r="U292" s="37">
        <f t="shared" si="80"/>
        <v>157.18</v>
      </c>
      <c r="V292" s="37">
        <f t="shared" si="81"/>
        <v>159.88999999999999</v>
      </c>
      <c r="W292" s="37">
        <f t="shared" si="82"/>
        <v>162.65</v>
      </c>
      <c r="X292" s="25"/>
      <c r="Y292" s="38">
        <v>189.25</v>
      </c>
      <c r="Z292" s="25">
        <f t="shared" si="83"/>
        <v>189.25</v>
      </c>
      <c r="AA292" s="25">
        <f t="shared" si="83"/>
        <v>154.52000000000001</v>
      </c>
      <c r="AC292" s="25">
        <f t="shared" si="84"/>
        <v>189.25</v>
      </c>
      <c r="AD292" s="25">
        <v>0</v>
      </c>
    </row>
    <row r="293" spans="1:30" x14ac:dyDescent="0.25">
      <c r="A293" s="30" t="s">
        <v>555</v>
      </c>
      <c r="B293" s="30" t="s">
        <v>939</v>
      </c>
      <c r="C293" s="27">
        <v>124.25</v>
      </c>
      <c r="D293" s="28" t="str">
        <f t="shared" si="71"/>
        <v>Yes</v>
      </c>
      <c r="E293" s="28" t="s">
        <v>653</v>
      </c>
      <c r="F293" s="11">
        <v>3</v>
      </c>
      <c r="G293" s="11">
        <v>0</v>
      </c>
      <c r="H293" s="37">
        <f t="shared" si="72"/>
        <v>124.25</v>
      </c>
      <c r="I293" s="37">
        <f t="shared" si="73"/>
        <v>125.91199659455147</v>
      </c>
      <c r="J293" s="37">
        <f t="shared" si="74"/>
        <v>128.08244553169641</v>
      </c>
      <c r="K293" s="37">
        <f t="shared" si="75"/>
        <v>130.29030828735083</v>
      </c>
      <c r="L293" s="37">
        <f t="shared" si="76"/>
        <v>132.53622979436315</v>
      </c>
      <c r="M293" s="25">
        <f t="shared" si="77"/>
        <v>-3</v>
      </c>
      <c r="N293" s="25">
        <f t="shared" si="77"/>
        <v>-3</v>
      </c>
      <c r="O293" s="25">
        <f t="shared" si="77"/>
        <v>-3</v>
      </c>
      <c r="P293" s="25">
        <f t="shared" si="77"/>
        <v>-3</v>
      </c>
      <c r="Q293" s="25">
        <f t="shared" si="77"/>
        <v>-3</v>
      </c>
      <c r="R293" s="38">
        <v>136.03</v>
      </c>
      <c r="S293" s="37">
        <f t="shared" si="78"/>
        <v>121.25</v>
      </c>
      <c r="T293" s="37">
        <f t="shared" si="79"/>
        <v>122.91</v>
      </c>
      <c r="U293" s="37">
        <f t="shared" si="80"/>
        <v>125.08</v>
      </c>
      <c r="V293" s="37">
        <f t="shared" si="81"/>
        <v>127.29</v>
      </c>
      <c r="W293" s="37">
        <f t="shared" si="82"/>
        <v>129.54</v>
      </c>
      <c r="X293" s="25"/>
      <c r="Y293" s="38">
        <v>136.03</v>
      </c>
      <c r="Z293" s="25">
        <f t="shared" si="83"/>
        <v>136.03</v>
      </c>
      <c r="AA293" s="25">
        <f t="shared" si="83"/>
        <v>122.91</v>
      </c>
      <c r="AC293" s="25">
        <f t="shared" si="84"/>
        <v>140.03</v>
      </c>
      <c r="AD293" s="25">
        <v>-4</v>
      </c>
    </row>
    <row r="294" spans="1:30" x14ac:dyDescent="0.25">
      <c r="A294" s="30" t="s">
        <v>557</v>
      </c>
      <c r="B294" s="30" t="s">
        <v>940</v>
      </c>
      <c r="C294" s="27">
        <v>145.47</v>
      </c>
      <c r="D294" s="28" t="str">
        <f t="shared" si="71"/>
        <v>Yes</v>
      </c>
      <c r="E294" s="28" t="s">
        <v>653</v>
      </c>
      <c r="F294" s="11">
        <v>0</v>
      </c>
      <c r="G294" s="11">
        <v>0</v>
      </c>
      <c r="H294" s="37">
        <f t="shared" si="72"/>
        <v>145.47</v>
      </c>
      <c r="I294" s="37">
        <f t="shared" si="73"/>
        <v>147.41584019806359</v>
      </c>
      <c r="J294" s="37">
        <f t="shared" si="74"/>
        <v>149.95696862370926</v>
      </c>
      <c r="K294" s="37">
        <f t="shared" si="75"/>
        <v>152.54190057594303</v>
      </c>
      <c r="L294" s="37">
        <f t="shared" si="76"/>
        <v>155.17139113228174</v>
      </c>
      <c r="M294" s="25">
        <f t="shared" si="77"/>
        <v>0</v>
      </c>
      <c r="N294" s="25">
        <f t="shared" si="77"/>
        <v>0</v>
      </c>
      <c r="O294" s="25">
        <f t="shared" si="77"/>
        <v>0</v>
      </c>
      <c r="P294" s="25">
        <f t="shared" si="77"/>
        <v>0</v>
      </c>
      <c r="Q294" s="25">
        <f t="shared" si="77"/>
        <v>0</v>
      </c>
      <c r="R294" s="38">
        <v>122.73</v>
      </c>
      <c r="S294" s="37">
        <f t="shared" si="78"/>
        <v>145.47</v>
      </c>
      <c r="T294" s="37">
        <f t="shared" si="79"/>
        <v>147.41999999999999</v>
      </c>
      <c r="U294" s="37">
        <f t="shared" si="80"/>
        <v>149.96</v>
      </c>
      <c r="V294" s="37">
        <f t="shared" si="81"/>
        <v>152.54</v>
      </c>
      <c r="W294" s="37">
        <f t="shared" si="82"/>
        <v>155.16999999999999</v>
      </c>
      <c r="X294" s="25"/>
      <c r="Y294" s="38">
        <v>122.73</v>
      </c>
      <c r="Z294" s="25">
        <f t="shared" si="83"/>
        <v>145.47</v>
      </c>
      <c r="AA294" s="25">
        <f t="shared" si="83"/>
        <v>147.41999999999999</v>
      </c>
      <c r="AC294" s="25">
        <f t="shared" si="84"/>
        <v>122.73</v>
      </c>
      <c r="AD294" s="25">
        <v>0</v>
      </c>
    </row>
    <row r="295" spans="1:30" x14ac:dyDescent="0.25">
      <c r="A295" s="30" t="s">
        <v>559</v>
      </c>
      <c r="B295" s="30" t="s">
        <v>941</v>
      </c>
      <c r="C295" s="27">
        <v>577.61</v>
      </c>
      <c r="D295" s="28" t="str">
        <f t="shared" si="71"/>
        <v>Yes</v>
      </c>
      <c r="E295" s="28" t="s">
        <v>653</v>
      </c>
      <c r="F295" s="11">
        <v>0</v>
      </c>
      <c r="G295" s="11">
        <v>196.523</v>
      </c>
      <c r="H295" s="37">
        <f t="shared" si="72"/>
        <v>577.61</v>
      </c>
      <c r="I295" s="37">
        <f t="shared" si="73"/>
        <v>585.33624428956841</v>
      </c>
      <c r="J295" s="37">
        <f t="shared" si="74"/>
        <v>595.4261679160013</v>
      </c>
      <c r="K295" s="37">
        <f t="shared" si="75"/>
        <v>605.69001987812237</v>
      </c>
      <c r="L295" s="37">
        <f t="shared" si="76"/>
        <v>616.13079832210951</v>
      </c>
      <c r="M295" s="25">
        <f t="shared" si="77"/>
        <v>196.523</v>
      </c>
      <c r="N295" s="25">
        <f t="shared" si="77"/>
        <v>196.523</v>
      </c>
      <c r="O295" s="25">
        <f t="shared" si="77"/>
        <v>196.523</v>
      </c>
      <c r="P295" s="25">
        <f t="shared" si="77"/>
        <v>196.523</v>
      </c>
      <c r="Q295" s="25">
        <f t="shared" si="77"/>
        <v>196.523</v>
      </c>
      <c r="R295" s="38">
        <v>791.79</v>
      </c>
      <c r="S295" s="37">
        <f t="shared" si="78"/>
        <v>774.13</v>
      </c>
      <c r="T295" s="37">
        <f t="shared" si="79"/>
        <v>781.86</v>
      </c>
      <c r="U295" s="37">
        <f t="shared" si="80"/>
        <v>791.95</v>
      </c>
      <c r="V295" s="37">
        <f t="shared" si="81"/>
        <v>802.21</v>
      </c>
      <c r="W295" s="37">
        <f t="shared" si="82"/>
        <v>812.65</v>
      </c>
      <c r="X295" s="25"/>
      <c r="Y295" s="38">
        <v>791.79</v>
      </c>
      <c r="Z295" s="25">
        <f t="shared" si="83"/>
        <v>791.79</v>
      </c>
      <c r="AA295" s="25">
        <f t="shared" si="83"/>
        <v>781.86</v>
      </c>
      <c r="AC295" s="25">
        <f t="shared" si="84"/>
        <v>608.82999999999993</v>
      </c>
      <c r="AD295" s="25">
        <v>182.96</v>
      </c>
    </row>
    <row r="296" spans="1:30" x14ac:dyDescent="0.25">
      <c r="A296" s="30" t="s">
        <v>561</v>
      </c>
      <c r="B296" s="30" t="s">
        <v>942</v>
      </c>
      <c r="C296" s="27">
        <v>1230.6300000000001</v>
      </c>
      <c r="D296" s="28" t="str">
        <f t="shared" si="71"/>
        <v>Yes</v>
      </c>
      <c r="E296" s="28" t="s">
        <v>653</v>
      </c>
      <c r="F296" s="11">
        <v>0</v>
      </c>
      <c r="G296" s="11">
        <v>0</v>
      </c>
      <c r="H296" s="37">
        <f t="shared" si="72"/>
        <v>1230.6300000000001</v>
      </c>
      <c r="I296" s="37">
        <f t="shared" si="73"/>
        <v>1247.0911900937858</v>
      </c>
      <c r="J296" s="37">
        <f t="shared" si="74"/>
        <v>1268.58832953458</v>
      </c>
      <c r="K296" s="37">
        <f t="shared" si="75"/>
        <v>1290.4560328986927</v>
      </c>
      <c r="L296" s="37">
        <f t="shared" si="76"/>
        <v>1312.7006879021098</v>
      </c>
      <c r="M296" s="25">
        <f t="shared" si="77"/>
        <v>0</v>
      </c>
      <c r="N296" s="25">
        <f t="shared" si="77"/>
        <v>0</v>
      </c>
      <c r="O296" s="25">
        <f t="shared" si="77"/>
        <v>0</v>
      </c>
      <c r="P296" s="25">
        <f t="shared" ref="P296:Q310" si="85">-$F296+$G296</f>
        <v>0</v>
      </c>
      <c r="Q296" s="25">
        <f t="shared" si="85"/>
        <v>0</v>
      </c>
      <c r="R296" s="38">
        <v>1259.58</v>
      </c>
      <c r="S296" s="37">
        <f t="shared" si="78"/>
        <v>1230.6300000000001</v>
      </c>
      <c r="T296" s="37">
        <f t="shared" si="79"/>
        <v>1247.0899999999999</v>
      </c>
      <c r="U296" s="37">
        <f t="shared" si="80"/>
        <v>1268.5899999999999</v>
      </c>
      <c r="V296" s="37">
        <f t="shared" si="81"/>
        <v>1290.46</v>
      </c>
      <c r="W296" s="37">
        <f t="shared" si="82"/>
        <v>1312.7</v>
      </c>
      <c r="X296" s="25"/>
      <c r="Y296" s="38">
        <v>1259.58</v>
      </c>
      <c r="Z296" s="25">
        <f t="shared" si="83"/>
        <v>1259.58</v>
      </c>
      <c r="AA296" s="25">
        <f t="shared" si="83"/>
        <v>1247.0899999999999</v>
      </c>
      <c r="AC296" s="25">
        <f t="shared" si="84"/>
        <v>1259.58</v>
      </c>
      <c r="AD296" s="25">
        <v>0</v>
      </c>
    </row>
    <row r="297" spans="1:30" x14ac:dyDescent="0.25">
      <c r="A297" s="30" t="s">
        <v>563</v>
      </c>
      <c r="B297" s="30" t="s">
        <v>943</v>
      </c>
      <c r="C297" s="27">
        <v>15507.37</v>
      </c>
      <c r="D297" s="28" t="str">
        <f t="shared" si="71"/>
        <v>Yes</v>
      </c>
      <c r="E297" s="28" t="s">
        <v>653</v>
      </c>
      <c r="F297" s="11">
        <v>195.523</v>
      </c>
      <c r="G297" s="11">
        <v>0</v>
      </c>
      <c r="H297" s="37">
        <f t="shared" si="72"/>
        <v>15507.37</v>
      </c>
      <c r="I297" s="37">
        <f t="shared" si="73"/>
        <v>15714.800149943256</v>
      </c>
      <c r="J297" s="37">
        <f t="shared" si="74"/>
        <v>15985.689121648797</v>
      </c>
      <c r="K297" s="37">
        <f t="shared" si="75"/>
        <v>16261.247629988053</v>
      </c>
      <c r="L297" s="37">
        <f t="shared" si="76"/>
        <v>16541.556167615399</v>
      </c>
      <c r="M297" s="25">
        <f t="shared" si="77"/>
        <v>-195.523</v>
      </c>
      <c r="N297" s="25">
        <f t="shared" si="77"/>
        <v>-195.523</v>
      </c>
      <c r="O297" s="25">
        <f t="shared" si="77"/>
        <v>-195.523</v>
      </c>
      <c r="P297" s="25">
        <f t="shared" si="85"/>
        <v>-195.523</v>
      </c>
      <c r="Q297" s="25">
        <f t="shared" si="85"/>
        <v>-195.523</v>
      </c>
      <c r="R297" s="38">
        <v>15867.25</v>
      </c>
      <c r="S297" s="37">
        <f t="shared" si="78"/>
        <v>15311.85</v>
      </c>
      <c r="T297" s="37">
        <f t="shared" si="79"/>
        <v>15519.28</v>
      </c>
      <c r="U297" s="37">
        <f t="shared" si="80"/>
        <v>15790.17</v>
      </c>
      <c r="V297" s="37">
        <f t="shared" si="81"/>
        <v>16065.72</v>
      </c>
      <c r="W297" s="37">
        <f t="shared" si="82"/>
        <v>16346.03</v>
      </c>
      <c r="X297" s="25"/>
      <c r="Y297" s="38">
        <v>15867.25</v>
      </c>
      <c r="Z297" s="25">
        <f t="shared" si="83"/>
        <v>15867.25</v>
      </c>
      <c r="AA297" s="25">
        <f t="shared" si="83"/>
        <v>15519.28</v>
      </c>
      <c r="AC297" s="25">
        <f t="shared" si="84"/>
        <v>16049.61</v>
      </c>
      <c r="AD297" s="25">
        <v>-182.36</v>
      </c>
    </row>
    <row r="298" spans="1:30" x14ac:dyDescent="0.25">
      <c r="A298" s="30" t="s">
        <v>565</v>
      </c>
      <c r="B298" s="30" t="s">
        <v>944</v>
      </c>
      <c r="C298" s="27">
        <v>3273.86</v>
      </c>
      <c r="D298" s="28" t="str">
        <f t="shared" si="71"/>
        <v>Yes</v>
      </c>
      <c r="E298" s="28" t="s">
        <v>653</v>
      </c>
      <c r="F298" s="11">
        <v>0</v>
      </c>
      <c r="G298" s="11">
        <v>0</v>
      </c>
      <c r="H298" s="37">
        <f t="shared" si="72"/>
        <v>3273.86</v>
      </c>
      <c r="I298" s="37">
        <f t="shared" si="73"/>
        <v>3317.6519047970887</v>
      </c>
      <c r="J298" s="37">
        <f t="shared" si="74"/>
        <v>3374.8410070696145</v>
      </c>
      <c r="K298" s="37">
        <f t="shared" si="75"/>
        <v>3433.0159250674155</v>
      </c>
      <c r="L298" s="37">
        <f t="shared" si="76"/>
        <v>3492.1936521092457</v>
      </c>
      <c r="M298" s="25">
        <f t="shared" si="77"/>
        <v>0</v>
      </c>
      <c r="N298" s="25">
        <f t="shared" si="77"/>
        <v>0</v>
      </c>
      <c r="O298" s="25">
        <f t="shared" si="77"/>
        <v>0</v>
      </c>
      <c r="P298" s="25">
        <f t="shared" si="85"/>
        <v>0</v>
      </c>
      <c r="Q298" s="25">
        <f t="shared" si="85"/>
        <v>0</v>
      </c>
      <c r="R298" s="38">
        <v>3208.23</v>
      </c>
      <c r="S298" s="37">
        <f t="shared" si="78"/>
        <v>3273.86</v>
      </c>
      <c r="T298" s="37">
        <f t="shared" si="79"/>
        <v>3317.65</v>
      </c>
      <c r="U298" s="37">
        <f t="shared" si="80"/>
        <v>3374.84</v>
      </c>
      <c r="V298" s="37">
        <f t="shared" si="81"/>
        <v>3433.02</v>
      </c>
      <c r="W298" s="37">
        <f t="shared" si="82"/>
        <v>3492.19</v>
      </c>
      <c r="X298" s="25"/>
      <c r="Y298" s="38">
        <v>3208.23</v>
      </c>
      <c r="Z298" s="25">
        <f t="shared" si="83"/>
        <v>3273.86</v>
      </c>
      <c r="AA298" s="25">
        <f t="shared" si="83"/>
        <v>3317.65</v>
      </c>
      <c r="AC298" s="25">
        <f t="shared" si="84"/>
        <v>3208.83</v>
      </c>
      <c r="AD298" s="25">
        <v>-0.6</v>
      </c>
    </row>
    <row r="299" spans="1:30" x14ac:dyDescent="0.25">
      <c r="A299" s="30" t="s">
        <v>567</v>
      </c>
      <c r="B299" s="30" t="s">
        <v>945</v>
      </c>
      <c r="C299" s="27">
        <v>3624.47</v>
      </c>
      <c r="D299" s="28" t="str">
        <f t="shared" si="71"/>
        <v>Yes</v>
      </c>
      <c r="E299" s="28" t="s">
        <v>653</v>
      </c>
      <c r="F299" s="11">
        <v>1</v>
      </c>
      <c r="G299" s="11">
        <v>0</v>
      </c>
      <c r="H299" s="37">
        <f t="shared" si="72"/>
        <v>3624.47</v>
      </c>
      <c r="I299" s="37">
        <f t="shared" si="73"/>
        <v>3672.9517448455044</v>
      </c>
      <c r="J299" s="37">
        <f t="shared" si="74"/>
        <v>3736.2654435112086</v>
      </c>
      <c r="K299" s="37">
        <f t="shared" si="75"/>
        <v>3800.6705326217657</v>
      </c>
      <c r="L299" s="37">
        <f t="shared" si="76"/>
        <v>3866.1858253744499</v>
      </c>
      <c r="M299" s="25">
        <f t="shared" si="77"/>
        <v>-1</v>
      </c>
      <c r="N299" s="25">
        <f t="shared" si="77"/>
        <v>-1</v>
      </c>
      <c r="O299" s="25">
        <f t="shared" si="77"/>
        <v>-1</v>
      </c>
      <c r="P299" s="25">
        <f t="shared" si="85"/>
        <v>-1</v>
      </c>
      <c r="Q299" s="25">
        <f t="shared" si="85"/>
        <v>-1</v>
      </c>
      <c r="R299" s="38">
        <v>3697.5</v>
      </c>
      <c r="S299" s="37">
        <f t="shared" si="78"/>
        <v>3623.47</v>
      </c>
      <c r="T299" s="37">
        <f t="shared" si="79"/>
        <v>3671.95</v>
      </c>
      <c r="U299" s="37">
        <f t="shared" si="80"/>
        <v>3735.27</v>
      </c>
      <c r="V299" s="37">
        <f t="shared" si="81"/>
        <v>3799.67</v>
      </c>
      <c r="W299" s="37">
        <f t="shared" si="82"/>
        <v>3865.19</v>
      </c>
      <c r="X299" s="25"/>
      <c r="Y299" s="38">
        <v>3697.5</v>
      </c>
      <c r="Z299" s="25">
        <f t="shared" si="83"/>
        <v>3697.5</v>
      </c>
      <c r="AA299" s="25">
        <f t="shared" si="83"/>
        <v>3671.95</v>
      </c>
      <c r="AC299" s="25">
        <f t="shared" si="84"/>
        <v>3697.5</v>
      </c>
      <c r="AD299" s="25">
        <v>0</v>
      </c>
    </row>
    <row r="300" spans="1:30" x14ac:dyDescent="0.25">
      <c r="A300" s="30" t="s">
        <v>569</v>
      </c>
      <c r="B300" s="30" t="s">
        <v>946</v>
      </c>
      <c r="C300" s="27">
        <v>804.39</v>
      </c>
      <c r="D300" s="28" t="str">
        <f t="shared" si="71"/>
        <v>Yes</v>
      </c>
      <c r="E300" s="28" t="s">
        <v>653</v>
      </c>
      <c r="F300" s="11">
        <v>0</v>
      </c>
      <c r="G300" s="11">
        <v>0</v>
      </c>
      <c r="H300" s="37">
        <f t="shared" si="72"/>
        <v>804.39</v>
      </c>
      <c r="I300" s="37">
        <f t="shared" si="73"/>
        <v>815.14970576009057</v>
      </c>
      <c r="J300" s="37">
        <f t="shared" si="74"/>
        <v>829.20111357135829</v>
      </c>
      <c r="K300" s="37">
        <f t="shared" si="75"/>
        <v>843.49473708862877</v>
      </c>
      <c r="L300" s="37">
        <f t="shared" si="76"/>
        <v>858.03475158380502</v>
      </c>
      <c r="M300" s="25">
        <f t="shared" si="77"/>
        <v>0</v>
      </c>
      <c r="N300" s="25">
        <f t="shared" si="77"/>
        <v>0</v>
      </c>
      <c r="O300" s="25">
        <f t="shared" si="77"/>
        <v>0</v>
      </c>
      <c r="P300" s="25">
        <f t="shared" si="85"/>
        <v>0</v>
      </c>
      <c r="Q300" s="25">
        <f t="shared" si="85"/>
        <v>0</v>
      </c>
      <c r="R300" s="38">
        <v>855.25</v>
      </c>
      <c r="S300" s="37">
        <f t="shared" si="78"/>
        <v>804.39</v>
      </c>
      <c r="T300" s="37">
        <f t="shared" si="79"/>
        <v>815.15</v>
      </c>
      <c r="U300" s="37">
        <f t="shared" si="80"/>
        <v>829.2</v>
      </c>
      <c r="V300" s="37">
        <f t="shared" si="81"/>
        <v>843.49</v>
      </c>
      <c r="W300" s="37">
        <f t="shared" si="82"/>
        <v>858.03</v>
      </c>
      <c r="X300" s="25"/>
      <c r="Y300" s="38">
        <v>855.25</v>
      </c>
      <c r="Z300" s="25">
        <f t="shared" si="83"/>
        <v>855.25</v>
      </c>
      <c r="AA300" s="25">
        <f t="shared" si="83"/>
        <v>815.15</v>
      </c>
      <c r="AC300" s="25">
        <f t="shared" si="84"/>
        <v>855.25</v>
      </c>
      <c r="AD300" s="25">
        <v>0</v>
      </c>
    </row>
    <row r="301" spans="1:30" x14ac:dyDescent="0.25">
      <c r="A301" s="30" t="s">
        <v>571</v>
      </c>
      <c r="B301" s="30" t="s">
        <v>947</v>
      </c>
      <c r="C301" s="27">
        <v>3484.26</v>
      </c>
      <c r="D301" s="28" t="str">
        <f t="shared" si="71"/>
        <v>Yes</v>
      </c>
      <c r="E301" s="28" t="s">
        <v>653</v>
      </c>
      <c r="F301" s="11">
        <v>0</v>
      </c>
      <c r="G301" s="11">
        <v>0</v>
      </c>
      <c r="H301" s="37">
        <f t="shared" si="72"/>
        <v>3484.26</v>
      </c>
      <c r="I301" s="37">
        <f t="shared" si="73"/>
        <v>3530.8662636179629</v>
      </c>
      <c r="J301" s="37">
        <f t="shared" si="74"/>
        <v>3591.7307176520603</v>
      </c>
      <c r="K301" s="37">
        <f t="shared" si="75"/>
        <v>3653.6443424811664</v>
      </c>
      <c r="L301" s="37">
        <f t="shared" si="76"/>
        <v>3716.6252235276274</v>
      </c>
      <c r="M301" s="25">
        <f t="shared" si="77"/>
        <v>0</v>
      </c>
      <c r="N301" s="25">
        <f t="shared" si="77"/>
        <v>0</v>
      </c>
      <c r="O301" s="25">
        <f t="shared" si="77"/>
        <v>0</v>
      </c>
      <c r="P301" s="25">
        <f t="shared" si="85"/>
        <v>0</v>
      </c>
      <c r="Q301" s="25">
        <f t="shared" si="85"/>
        <v>0</v>
      </c>
      <c r="R301" s="38">
        <v>3567.94</v>
      </c>
      <c r="S301" s="37">
        <f t="shared" si="78"/>
        <v>3484.26</v>
      </c>
      <c r="T301" s="37">
        <f t="shared" si="79"/>
        <v>3530.87</v>
      </c>
      <c r="U301" s="37">
        <f t="shared" si="80"/>
        <v>3591.73</v>
      </c>
      <c r="V301" s="37">
        <f t="shared" si="81"/>
        <v>3653.64</v>
      </c>
      <c r="W301" s="37">
        <f t="shared" si="82"/>
        <v>3716.63</v>
      </c>
      <c r="X301" s="25"/>
      <c r="Y301" s="38">
        <v>3567.94</v>
      </c>
      <c r="Z301" s="25">
        <f t="shared" si="83"/>
        <v>3567.94</v>
      </c>
      <c r="AA301" s="25">
        <f t="shared" si="83"/>
        <v>3530.87</v>
      </c>
      <c r="AC301" s="25">
        <f t="shared" si="84"/>
        <v>3567.94</v>
      </c>
      <c r="AD301" s="25">
        <v>0</v>
      </c>
    </row>
    <row r="302" spans="1:30" x14ac:dyDescent="0.25">
      <c r="A302" s="30" t="s">
        <v>573</v>
      </c>
      <c r="B302" s="30" t="s">
        <v>948</v>
      </c>
      <c r="C302" s="27">
        <v>6439.52</v>
      </c>
      <c r="D302" s="28" t="str">
        <f t="shared" si="71"/>
        <v>Yes</v>
      </c>
      <c r="E302" s="28" t="s">
        <v>653</v>
      </c>
      <c r="F302" s="11">
        <v>0</v>
      </c>
      <c r="G302" s="11">
        <v>0</v>
      </c>
      <c r="H302" s="37">
        <f t="shared" si="72"/>
        <v>6439.52</v>
      </c>
      <c r="I302" s="37">
        <f t="shared" si="73"/>
        <v>6525.6565014933285</v>
      </c>
      <c r="J302" s="37">
        <f t="shared" si="74"/>
        <v>6638.1446249518685</v>
      </c>
      <c r="K302" s="37">
        <f t="shared" si="75"/>
        <v>6752.5717989743371</v>
      </c>
      <c r="L302" s="37">
        <f t="shared" si="76"/>
        <v>6868.9714485746272</v>
      </c>
      <c r="M302" s="25">
        <f t="shared" si="77"/>
        <v>0</v>
      </c>
      <c r="N302" s="25">
        <f t="shared" si="77"/>
        <v>0</v>
      </c>
      <c r="O302" s="25">
        <f t="shared" si="77"/>
        <v>0</v>
      </c>
      <c r="P302" s="25">
        <f t="shared" si="85"/>
        <v>0</v>
      </c>
      <c r="Q302" s="25">
        <f t="shared" si="85"/>
        <v>0</v>
      </c>
      <c r="R302" s="38">
        <v>6665.23</v>
      </c>
      <c r="S302" s="37">
        <f t="shared" si="78"/>
        <v>6439.52</v>
      </c>
      <c r="T302" s="37">
        <f t="shared" si="79"/>
        <v>6525.66</v>
      </c>
      <c r="U302" s="37">
        <f t="shared" si="80"/>
        <v>6638.14</v>
      </c>
      <c r="V302" s="37">
        <f t="shared" si="81"/>
        <v>6752.57</v>
      </c>
      <c r="W302" s="37">
        <f t="shared" si="82"/>
        <v>6868.97</v>
      </c>
      <c r="X302" s="25"/>
      <c r="Y302" s="38">
        <v>6665.23</v>
      </c>
      <c r="Z302" s="25">
        <f t="shared" si="83"/>
        <v>6665.23</v>
      </c>
      <c r="AA302" s="25">
        <f t="shared" si="83"/>
        <v>6525.66</v>
      </c>
      <c r="AC302" s="25">
        <f t="shared" si="84"/>
        <v>6665.23</v>
      </c>
      <c r="AD302" s="25">
        <v>0</v>
      </c>
    </row>
    <row r="303" spans="1:30" x14ac:dyDescent="0.25">
      <c r="A303" s="34" t="s">
        <v>575</v>
      </c>
      <c r="B303" s="30" t="s">
        <v>949</v>
      </c>
      <c r="C303" s="27">
        <v>4292.82</v>
      </c>
      <c r="D303" s="28" t="str">
        <f t="shared" si="71"/>
        <v>Yes</v>
      </c>
      <c r="E303" s="28" t="s">
        <v>653</v>
      </c>
      <c r="F303" s="11">
        <v>0</v>
      </c>
      <c r="G303" s="11">
        <v>0</v>
      </c>
      <c r="H303" s="37">
        <f t="shared" si="72"/>
        <v>4292.82</v>
      </c>
      <c r="I303" s="37">
        <f t="shared" si="73"/>
        <v>4350.2417482577257</v>
      </c>
      <c r="J303" s="37">
        <f t="shared" si="74"/>
        <v>4425.2304533390497</v>
      </c>
      <c r="K303" s="37">
        <f t="shared" si="75"/>
        <v>4501.5118005803242</v>
      </c>
      <c r="L303" s="37">
        <f t="shared" si="76"/>
        <v>4579.1080723206278</v>
      </c>
      <c r="M303" s="25">
        <f t="shared" si="77"/>
        <v>0</v>
      </c>
      <c r="N303" s="25">
        <f t="shared" si="77"/>
        <v>0</v>
      </c>
      <c r="O303" s="25">
        <f t="shared" si="77"/>
        <v>0</v>
      </c>
      <c r="P303" s="25">
        <f t="shared" si="85"/>
        <v>0</v>
      </c>
      <c r="Q303" s="25">
        <f t="shared" si="85"/>
        <v>0</v>
      </c>
      <c r="R303" s="43">
        <v>4240.6000000000004</v>
      </c>
      <c r="S303" s="37">
        <f t="shared" si="78"/>
        <v>4292.82</v>
      </c>
      <c r="T303" s="37">
        <f t="shared" si="79"/>
        <v>4350.24</v>
      </c>
      <c r="U303" s="37">
        <f t="shared" si="80"/>
        <v>4425.2299999999996</v>
      </c>
      <c r="V303" s="37">
        <f t="shared" si="81"/>
        <v>4501.51</v>
      </c>
      <c r="W303" s="37">
        <f t="shared" si="82"/>
        <v>4579.1099999999997</v>
      </c>
      <c r="X303" s="25"/>
      <c r="Y303" s="38">
        <v>4379.08</v>
      </c>
      <c r="Z303" s="25">
        <f t="shared" si="83"/>
        <v>4292.82</v>
      </c>
      <c r="AA303" s="25">
        <f t="shared" si="83"/>
        <v>4350.24</v>
      </c>
      <c r="AC303" s="25">
        <f t="shared" si="84"/>
        <v>4240.6000000000004</v>
      </c>
      <c r="AD303" s="25">
        <v>0</v>
      </c>
    </row>
    <row r="304" spans="1:30" x14ac:dyDescent="0.25">
      <c r="A304" s="34" t="s">
        <v>577</v>
      </c>
      <c r="B304" s="30" t="s">
        <v>950</v>
      </c>
      <c r="C304" s="27">
        <v>1037.25</v>
      </c>
      <c r="D304" s="28" t="str">
        <f t="shared" si="71"/>
        <v>Yes</v>
      </c>
      <c r="E304" s="28" t="s">
        <v>653</v>
      </c>
      <c r="F304" s="11">
        <v>0</v>
      </c>
      <c r="G304" s="11">
        <v>0</v>
      </c>
      <c r="H304" s="37">
        <f t="shared" si="72"/>
        <v>1037.25</v>
      </c>
      <c r="I304" s="37">
        <f t="shared" si="73"/>
        <v>1051.1244947098471</v>
      </c>
      <c r="J304" s="37">
        <f t="shared" si="74"/>
        <v>1069.243594589554</v>
      </c>
      <c r="K304" s="37">
        <f t="shared" si="75"/>
        <v>1087.6750283384679</v>
      </c>
      <c r="L304" s="37">
        <f t="shared" si="76"/>
        <v>1106.4241799131041</v>
      </c>
      <c r="M304" s="25">
        <f t="shared" si="77"/>
        <v>0</v>
      </c>
      <c r="N304" s="25">
        <f t="shared" si="77"/>
        <v>0</v>
      </c>
      <c r="O304" s="25">
        <f t="shared" si="77"/>
        <v>0</v>
      </c>
      <c r="P304" s="25">
        <f t="shared" si="85"/>
        <v>0</v>
      </c>
      <c r="Q304" s="25">
        <f t="shared" si="85"/>
        <v>0</v>
      </c>
      <c r="R304" s="38">
        <v>1092.2</v>
      </c>
      <c r="S304" s="37">
        <f t="shared" si="78"/>
        <v>1037.25</v>
      </c>
      <c r="T304" s="37">
        <f t="shared" si="79"/>
        <v>1051.1199999999999</v>
      </c>
      <c r="U304" s="37">
        <f t="shared" si="80"/>
        <v>1069.24</v>
      </c>
      <c r="V304" s="37">
        <f t="shared" si="81"/>
        <v>1087.68</v>
      </c>
      <c r="W304" s="37">
        <f t="shared" si="82"/>
        <v>1106.42</v>
      </c>
      <c r="X304" s="25"/>
      <c r="Y304" s="38">
        <v>1092.2</v>
      </c>
      <c r="Z304" s="25">
        <f t="shared" si="83"/>
        <v>1092.2</v>
      </c>
      <c r="AA304" s="25">
        <f t="shared" si="83"/>
        <v>1051.1199999999999</v>
      </c>
      <c r="AC304" s="25">
        <f t="shared" si="84"/>
        <v>1092.2</v>
      </c>
      <c r="AD304" s="25">
        <v>0</v>
      </c>
    </row>
    <row r="305" spans="1:30" x14ac:dyDescent="0.25">
      <c r="A305" s="34" t="s">
        <v>579</v>
      </c>
      <c r="B305" s="30" t="s">
        <v>951</v>
      </c>
      <c r="C305" s="27">
        <v>1450.55</v>
      </c>
      <c r="D305" s="28" t="str">
        <f t="shared" si="71"/>
        <v>Yes</v>
      </c>
      <c r="E305" s="28" t="s">
        <v>653</v>
      </c>
      <c r="F305" s="11">
        <v>0</v>
      </c>
      <c r="G305" s="11">
        <v>0</v>
      </c>
      <c r="H305" s="37">
        <f t="shared" si="72"/>
        <v>1450.55</v>
      </c>
      <c r="I305" s="37">
        <f t="shared" si="73"/>
        <v>1469.9528906255664</v>
      </c>
      <c r="J305" s="37">
        <f t="shared" si="74"/>
        <v>1495.2916810141023</v>
      </c>
      <c r="K305" s="37">
        <f t="shared" si="75"/>
        <v>1521.0672570319252</v>
      </c>
      <c r="L305" s="37">
        <f t="shared" si="76"/>
        <v>1547.2871479131868</v>
      </c>
      <c r="M305" s="25">
        <f t="shared" si="77"/>
        <v>0</v>
      </c>
      <c r="N305" s="25">
        <f t="shared" si="77"/>
        <v>0</v>
      </c>
      <c r="O305" s="25">
        <f t="shared" si="77"/>
        <v>0</v>
      </c>
      <c r="P305" s="25">
        <f t="shared" si="85"/>
        <v>0</v>
      </c>
      <c r="Q305" s="25">
        <f t="shared" si="85"/>
        <v>0</v>
      </c>
      <c r="R305" s="38">
        <v>1439.97</v>
      </c>
      <c r="S305" s="37">
        <f t="shared" si="78"/>
        <v>1450.55</v>
      </c>
      <c r="T305" s="37">
        <f t="shared" si="79"/>
        <v>1469.95</v>
      </c>
      <c r="U305" s="37">
        <f t="shared" si="80"/>
        <v>1495.29</v>
      </c>
      <c r="V305" s="37">
        <f t="shared" si="81"/>
        <v>1521.07</v>
      </c>
      <c r="W305" s="37">
        <f t="shared" si="82"/>
        <v>1547.29</v>
      </c>
      <c r="X305" s="25"/>
      <c r="Y305" s="38">
        <v>1439.97</v>
      </c>
      <c r="Z305" s="25">
        <f t="shared" si="83"/>
        <v>1450.55</v>
      </c>
      <c r="AA305" s="25">
        <f t="shared" si="83"/>
        <v>1469.95</v>
      </c>
      <c r="AC305" s="25">
        <f t="shared" si="84"/>
        <v>1439.97</v>
      </c>
      <c r="AD305" s="25">
        <v>0</v>
      </c>
    </row>
    <row r="306" spans="1:30" x14ac:dyDescent="0.25">
      <c r="A306" s="34" t="s">
        <v>581</v>
      </c>
      <c r="B306" s="30" t="s">
        <v>952</v>
      </c>
      <c r="C306" s="27">
        <v>1264.47</v>
      </c>
      <c r="D306" s="28" t="str">
        <f t="shared" si="71"/>
        <v>Yes</v>
      </c>
      <c r="E306" s="28" t="s">
        <v>653</v>
      </c>
      <c r="F306" s="11">
        <v>0</v>
      </c>
      <c r="G306" s="11">
        <v>0</v>
      </c>
      <c r="H306" s="37">
        <f t="shared" si="72"/>
        <v>1264.47</v>
      </c>
      <c r="I306" s="37">
        <f t="shared" si="73"/>
        <v>1281.3838417216298</v>
      </c>
      <c r="J306" s="37">
        <f t="shared" si="74"/>
        <v>1303.4721118830114</v>
      </c>
      <c r="K306" s="37">
        <f t="shared" si="75"/>
        <v>1325.941135775505</v>
      </c>
      <c r="L306" s="37">
        <f t="shared" si="76"/>
        <v>1348.7974767652183</v>
      </c>
      <c r="M306" s="25">
        <f t="shared" si="77"/>
        <v>0</v>
      </c>
      <c r="N306" s="25">
        <f t="shared" si="77"/>
        <v>0</v>
      </c>
      <c r="O306" s="25">
        <f t="shared" si="77"/>
        <v>0</v>
      </c>
      <c r="P306" s="25">
        <f t="shared" si="85"/>
        <v>0</v>
      </c>
      <c r="Q306" s="25">
        <f t="shared" si="85"/>
        <v>0</v>
      </c>
      <c r="R306" s="38">
        <v>1271.32</v>
      </c>
      <c r="S306" s="37">
        <f t="shared" si="78"/>
        <v>1264.47</v>
      </c>
      <c r="T306" s="37">
        <f t="shared" si="79"/>
        <v>1281.3800000000001</v>
      </c>
      <c r="U306" s="37">
        <f t="shared" si="80"/>
        <v>1303.47</v>
      </c>
      <c r="V306" s="37">
        <f t="shared" si="81"/>
        <v>1325.94</v>
      </c>
      <c r="W306" s="37">
        <f t="shared" si="82"/>
        <v>1348.8</v>
      </c>
      <c r="X306" s="25"/>
      <c r="Y306" s="38">
        <v>1271.32</v>
      </c>
      <c r="Z306" s="25">
        <f t="shared" si="83"/>
        <v>1271.32</v>
      </c>
      <c r="AA306" s="25">
        <f t="shared" si="83"/>
        <v>1281.3800000000001</v>
      </c>
      <c r="AC306" s="25">
        <f t="shared" si="84"/>
        <v>1271.32</v>
      </c>
      <c r="AD306" s="25">
        <v>0</v>
      </c>
    </row>
    <row r="307" spans="1:30" x14ac:dyDescent="0.25">
      <c r="A307" t="s">
        <v>583</v>
      </c>
      <c r="B307" t="s">
        <v>953</v>
      </c>
      <c r="C307" s="27">
        <v>3073.81</v>
      </c>
      <c r="D307" s="28" t="str">
        <f t="shared" si="71"/>
        <v>Yes</v>
      </c>
      <c r="E307" s="28" t="s">
        <v>653</v>
      </c>
      <c r="F307" s="11">
        <v>0</v>
      </c>
      <c r="G307" s="11">
        <v>0</v>
      </c>
      <c r="H307" s="37">
        <f t="shared" si="72"/>
        <v>3073.81</v>
      </c>
      <c r="I307" s="37">
        <f t="shared" si="73"/>
        <v>3114.9259899581348</v>
      </c>
      <c r="J307" s="37">
        <f t="shared" si="74"/>
        <v>3168.6205384288428</v>
      </c>
      <c r="K307" s="37">
        <f t="shared" si="75"/>
        <v>3223.2406641186462</v>
      </c>
      <c r="L307" s="37">
        <f t="shared" si="76"/>
        <v>3278.8023219654838</v>
      </c>
      <c r="M307" s="25">
        <f t="shared" si="77"/>
        <v>0</v>
      </c>
      <c r="N307" s="25">
        <f t="shared" si="77"/>
        <v>0</v>
      </c>
      <c r="O307" s="25">
        <f t="shared" si="77"/>
        <v>0</v>
      </c>
      <c r="P307" s="25">
        <f t="shared" si="85"/>
        <v>0</v>
      </c>
      <c r="Q307" s="25">
        <f t="shared" si="85"/>
        <v>0</v>
      </c>
      <c r="R307" s="38">
        <v>3268.81</v>
      </c>
      <c r="S307" s="37">
        <f t="shared" si="78"/>
        <v>3073.81</v>
      </c>
      <c r="T307" s="37">
        <f t="shared" si="79"/>
        <v>3114.93</v>
      </c>
      <c r="U307" s="37">
        <f t="shared" si="80"/>
        <v>3168.62</v>
      </c>
      <c r="V307" s="37">
        <f t="shared" si="81"/>
        <v>3223.24</v>
      </c>
      <c r="W307" s="37">
        <f t="shared" si="82"/>
        <v>3278.8</v>
      </c>
      <c r="X307" s="25"/>
      <c r="Y307" s="38">
        <v>3268.81</v>
      </c>
      <c r="Z307" s="25">
        <f t="shared" si="83"/>
        <v>3268.81</v>
      </c>
      <c r="AA307" s="25">
        <f t="shared" si="83"/>
        <v>3114.93</v>
      </c>
      <c r="AC307" s="25">
        <f t="shared" si="84"/>
        <v>3268.81</v>
      </c>
      <c r="AD307" s="25">
        <v>0</v>
      </c>
    </row>
    <row r="308" spans="1:30" x14ac:dyDescent="0.25">
      <c r="A308" t="s">
        <v>585</v>
      </c>
      <c r="B308" t="s">
        <v>954</v>
      </c>
      <c r="C308" s="27">
        <v>5230.43</v>
      </c>
      <c r="D308" s="28" t="str">
        <f t="shared" si="71"/>
        <v>Yes</v>
      </c>
      <c r="E308" s="28" t="s">
        <v>653</v>
      </c>
      <c r="F308" s="11">
        <v>0</v>
      </c>
      <c r="G308" s="11">
        <v>0</v>
      </c>
      <c r="H308" s="37">
        <f t="shared" si="72"/>
        <v>5230.43</v>
      </c>
      <c r="I308" s="37">
        <f t="shared" si="73"/>
        <v>5300.3934353966988</v>
      </c>
      <c r="J308" s="37">
        <f t="shared" si="74"/>
        <v>5391.7606887915563</v>
      </c>
      <c r="K308" s="37">
        <f t="shared" si="75"/>
        <v>5484.7029148926231</v>
      </c>
      <c r="L308" s="37">
        <f t="shared" si="76"/>
        <v>5579.2472628034684</v>
      </c>
      <c r="M308" s="25">
        <f t="shared" si="77"/>
        <v>0</v>
      </c>
      <c r="N308" s="25">
        <f t="shared" si="77"/>
        <v>0</v>
      </c>
      <c r="O308" s="25">
        <f t="shared" si="77"/>
        <v>0</v>
      </c>
      <c r="P308" s="25">
        <f t="shared" si="85"/>
        <v>0</v>
      </c>
      <c r="Q308" s="25">
        <f t="shared" si="85"/>
        <v>0</v>
      </c>
      <c r="R308" s="38">
        <v>5347.88</v>
      </c>
      <c r="S308" s="37">
        <f t="shared" si="78"/>
        <v>5230.43</v>
      </c>
      <c r="T308" s="37">
        <f t="shared" si="79"/>
        <v>5300.39</v>
      </c>
      <c r="U308" s="37">
        <f t="shared" si="80"/>
        <v>5391.76</v>
      </c>
      <c r="V308" s="37">
        <f t="shared" si="81"/>
        <v>5484.7</v>
      </c>
      <c r="W308" s="37">
        <f t="shared" si="82"/>
        <v>5579.25</v>
      </c>
      <c r="X308" s="25"/>
      <c r="Y308" s="38">
        <v>5347.88</v>
      </c>
      <c r="Z308" s="25">
        <f t="shared" si="83"/>
        <v>5347.88</v>
      </c>
      <c r="AA308" s="25">
        <f t="shared" si="83"/>
        <v>5300.39</v>
      </c>
      <c r="AC308" s="25">
        <f t="shared" si="84"/>
        <v>5347.88</v>
      </c>
      <c r="AD308" s="25">
        <v>0</v>
      </c>
    </row>
    <row r="309" spans="1:30" x14ac:dyDescent="0.25">
      <c r="A309" t="s">
        <v>587</v>
      </c>
      <c r="B309" t="s">
        <v>955</v>
      </c>
      <c r="C309" s="27">
        <v>842.66</v>
      </c>
      <c r="D309" s="28" t="str">
        <f t="shared" si="71"/>
        <v>Yes</v>
      </c>
      <c r="E309" s="28" t="s">
        <v>653</v>
      </c>
      <c r="F309" s="11">
        <v>0</v>
      </c>
      <c r="G309" s="11">
        <v>0</v>
      </c>
      <c r="H309" s="37">
        <f t="shared" si="72"/>
        <v>842.66</v>
      </c>
      <c r="I309" s="37">
        <f t="shared" si="73"/>
        <v>853.93161408744254</v>
      </c>
      <c r="J309" s="37">
        <f t="shared" si="74"/>
        <v>868.65153763975286</v>
      </c>
      <c r="K309" s="37">
        <f t="shared" si="75"/>
        <v>883.62520065528406</v>
      </c>
      <c r="L309" s="37">
        <f t="shared" si="76"/>
        <v>898.8569770504472</v>
      </c>
      <c r="M309" s="25">
        <f t="shared" si="77"/>
        <v>0</v>
      </c>
      <c r="N309" s="25">
        <f t="shared" si="77"/>
        <v>0</v>
      </c>
      <c r="O309" s="25">
        <f t="shared" si="77"/>
        <v>0</v>
      </c>
      <c r="P309" s="25">
        <f t="shared" si="85"/>
        <v>0</v>
      </c>
      <c r="Q309" s="25">
        <f t="shared" si="85"/>
        <v>0</v>
      </c>
      <c r="R309" s="38">
        <v>864.4</v>
      </c>
      <c r="S309" s="37">
        <f t="shared" si="78"/>
        <v>842.66</v>
      </c>
      <c r="T309" s="37">
        <f t="shared" si="79"/>
        <v>853.93</v>
      </c>
      <c r="U309" s="37">
        <f t="shared" si="80"/>
        <v>868.65</v>
      </c>
      <c r="V309" s="37">
        <f t="shared" si="81"/>
        <v>883.63</v>
      </c>
      <c r="W309" s="37">
        <f t="shared" si="82"/>
        <v>898.86</v>
      </c>
      <c r="X309" s="25"/>
      <c r="Y309" s="38">
        <v>864.4</v>
      </c>
      <c r="Z309" s="25">
        <f t="shared" si="83"/>
        <v>864.4</v>
      </c>
      <c r="AA309" s="25">
        <f t="shared" si="83"/>
        <v>853.93</v>
      </c>
      <c r="AC309" s="25">
        <f t="shared" si="84"/>
        <v>864.4</v>
      </c>
      <c r="AD309" s="25">
        <v>0</v>
      </c>
    </row>
    <row r="310" spans="1:30" x14ac:dyDescent="0.25">
      <c r="A310" t="s">
        <v>966</v>
      </c>
      <c r="B310" t="s">
        <v>967</v>
      </c>
      <c r="C310" s="27">
        <v>127.5</v>
      </c>
      <c r="D310" s="28" t="str">
        <f t="shared" ref="D310" si="86">IF(C310&gt;100,"Yes","No")</f>
        <v>Yes</v>
      </c>
      <c r="E310" s="28" t="s">
        <v>653</v>
      </c>
      <c r="F310" s="11">
        <v>0</v>
      </c>
      <c r="G310" s="11">
        <v>0</v>
      </c>
      <c r="H310" s="37">
        <f t="shared" si="72"/>
        <v>127.5</v>
      </c>
      <c r="I310" s="37">
        <f t="shared" si="73"/>
        <v>129.20546934249748</v>
      </c>
      <c r="J310" s="37">
        <f t="shared" si="74"/>
        <v>131.43269058584542</v>
      </c>
      <c r="K310" s="37">
        <f t="shared" si="75"/>
        <v>133.69830427877048</v>
      </c>
      <c r="L310" s="37">
        <f t="shared" si="76"/>
        <v>136.002972223592</v>
      </c>
      <c r="M310" s="25">
        <f t="shared" si="77"/>
        <v>0</v>
      </c>
      <c r="N310" s="25">
        <f t="shared" si="77"/>
        <v>0</v>
      </c>
      <c r="O310" s="25">
        <f t="shared" si="77"/>
        <v>0</v>
      </c>
      <c r="P310" s="25">
        <f t="shared" si="85"/>
        <v>0</v>
      </c>
      <c r="Q310" s="25">
        <f t="shared" si="85"/>
        <v>0</v>
      </c>
      <c r="R310" s="38">
        <v>138.47999999999999</v>
      </c>
      <c r="S310" s="37">
        <f t="shared" si="78"/>
        <v>127.5</v>
      </c>
      <c r="T310" s="37">
        <f t="shared" si="79"/>
        <v>129.21</v>
      </c>
      <c r="U310" s="37">
        <f t="shared" si="80"/>
        <v>131.43</v>
      </c>
      <c r="V310" s="37">
        <f t="shared" si="81"/>
        <v>133.69999999999999</v>
      </c>
      <c r="W310" s="37">
        <f t="shared" si="82"/>
        <v>136</v>
      </c>
      <c r="X310" s="25"/>
      <c r="Y310" s="38">
        <v>0</v>
      </c>
      <c r="Z310" s="25">
        <f t="shared" si="83"/>
        <v>138.47999999999999</v>
      </c>
      <c r="AA310" s="25">
        <f t="shared" si="83"/>
        <v>129.21</v>
      </c>
      <c r="AC310" s="25">
        <f t="shared" si="84"/>
        <v>138.47999999999999</v>
      </c>
      <c r="AD310" s="25">
        <v>0</v>
      </c>
    </row>
    <row r="311" spans="1:30" x14ac:dyDescent="0.25">
      <c r="A311" s="30" t="s">
        <v>48</v>
      </c>
      <c r="B311" s="29" t="s">
        <v>984</v>
      </c>
      <c r="C311" s="26" t="s">
        <v>679</v>
      </c>
      <c r="D311" s="14" t="s">
        <v>993</v>
      </c>
      <c r="E311" s="28"/>
      <c r="F311" s="11"/>
      <c r="G311" s="11"/>
      <c r="H311" s="25"/>
      <c r="I311" s="25"/>
      <c r="J311" s="25"/>
      <c r="K311" s="25"/>
      <c r="M311" s="25"/>
      <c r="N311" s="25"/>
      <c r="O311" s="25"/>
      <c r="P311" s="25"/>
      <c r="Q311" s="25"/>
      <c r="S311" s="25"/>
      <c r="T311" s="25"/>
      <c r="U311" s="25"/>
      <c r="V311" s="25"/>
      <c r="X311" s="25"/>
      <c r="Z311" s="25"/>
      <c r="AA311" s="25"/>
      <c r="AB311" s="25"/>
    </row>
    <row r="312" spans="1:30" x14ac:dyDescent="0.25">
      <c r="A312" t="s">
        <v>182</v>
      </c>
      <c r="B312" s="29" t="s">
        <v>986</v>
      </c>
      <c r="C312" s="8" t="s">
        <v>763</v>
      </c>
      <c r="D312" s="8" t="s">
        <v>985</v>
      </c>
      <c r="E312" s="28"/>
      <c r="F312" s="11"/>
      <c r="G312" s="11"/>
      <c r="H312" s="25"/>
      <c r="I312" s="25"/>
      <c r="J312" s="25"/>
      <c r="K312" s="25"/>
      <c r="M312" s="25"/>
      <c r="N312" s="25"/>
      <c r="O312" s="25"/>
      <c r="P312" s="25"/>
      <c r="Q312" s="25"/>
      <c r="S312" s="25"/>
      <c r="T312" s="25"/>
      <c r="U312" s="25"/>
      <c r="V312" s="25"/>
      <c r="X312" s="25"/>
      <c r="Z312" s="25"/>
      <c r="AA312" s="25"/>
      <c r="AB312" s="25"/>
    </row>
    <row r="313" spans="1:30" x14ac:dyDescent="0.25">
      <c r="A313" t="s">
        <v>215</v>
      </c>
      <c r="B313" s="29" t="s">
        <v>988</v>
      </c>
      <c r="C313" s="8" t="s">
        <v>770</v>
      </c>
      <c r="D313" s="8" t="s">
        <v>987</v>
      </c>
      <c r="E313" s="28"/>
      <c r="F313" s="11"/>
      <c r="G313" s="11"/>
      <c r="H313" s="25"/>
      <c r="I313" s="25"/>
      <c r="J313" s="25"/>
      <c r="K313" s="25"/>
      <c r="M313" s="25"/>
      <c r="N313" s="25"/>
      <c r="O313" s="25"/>
      <c r="P313" s="25"/>
      <c r="Q313" s="25"/>
      <c r="S313" s="25"/>
      <c r="T313" s="25"/>
      <c r="U313" s="25"/>
      <c r="V313" s="25"/>
      <c r="X313" s="25"/>
      <c r="Z313" s="25"/>
      <c r="AA313" s="25"/>
      <c r="AB313" s="25"/>
    </row>
    <row r="314" spans="1:30" x14ac:dyDescent="0.25">
      <c r="A314" s="27" t="s">
        <v>349</v>
      </c>
      <c r="B314" s="29" t="s">
        <v>981</v>
      </c>
      <c r="C314" s="26" t="s">
        <v>961</v>
      </c>
      <c r="D314" s="14" t="s">
        <v>992</v>
      </c>
      <c r="E314" s="28"/>
      <c r="F314" s="11"/>
      <c r="G314" s="11"/>
      <c r="H314" s="25"/>
      <c r="I314" s="25"/>
      <c r="J314" s="25"/>
      <c r="K314" s="25"/>
      <c r="M314" s="25"/>
      <c r="N314" s="25"/>
      <c r="O314" s="25"/>
      <c r="P314" s="25"/>
      <c r="Q314" s="25"/>
      <c r="S314" s="25"/>
      <c r="T314" s="25"/>
      <c r="U314" s="25"/>
      <c r="V314" s="25"/>
      <c r="X314" s="25"/>
      <c r="Z314" s="25"/>
      <c r="AA314" s="25"/>
      <c r="AB314" s="25"/>
    </row>
    <row r="315" spans="1:30" x14ac:dyDescent="0.25">
      <c r="A315" s="27" t="s">
        <v>489</v>
      </c>
      <c r="B315" s="29" t="s">
        <v>983</v>
      </c>
      <c r="C315" s="26" t="s">
        <v>910</v>
      </c>
      <c r="D315" s="14" t="s">
        <v>982</v>
      </c>
      <c r="E315" s="28"/>
      <c r="F315" s="11"/>
      <c r="G315" s="11"/>
      <c r="H315" s="25"/>
      <c r="I315" s="25"/>
      <c r="J315" s="25"/>
      <c r="K315" s="25"/>
      <c r="M315" s="25"/>
      <c r="N315" s="25"/>
      <c r="O315" s="25"/>
      <c r="P315" s="25"/>
      <c r="Q315" s="25"/>
      <c r="S315" s="25"/>
      <c r="T315" s="25"/>
      <c r="U315" s="25"/>
      <c r="V315" s="25"/>
      <c r="X315" s="25"/>
      <c r="Z315" s="25"/>
      <c r="AA315" s="25"/>
      <c r="AB315" s="25"/>
    </row>
    <row r="316" spans="1:30" x14ac:dyDescent="0.25">
      <c r="A316" t="s">
        <v>519</v>
      </c>
      <c r="B316" s="29" t="s">
        <v>990</v>
      </c>
      <c r="C316" s="8" t="s">
        <v>927</v>
      </c>
      <c r="D316" s="8" t="s">
        <v>989</v>
      </c>
      <c r="E316" s="28"/>
      <c r="F316" s="11"/>
      <c r="G316" s="11"/>
      <c r="H316" s="25"/>
      <c r="I316" s="25"/>
      <c r="J316" s="25"/>
      <c r="K316" s="25"/>
      <c r="M316" s="25"/>
      <c r="N316" s="25"/>
      <c r="O316" s="25"/>
      <c r="P316" s="25"/>
      <c r="Q316" s="25"/>
      <c r="S316" s="25"/>
      <c r="T316" s="25"/>
      <c r="U316" s="25"/>
      <c r="V316" s="25"/>
      <c r="X316" s="25"/>
      <c r="Z316" s="25"/>
      <c r="AA316" s="25"/>
      <c r="AB316" s="25"/>
    </row>
    <row r="317" spans="1:30" x14ac:dyDescent="0.25">
      <c r="A317" s="30" t="s">
        <v>575</v>
      </c>
      <c r="B317" s="29" t="s">
        <v>980</v>
      </c>
      <c r="C317" s="26" t="s">
        <v>966</v>
      </c>
      <c r="D317" s="14" t="s">
        <v>991</v>
      </c>
      <c r="E317" s="28"/>
      <c r="F317" s="11"/>
      <c r="G317" s="11"/>
      <c r="H317" s="25"/>
      <c r="I317" s="25"/>
      <c r="J317" s="25"/>
      <c r="K317" s="25"/>
      <c r="M317" s="25"/>
      <c r="N317" s="25"/>
      <c r="O317" s="25"/>
      <c r="P317" s="25"/>
      <c r="Q317" s="25"/>
      <c r="S317" s="25"/>
      <c r="T317" s="25"/>
      <c r="U317" s="25"/>
      <c r="V317" s="25"/>
      <c r="X317" s="25"/>
      <c r="Z317" s="25"/>
      <c r="AA317" s="25"/>
      <c r="AB317" s="25"/>
    </row>
  </sheetData>
  <autoFilter ref="A8:W317" xr:uid="{00000000-0009-0000-0000-000005000000}"/>
  <sortState xmlns:xlrd2="http://schemas.microsoft.com/office/spreadsheetml/2017/richdata2" ref="A311:D317">
    <sortCondition ref="A311:A317"/>
  </sortState>
  <mergeCells count="1">
    <mergeCell ref="M5:P5"/>
  </mergeCells>
  <phoneticPr fontId="11" type="noConversion"/>
  <conditionalFormatting sqref="A5">
    <cfRule type="duplicateValues" dxfId="4" priority="1"/>
  </conditionalFormatting>
  <conditionalFormatting sqref="A201">
    <cfRule type="duplicateValues" dxfId="3" priority="5"/>
  </conditionalFormatting>
  <conditionalFormatting sqref="A202:A306 A9:A200">
    <cfRule type="duplicateValues" dxfId="2" priority="6"/>
  </conditionalFormatting>
  <conditionalFormatting sqref="C311:C314 A6:A8">
    <cfRule type="duplicateValues" dxfId="1" priority="7"/>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filterMode="1"/>
  <dimension ref="A1:K29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2" max="2" width="20.42578125" bestFit="1" customWidth="1"/>
    <col min="3" max="8" width="14.28515625" bestFit="1" customWidth="1"/>
    <col min="9" max="10" width="13.85546875" bestFit="1" customWidth="1"/>
    <col min="11" max="11" width="21.5703125" bestFit="1" customWidth="1"/>
  </cols>
  <sheetData>
    <row r="1" spans="1:11" x14ac:dyDescent="0.25">
      <c r="A1" t="s">
        <v>606</v>
      </c>
      <c r="B1" t="s">
        <v>596</v>
      </c>
      <c r="C1" s="5">
        <v>2019</v>
      </c>
      <c r="D1" s="5">
        <v>2020</v>
      </c>
      <c r="E1" s="5">
        <v>2021</v>
      </c>
      <c r="F1" s="5">
        <v>2022</v>
      </c>
      <c r="G1" s="5">
        <v>2023</v>
      </c>
      <c r="H1" s="5">
        <v>2024</v>
      </c>
      <c r="I1" s="5">
        <v>2025</v>
      </c>
      <c r="J1" s="5">
        <v>2026</v>
      </c>
      <c r="K1" t="s">
        <v>1164</v>
      </c>
    </row>
    <row r="2" spans="1:11" hidden="1" x14ac:dyDescent="0.25">
      <c r="A2" t="s">
        <v>634</v>
      </c>
      <c r="B2" t="s">
        <v>635</v>
      </c>
      <c r="C2" s="6">
        <f t="shared" ref="C2:J2" si="0">SUM(C3:C297)</f>
        <v>2243795589</v>
      </c>
      <c r="D2" s="6">
        <f t="shared" si="0"/>
        <v>2276315760</v>
      </c>
      <c r="E2" s="6">
        <f t="shared" si="0"/>
        <v>2380406000</v>
      </c>
      <c r="F2" s="6">
        <f t="shared" si="0"/>
        <v>2547417684</v>
      </c>
      <c r="G2" s="6">
        <f t="shared" si="0"/>
        <v>2539331235</v>
      </c>
      <c r="H2" s="6">
        <f t="shared" si="0"/>
        <v>2534077919</v>
      </c>
      <c r="I2" s="6">
        <f t="shared" si="0"/>
        <v>1713430840</v>
      </c>
      <c r="J2" s="6">
        <f t="shared" si="0"/>
        <v>1331165676</v>
      </c>
      <c r="K2" s="6"/>
    </row>
    <row r="3" spans="1:11" hidden="1" x14ac:dyDescent="0.25">
      <c r="A3" t="s">
        <v>0</v>
      </c>
      <c r="B3" t="s">
        <v>1</v>
      </c>
      <c r="C3" s="2">
        <v>79075</v>
      </c>
      <c r="D3" s="2">
        <v>79075</v>
      </c>
      <c r="E3" s="2">
        <v>150000</v>
      </c>
      <c r="F3" s="2">
        <v>150000</v>
      </c>
      <c r="G3" s="2">
        <v>150000</v>
      </c>
      <c r="H3" s="2">
        <v>150000</v>
      </c>
      <c r="I3" s="2">
        <v>150000</v>
      </c>
      <c r="J3" s="2">
        <v>150000</v>
      </c>
      <c r="K3" s="2"/>
    </row>
    <row r="4" spans="1:11" hidden="1" x14ac:dyDescent="0.25">
      <c r="A4" t="s">
        <v>2</v>
      </c>
      <c r="B4" t="s">
        <v>3</v>
      </c>
      <c r="C4" s="2">
        <v>40000</v>
      </c>
      <c r="D4" s="2">
        <v>40000</v>
      </c>
      <c r="E4" s="2">
        <v>50000</v>
      </c>
      <c r="F4" s="2">
        <v>50000</v>
      </c>
      <c r="G4" s="2">
        <v>50000</v>
      </c>
      <c r="H4" s="2">
        <v>50000</v>
      </c>
      <c r="I4" s="2">
        <v>0</v>
      </c>
      <c r="J4" s="2">
        <v>0</v>
      </c>
      <c r="K4" s="2"/>
    </row>
    <row r="5" spans="1:11" hidden="1" x14ac:dyDescent="0.25">
      <c r="A5" t="s">
        <v>4</v>
      </c>
      <c r="B5" t="s">
        <v>5</v>
      </c>
      <c r="C5" s="2">
        <v>3200000</v>
      </c>
      <c r="D5" s="2">
        <v>3350000</v>
      </c>
      <c r="E5" s="2">
        <v>2350000</v>
      </c>
      <c r="F5" s="2">
        <v>2435000</v>
      </c>
      <c r="G5" s="2">
        <v>2560000</v>
      </c>
      <c r="H5" s="2">
        <v>0</v>
      </c>
      <c r="I5" s="2">
        <v>0</v>
      </c>
      <c r="J5" s="2">
        <v>0</v>
      </c>
      <c r="K5" s="2"/>
    </row>
    <row r="6" spans="1:11" hidden="1" x14ac:dyDescent="0.25">
      <c r="A6" t="s">
        <v>6</v>
      </c>
      <c r="B6" t="s">
        <v>7</v>
      </c>
      <c r="C6" s="2">
        <v>465000</v>
      </c>
      <c r="D6" s="2">
        <v>511000</v>
      </c>
      <c r="E6" s="2">
        <v>525000</v>
      </c>
      <c r="F6" s="2">
        <v>525000</v>
      </c>
      <c r="G6" s="2">
        <v>545000</v>
      </c>
      <c r="H6" s="2">
        <v>555000</v>
      </c>
      <c r="I6" s="2">
        <v>0</v>
      </c>
      <c r="J6" s="2">
        <v>0</v>
      </c>
      <c r="K6" s="2"/>
    </row>
    <row r="7" spans="1:11" hidden="1" x14ac:dyDescent="0.25">
      <c r="A7" t="s">
        <v>8</v>
      </c>
      <c r="B7" t="s">
        <v>9</v>
      </c>
      <c r="C7" s="2">
        <v>596719</v>
      </c>
      <c r="D7" s="2">
        <v>656391</v>
      </c>
      <c r="E7" s="2">
        <v>877500</v>
      </c>
      <c r="F7" s="2">
        <v>877500</v>
      </c>
      <c r="G7" s="2">
        <v>914000</v>
      </c>
      <c r="H7" s="2">
        <v>914000</v>
      </c>
      <c r="I7" s="2">
        <v>0</v>
      </c>
      <c r="J7" s="2">
        <v>0</v>
      </c>
      <c r="K7" s="2"/>
    </row>
    <row r="8" spans="1:11" hidden="1" x14ac:dyDescent="0.25">
      <c r="A8" t="s">
        <v>10</v>
      </c>
      <c r="B8" t="s">
        <v>11</v>
      </c>
      <c r="C8" s="2">
        <v>2337122</v>
      </c>
      <c r="D8" s="2">
        <v>2570834</v>
      </c>
      <c r="E8" s="2">
        <v>2827917</v>
      </c>
      <c r="F8" s="2">
        <v>3110709</v>
      </c>
      <c r="G8" s="2">
        <v>4261000</v>
      </c>
      <c r="H8" s="2">
        <v>4474000</v>
      </c>
      <c r="I8" s="2">
        <v>4698000</v>
      </c>
      <c r="J8" s="2">
        <v>4933000</v>
      </c>
      <c r="K8" s="2"/>
    </row>
    <row r="9" spans="1:11" hidden="1" x14ac:dyDescent="0.25">
      <c r="A9" t="s">
        <v>12</v>
      </c>
      <c r="B9" t="s">
        <v>13</v>
      </c>
      <c r="C9" s="2">
        <v>652000</v>
      </c>
      <c r="D9" s="2">
        <v>635000</v>
      </c>
      <c r="E9" s="2">
        <v>648000</v>
      </c>
      <c r="F9" s="2">
        <v>1018827</v>
      </c>
      <c r="G9" s="2">
        <v>1049392</v>
      </c>
      <c r="H9" s="2">
        <v>1080874</v>
      </c>
      <c r="I9" s="2">
        <v>1113300</v>
      </c>
      <c r="J9" s="2">
        <v>0</v>
      </c>
      <c r="K9" s="2"/>
    </row>
    <row r="10" spans="1:11" x14ac:dyDescent="0.25">
      <c r="A10" t="s">
        <v>14</v>
      </c>
      <c r="B10" t="s">
        <v>15</v>
      </c>
      <c r="C10" s="2">
        <v>13200000</v>
      </c>
      <c r="D10" s="2">
        <v>14850000</v>
      </c>
      <c r="E10" s="2">
        <v>16500000</v>
      </c>
      <c r="F10" s="2">
        <v>18150000</v>
      </c>
      <c r="G10" s="2">
        <v>0</v>
      </c>
      <c r="H10" s="2">
        <v>0</v>
      </c>
      <c r="I10" s="2">
        <v>0</v>
      </c>
      <c r="J10" s="2">
        <v>0</v>
      </c>
      <c r="K10" s="2"/>
    </row>
    <row r="11" spans="1:11" hidden="1" x14ac:dyDescent="0.25">
      <c r="A11" t="s">
        <v>16</v>
      </c>
      <c r="B11" t="s">
        <v>17</v>
      </c>
      <c r="C11" s="2">
        <v>314807</v>
      </c>
      <c r="D11" s="2">
        <v>330547</v>
      </c>
      <c r="E11" s="2">
        <v>335521</v>
      </c>
      <c r="F11" s="2">
        <v>346314</v>
      </c>
      <c r="G11" s="2">
        <v>355497</v>
      </c>
      <c r="H11" s="2">
        <v>0</v>
      </c>
      <c r="I11" s="2">
        <v>0</v>
      </c>
      <c r="J11" s="2">
        <v>0</v>
      </c>
      <c r="K11" s="2"/>
    </row>
    <row r="12" spans="1:11" hidden="1" x14ac:dyDescent="0.25">
      <c r="A12" t="s">
        <v>18</v>
      </c>
      <c r="B12" t="s">
        <v>19</v>
      </c>
      <c r="C12" s="2">
        <v>1400000</v>
      </c>
      <c r="D12" s="2">
        <v>1500000</v>
      </c>
      <c r="E12" s="2">
        <v>0</v>
      </c>
      <c r="F12" s="2">
        <v>1445090</v>
      </c>
      <c r="G12" s="2">
        <v>1560697</v>
      </c>
      <c r="H12" s="2">
        <v>0</v>
      </c>
      <c r="I12" s="2">
        <v>0</v>
      </c>
      <c r="J12" s="2">
        <v>0</v>
      </c>
      <c r="K12" s="2"/>
    </row>
    <row r="13" spans="1:11" x14ac:dyDescent="0.25">
      <c r="A13" t="s">
        <v>20</v>
      </c>
      <c r="B13" t="s">
        <v>21</v>
      </c>
      <c r="C13" s="2">
        <v>1000000</v>
      </c>
      <c r="D13" s="2">
        <v>1000000</v>
      </c>
      <c r="E13" s="2">
        <v>1125000</v>
      </c>
      <c r="F13" s="2">
        <v>1175000</v>
      </c>
      <c r="G13" s="2">
        <v>0</v>
      </c>
      <c r="H13" s="2">
        <v>0</v>
      </c>
      <c r="I13" s="2">
        <v>0</v>
      </c>
      <c r="J13" s="2">
        <v>0</v>
      </c>
      <c r="K13" s="2"/>
    </row>
    <row r="14" spans="1:11" hidden="1" x14ac:dyDescent="0.25">
      <c r="A14" t="s">
        <v>22</v>
      </c>
      <c r="B14" t="s">
        <v>23</v>
      </c>
      <c r="C14" s="2">
        <v>2412401</v>
      </c>
      <c r="D14" s="2">
        <v>2774261</v>
      </c>
      <c r="E14" s="2">
        <v>3190400</v>
      </c>
      <c r="F14" s="2">
        <v>3668960</v>
      </c>
      <c r="G14" s="138">
        <v>3782032</v>
      </c>
      <c r="H14" s="138">
        <v>3895493</v>
      </c>
      <c r="I14" s="2">
        <v>0</v>
      </c>
      <c r="J14" s="2">
        <v>0</v>
      </c>
      <c r="K14" s="2"/>
    </row>
    <row r="15" spans="1:11" hidden="1" x14ac:dyDescent="0.25">
      <c r="A15" t="s">
        <v>24</v>
      </c>
      <c r="B15" t="s">
        <v>25</v>
      </c>
      <c r="C15" s="2">
        <v>23000000</v>
      </c>
      <c r="D15" s="2">
        <v>24000000</v>
      </c>
      <c r="E15" s="2">
        <v>25000000</v>
      </c>
      <c r="F15" s="2">
        <v>26000000</v>
      </c>
      <c r="G15" s="2">
        <v>28533131</v>
      </c>
      <c r="H15" s="2">
        <v>29959787</v>
      </c>
      <c r="I15" s="2">
        <v>31457777</v>
      </c>
      <c r="J15" s="2">
        <v>33030666</v>
      </c>
      <c r="K15" s="2"/>
    </row>
    <row r="16" spans="1:11" hidden="1" x14ac:dyDescent="0.25">
      <c r="A16" t="s">
        <v>26</v>
      </c>
      <c r="B16" t="s">
        <v>27</v>
      </c>
      <c r="C16" s="2">
        <v>1426962</v>
      </c>
      <c r="D16" s="2">
        <v>1449314</v>
      </c>
      <c r="E16" s="2">
        <v>1536273</v>
      </c>
      <c r="F16" s="2">
        <v>1671774</v>
      </c>
      <c r="G16" s="2">
        <v>1738474</v>
      </c>
      <c r="H16" s="2">
        <v>0</v>
      </c>
      <c r="I16" s="2">
        <v>0</v>
      </c>
      <c r="J16" s="2">
        <v>0</v>
      </c>
      <c r="K16" s="2"/>
    </row>
    <row r="17" spans="1:11" x14ac:dyDescent="0.25">
      <c r="A17" t="s">
        <v>28</v>
      </c>
      <c r="B17" t="s">
        <v>29</v>
      </c>
      <c r="C17" s="2">
        <v>0</v>
      </c>
      <c r="D17" s="2">
        <v>0</v>
      </c>
      <c r="E17" s="2">
        <v>0</v>
      </c>
      <c r="F17" s="2">
        <v>0</v>
      </c>
      <c r="G17" s="2">
        <v>0</v>
      </c>
      <c r="H17" s="2">
        <v>0</v>
      </c>
      <c r="I17" s="2">
        <v>0</v>
      </c>
      <c r="J17" s="2">
        <v>0</v>
      </c>
      <c r="K17" s="2"/>
    </row>
    <row r="18" spans="1:11" hidden="1" x14ac:dyDescent="0.25">
      <c r="A18" t="s">
        <v>30</v>
      </c>
      <c r="B18" t="s">
        <v>31</v>
      </c>
      <c r="C18" s="2">
        <v>650000</v>
      </c>
      <c r="D18" s="2">
        <v>650000</v>
      </c>
      <c r="E18" s="2">
        <v>485000</v>
      </c>
      <c r="F18" s="2">
        <v>500000</v>
      </c>
      <c r="G18" s="2">
        <v>500000</v>
      </c>
      <c r="H18" s="2">
        <v>515000</v>
      </c>
      <c r="I18" s="2">
        <v>0</v>
      </c>
      <c r="J18" s="2">
        <v>0</v>
      </c>
      <c r="K18" s="2"/>
    </row>
    <row r="19" spans="1:11" hidden="1" x14ac:dyDescent="0.25">
      <c r="A19" t="s">
        <v>32</v>
      </c>
      <c r="B19" t="s">
        <v>33</v>
      </c>
      <c r="C19" s="2">
        <v>3354086</v>
      </c>
      <c r="D19" s="2">
        <v>3454709</v>
      </c>
      <c r="E19" s="2">
        <v>3539532</v>
      </c>
      <c r="F19" s="2">
        <v>3608822</v>
      </c>
      <c r="G19" s="2">
        <v>3850000</v>
      </c>
      <c r="H19" s="2">
        <v>3950000</v>
      </c>
      <c r="I19" s="2">
        <v>0</v>
      </c>
      <c r="J19" s="2">
        <v>0</v>
      </c>
      <c r="K19" s="2"/>
    </row>
    <row r="20" spans="1:11" hidden="1" x14ac:dyDescent="0.25">
      <c r="A20" t="s">
        <v>34</v>
      </c>
      <c r="B20" t="s">
        <v>35</v>
      </c>
      <c r="C20" s="2">
        <v>1462859</v>
      </c>
      <c r="D20" s="2">
        <v>1682288</v>
      </c>
      <c r="E20" s="2">
        <v>1673883</v>
      </c>
      <c r="F20" s="2">
        <v>2065314</v>
      </c>
      <c r="G20" s="2">
        <v>2508661</v>
      </c>
      <c r="H20" s="2">
        <v>2709354</v>
      </c>
      <c r="I20" s="2">
        <v>0</v>
      </c>
      <c r="J20" s="2">
        <v>0</v>
      </c>
      <c r="K20" s="2"/>
    </row>
    <row r="21" spans="1:11" hidden="1" x14ac:dyDescent="0.25">
      <c r="A21" t="s">
        <v>36</v>
      </c>
      <c r="B21" t="s">
        <v>37</v>
      </c>
      <c r="C21" s="2">
        <v>3195365</v>
      </c>
      <c r="D21" s="2">
        <v>3227319</v>
      </c>
      <c r="E21" s="2">
        <v>3259592</v>
      </c>
      <c r="F21" s="2">
        <v>3450000</v>
      </c>
      <c r="G21" s="2">
        <v>3650000</v>
      </c>
      <c r="H21" s="2">
        <v>3915000</v>
      </c>
      <c r="I21" s="2">
        <v>4000000</v>
      </c>
      <c r="J21" s="2">
        <v>0</v>
      </c>
      <c r="K21" s="2"/>
    </row>
    <row r="22" spans="1:11" hidden="1" x14ac:dyDescent="0.25">
      <c r="A22" t="s">
        <v>38</v>
      </c>
      <c r="B22" t="s">
        <v>39</v>
      </c>
      <c r="C22" s="2">
        <v>12903727</v>
      </c>
      <c r="D22" s="2">
        <v>13290839</v>
      </c>
      <c r="E22" s="2">
        <v>13689564</v>
      </c>
      <c r="F22" s="2">
        <v>12000000</v>
      </c>
      <c r="G22" s="2">
        <v>12350000</v>
      </c>
      <c r="H22" s="2">
        <v>12700000</v>
      </c>
      <c r="I22" s="2">
        <v>13050000</v>
      </c>
      <c r="J22" s="2">
        <v>0</v>
      </c>
      <c r="K22" s="2"/>
    </row>
    <row r="23" spans="1:11" hidden="1" x14ac:dyDescent="0.25">
      <c r="A23" t="s">
        <v>40</v>
      </c>
      <c r="B23" t="s">
        <v>41</v>
      </c>
      <c r="C23" s="2">
        <v>9100000</v>
      </c>
      <c r="D23" s="2">
        <v>9100000</v>
      </c>
      <c r="E23" s="2">
        <v>9100000</v>
      </c>
      <c r="F23" s="2">
        <v>5600000</v>
      </c>
      <c r="G23" s="2">
        <v>5600000</v>
      </c>
      <c r="H23" s="2">
        <v>5600000</v>
      </c>
      <c r="I23" s="2">
        <v>5600000</v>
      </c>
      <c r="J23" s="2">
        <v>0</v>
      </c>
      <c r="K23" s="2"/>
    </row>
    <row r="24" spans="1:11" hidden="1" x14ac:dyDescent="0.25">
      <c r="A24" t="s">
        <v>42</v>
      </c>
      <c r="B24" t="s">
        <v>43</v>
      </c>
      <c r="C24" s="2">
        <v>520000</v>
      </c>
      <c r="D24" s="2">
        <v>520000</v>
      </c>
      <c r="E24" s="2">
        <v>520000</v>
      </c>
      <c r="F24" s="2">
        <v>520000</v>
      </c>
      <c r="G24" s="2">
        <v>520000</v>
      </c>
      <c r="H24" s="2">
        <v>520000</v>
      </c>
      <c r="I24" s="2">
        <v>0</v>
      </c>
      <c r="J24" s="2">
        <v>0</v>
      </c>
      <c r="K24" s="2"/>
    </row>
    <row r="25" spans="1:11" hidden="1" x14ac:dyDescent="0.25">
      <c r="A25" t="s">
        <v>44</v>
      </c>
      <c r="B25" t="s">
        <v>45</v>
      </c>
      <c r="C25" s="2">
        <v>6524000</v>
      </c>
      <c r="D25" s="2">
        <v>6724000</v>
      </c>
      <c r="E25" s="2">
        <v>6924000</v>
      </c>
      <c r="F25" s="2">
        <v>7155000</v>
      </c>
      <c r="G25" s="2">
        <v>7338560</v>
      </c>
      <c r="H25" s="2">
        <v>7526780</v>
      </c>
      <c r="I25" s="2">
        <v>7718191</v>
      </c>
      <c r="J25" s="2">
        <v>0</v>
      </c>
      <c r="K25" s="2"/>
    </row>
    <row r="26" spans="1:11" hidden="1" x14ac:dyDescent="0.25">
      <c r="A26" t="s">
        <v>46</v>
      </c>
      <c r="B26" t="s">
        <v>47</v>
      </c>
      <c r="C26" s="2">
        <v>275000</v>
      </c>
      <c r="D26" s="2">
        <v>275000</v>
      </c>
      <c r="E26" s="2">
        <v>360000</v>
      </c>
      <c r="F26" s="2">
        <v>361800</v>
      </c>
      <c r="G26" s="2">
        <v>361981</v>
      </c>
      <c r="H26" s="2">
        <v>362162</v>
      </c>
      <c r="I26" s="2">
        <v>0</v>
      </c>
      <c r="J26" s="2">
        <v>0</v>
      </c>
      <c r="K26" s="2"/>
    </row>
    <row r="27" spans="1:11" hidden="1" x14ac:dyDescent="0.25">
      <c r="A27" t="s">
        <v>48</v>
      </c>
      <c r="B27" t="s">
        <v>49</v>
      </c>
      <c r="C27" s="2">
        <v>714304</v>
      </c>
      <c r="D27" s="2">
        <v>714304</v>
      </c>
      <c r="E27" s="2">
        <v>714304</v>
      </c>
      <c r="F27" s="2">
        <v>714304</v>
      </c>
      <c r="G27" s="2">
        <v>714304</v>
      </c>
      <c r="H27" s="2">
        <v>714304</v>
      </c>
      <c r="I27" s="2">
        <v>714304</v>
      </c>
      <c r="J27" s="2">
        <v>0</v>
      </c>
      <c r="K27" s="2"/>
    </row>
    <row r="28" spans="1:11" hidden="1" x14ac:dyDescent="0.25">
      <c r="A28" t="s">
        <v>50</v>
      </c>
      <c r="B28" t="s">
        <v>51</v>
      </c>
      <c r="C28" s="2">
        <v>48400000</v>
      </c>
      <c r="D28" s="2">
        <v>32775000</v>
      </c>
      <c r="E28" s="2">
        <v>45400000</v>
      </c>
      <c r="F28" s="2">
        <v>48640000</v>
      </c>
      <c r="G28" s="2">
        <v>52175000</v>
      </c>
      <c r="H28" s="2">
        <v>0</v>
      </c>
      <c r="I28" s="2">
        <v>0</v>
      </c>
      <c r="J28" s="2">
        <v>0</v>
      </c>
      <c r="K28" s="2"/>
    </row>
    <row r="29" spans="1:11" hidden="1" x14ac:dyDescent="0.25">
      <c r="A29" t="s">
        <v>52</v>
      </c>
      <c r="B29" t="s">
        <v>53</v>
      </c>
      <c r="C29" s="2">
        <v>4997000</v>
      </c>
      <c r="D29" s="2">
        <v>2685000</v>
      </c>
      <c r="E29" s="2">
        <v>3005000</v>
      </c>
      <c r="F29" s="2">
        <v>3335000</v>
      </c>
      <c r="G29" s="2">
        <v>4075000</v>
      </c>
      <c r="H29" s="2">
        <v>4300000</v>
      </c>
      <c r="I29" s="2">
        <v>4525000</v>
      </c>
      <c r="J29" s="2">
        <v>4775000</v>
      </c>
      <c r="K29" s="2"/>
    </row>
    <row r="30" spans="1:11" hidden="1" x14ac:dyDescent="0.25">
      <c r="A30" t="s">
        <v>54</v>
      </c>
      <c r="B30" t="s">
        <v>55</v>
      </c>
      <c r="C30" s="2">
        <v>2954259</v>
      </c>
      <c r="D30" s="2">
        <v>2405775</v>
      </c>
      <c r="E30" s="2">
        <v>2766641</v>
      </c>
      <c r="F30" s="2">
        <v>3181637</v>
      </c>
      <c r="G30" s="2">
        <v>2635172</v>
      </c>
      <c r="H30" s="2">
        <v>2819501</v>
      </c>
      <c r="I30" s="2">
        <v>3016734</v>
      </c>
      <c r="J30" s="2">
        <v>0</v>
      </c>
      <c r="K30" s="2"/>
    </row>
    <row r="31" spans="1:11" hidden="1" x14ac:dyDescent="0.25">
      <c r="A31" t="s">
        <v>56</v>
      </c>
      <c r="B31" t="s">
        <v>57</v>
      </c>
      <c r="C31" s="2">
        <v>550000</v>
      </c>
      <c r="D31" s="2">
        <v>321129</v>
      </c>
      <c r="E31" s="2">
        <v>353241</v>
      </c>
      <c r="F31" s="2">
        <v>388566</v>
      </c>
      <c r="G31" s="2">
        <v>419920</v>
      </c>
      <c r="H31" s="2">
        <v>432298</v>
      </c>
      <c r="I31" s="2">
        <v>0</v>
      </c>
      <c r="J31" s="2">
        <v>0</v>
      </c>
      <c r="K31" s="2"/>
    </row>
    <row r="32" spans="1:11" hidden="1" x14ac:dyDescent="0.25">
      <c r="A32" t="s">
        <v>58</v>
      </c>
      <c r="B32" t="s">
        <v>59</v>
      </c>
      <c r="C32" s="2">
        <v>7750000</v>
      </c>
      <c r="D32" s="2">
        <v>7980000</v>
      </c>
      <c r="E32" s="2">
        <v>7392656</v>
      </c>
      <c r="F32" s="2">
        <v>7984068</v>
      </c>
      <c r="G32" s="2">
        <v>8622793</v>
      </c>
      <c r="H32" s="2">
        <v>0</v>
      </c>
      <c r="I32" s="2">
        <v>0</v>
      </c>
      <c r="J32" s="2">
        <v>0</v>
      </c>
      <c r="K32" s="2"/>
    </row>
    <row r="33" spans="1:11" hidden="1" x14ac:dyDescent="0.25">
      <c r="A33" t="s">
        <v>60</v>
      </c>
      <c r="B33" t="s">
        <v>61</v>
      </c>
      <c r="C33" s="2">
        <v>54097000</v>
      </c>
      <c r="D33" s="2">
        <v>31950000</v>
      </c>
      <c r="E33" s="2">
        <v>35300000</v>
      </c>
      <c r="F33" s="2">
        <v>38650000</v>
      </c>
      <c r="G33" s="138">
        <v>42900000</v>
      </c>
      <c r="H33" s="138">
        <v>45500000</v>
      </c>
      <c r="I33" s="138">
        <v>47800000</v>
      </c>
      <c r="J33" s="2">
        <v>0</v>
      </c>
      <c r="K33" s="2"/>
    </row>
    <row r="34" spans="1:11" hidden="1" x14ac:dyDescent="0.25">
      <c r="A34" t="s">
        <v>62</v>
      </c>
      <c r="B34" t="s">
        <v>63</v>
      </c>
      <c r="C34" s="2">
        <v>16583000</v>
      </c>
      <c r="D34" s="2">
        <v>17080000</v>
      </c>
      <c r="E34" s="2">
        <v>17593000</v>
      </c>
      <c r="F34" s="2">
        <v>17180000</v>
      </c>
      <c r="G34" s="2">
        <v>17690000</v>
      </c>
      <c r="H34" s="2">
        <v>18220000</v>
      </c>
      <c r="I34" s="2">
        <v>0</v>
      </c>
      <c r="J34" s="2">
        <v>0</v>
      </c>
      <c r="K34" s="2"/>
    </row>
    <row r="35" spans="1:11" hidden="1" x14ac:dyDescent="0.25">
      <c r="A35" t="s">
        <v>64</v>
      </c>
      <c r="B35" t="s">
        <v>65</v>
      </c>
      <c r="C35" s="2">
        <v>33260000</v>
      </c>
      <c r="D35" s="2">
        <v>34930000</v>
      </c>
      <c r="E35" s="2">
        <v>36670000</v>
      </c>
      <c r="F35" s="2">
        <v>26750000</v>
      </c>
      <c r="G35" s="2">
        <v>28200000</v>
      </c>
      <c r="H35" s="2">
        <v>29650000</v>
      </c>
      <c r="I35" s="2">
        <v>31100000</v>
      </c>
      <c r="J35" s="2">
        <v>0</v>
      </c>
      <c r="K35" s="2"/>
    </row>
    <row r="36" spans="1:11" hidden="1" x14ac:dyDescent="0.25">
      <c r="A36" t="s">
        <v>66</v>
      </c>
      <c r="B36" t="s">
        <v>67</v>
      </c>
      <c r="C36" s="2">
        <v>7572923</v>
      </c>
      <c r="D36" s="2">
        <v>6144310</v>
      </c>
      <c r="E36" s="2">
        <v>7065957</v>
      </c>
      <c r="F36" s="2">
        <v>7984531</v>
      </c>
      <c r="G36" s="2">
        <v>9053791</v>
      </c>
      <c r="H36" s="2">
        <v>10411860</v>
      </c>
      <c r="I36" s="2">
        <v>11611283</v>
      </c>
      <c r="J36" s="2">
        <v>0</v>
      </c>
      <c r="K36" s="2"/>
    </row>
    <row r="37" spans="1:11" hidden="1" x14ac:dyDescent="0.25">
      <c r="A37" t="s">
        <v>68</v>
      </c>
      <c r="B37" t="s">
        <v>69</v>
      </c>
      <c r="C37" s="2">
        <v>1460000</v>
      </c>
      <c r="D37" s="2">
        <v>1460000</v>
      </c>
      <c r="E37" s="2">
        <v>1051600</v>
      </c>
      <c r="F37" s="2">
        <v>1074800</v>
      </c>
      <c r="G37" s="2">
        <v>1098400</v>
      </c>
      <c r="H37" s="2">
        <v>1120000</v>
      </c>
      <c r="I37" s="2">
        <v>0</v>
      </c>
      <c r="J37" s="2">
        <v>0</v>
      </c>
      <c r="K37" s="2"/>
    </row>
    <row r="38" spans="1:11" x14ac:dyDescent="0.25">
      <c r="A38" t="s">
        <v>70</v>
      </c>
      <c r="B38" t="s">
        <v>71</v>
      </c>
      <c r="C38" s="2">
        <v>0</v>
      </c>
      <c r="D38" s="2">
        <v>0</v>
      </c>
      <c r="E38" s="2">
        <v>0</v>
      </c>
      <c r="F38" s="2">
        <v>0</v>
      </c>
      <c r="G38" s="2">
        <v>0</v>
      </c>
      <c r="H38" s="2">
        <v>0</v>
      </c>
      <c r="I38" s="2">
        <v>0</v>
      </c>
      <c r="J38" s="2">
        <v>0</v>
      </c>
      <c r="K38" s="2"/>
    </row>
    <row r="39" spans="1:11" hidden="1" x14ac:dyDescent="0.25">
      <c r="A39" t="s">
        <v>72</v>
      </c>
      <c r="B39" t="s">
        <v>73</v>
      </c>
      <c r="C39" s="2">
        <v>8102901</v>
      </c>
      <c r="D39" s="2">
        <v>9075249</v>
      </c>
      <c r="E39" s="2">
        <v>13790705</v>
      </c>
      <c r="F39" s="2">
        <v>14496559</v>
      </c>
      <c r="G39" s="2">
        <v>15235033</v>
      </c>
      <c r="H39" s="2">
        <v>16007613</v>
      </c>
      <c r="I39" s="2">
        <v>0</v>
      </c>
      <c r="J39" s="2">
        <v>0</v>
      </c>
      <c r="K39" s="2"/>
    </row>
    <row r="40" spans="1:11" hidden="1" x14ac:dyDescent="0.25">
      <c r="A40" t="s">
        <v>74</v>
      </c>
      <c r="B40" t="s">
        <v>75</v>
      </c>
      <c r="C40" s="2">
        <v>1110000</v>
      </c>
      <c r="D40" s="2">
        <v>1110000</v>
      </c>
      <c r="E40" s="2">
        <v>1358225</v>
      </c>
      <c r="F40" s="2">
        <v>1453300</v>
      </c>
      <c r="G40" s="2">
        <v>1555030</v>
      </c>
      <c r="H40" s="2">
        <v>1663885</v>
      </c>
      <c r="I40" s="2">
        <v>0</v>
      </c>
      <c r="J40" s="2">
        <v>0</v>
      </c>
      <c r="K40" s="2"/>
    </row>
    <row r="41" spans="1:11" hidden="1" x14ac:dyDescent="0.25">
      <c r="A41" t="s">
        <v>76</v>
      </c>
      <c r="B41" t="s">
        <v>77</v>
      </c>
      <c r="C41" s="2">
        <v>1455000</v>
      </c>
      <c r="D41" s="2">
        <v>1605000</v>
      </c>
      <c r="E41" s="2">
        <v>2375000</v>
      </c>
      <c r="F41" s="2">
        <v>2575000</v>
      </c>
      <c r="G41" s="2">
        <v>2775000</v>
      </c>
      <c r="H41" s="2">
        <v>2975000</v>
      </c>
      <c r="I41" s="2">
        <v>3175000</v>
      </c>
      <c r="J41" s="2">
        <v>0</v>
      </c>
      <c r="K41" s="2"/>
    </row>
    <row r="42" spans="1:11" hidden="1" x14ac:dyDescent="0.25">
      <c r="A42" t="s">
        <v>78</v>
      </c>
      <c r="B42" t="s">
        <v>79</v>
      </c>
      <c r="C42" s="2">
        <v>2592947</v>
      </c>
      <c r="D42" s="2">
        <v>2668947</v>
      </c>
      <c r="E42" s="2">
        <v>2329475</v>
      </c>
      <c r="F42" s="2">
        <v>2492539</v>
      </c>
      <c r="G42" s="2">
        <v>2667016</v>
      </c>
      <c r="H42" s="2">
        <v>0</v>
      </c>
      <c r="I42" s="2">
        <v>0</v>
      </c>
      <c r="J42" s="2">
        <v>0</v>
      </c>
      <c r="K42" s="2"/>
    </row>
    <row r="43" spans="1:11" hidden="1" x14ac:dyDescent="0.25">
      <c r="A43" t="s">
        <v>80</v>
      </c>
      <c r="B43" t="s">
        <v>81</v>
      </c>
      <c r="C43" s="2">
        <v>4750000</v>
      </c>
      <c r="D43" s="2">
        <v>5000000</v>
      </c>
      <c r="E43" s="2">
        <v>5400000</v>
      </c>
      <c r="F43" s="2">
        <v>5750000</v>
      </c>
      <c r="G43" s="2">
        <v>6100000</v>
      </c>
      <c r="H43" s="2">
        <v>0</v>
      </c>
      <c r="I43" s="2">
        <v>0</v>
      </c>
      <c r="J43" s="2">
        <v>0</v>
      </c>
      <c r="K43" s="2"/>
    </row>
    <row r="44" spans="1:11" hidden="1" x14ac:dyDescent="0.25">
      <c r="A44" t="s">
        <v>82</v>
      </c>
      <c r="B44" t="s">
        <v>83</v>
      </c>
      <c r="C44" s="2">
        <v>3500000</v>
      </c>
      <c r="D44" s="2">
        <v>3850000</v>
      </c>
      <c r="E44" s="2">
        <v>6000000</v>
      </c>
      <c r="F44" s="2">
        <v>6500000</v>
      </c>
      <c r="G44" s="2">
        <v>7000000</v>
      </c>
      <c r="H44" s="2">
        <v>7500000</v>
      </c>
      <c r="I44" s="2">
        <v>0</v>
      </c>
      <c r="J44" s="2">
        <v>0</v>
      </c>
      <c r="K44" s="2"/>
    </row>
    <row r="45" spans="1:11" hidden="1" x14ac:dyDescent="0.25">
      <c r="A45" t="s">
        <v>84</v>
      </c>
      <c r="B45" t="s">
        <v>85</v>
      </c>
      <c r="C45" s="2">
        <v>584079</v>
      </c>
      <c r="D45" s="2">
        <v>584079</v>
      </c>
      <c r="E45" s="2">
        <v>631250</v>
      </c>
      <c r="F45" s="2">
        <v>648925</v>
      </c>
      <c r="G45" s="2">
        <v>703964</v>
      </c>
      <c r="H45" s="2">
        <v>739162</v>
      </c>
      <c r="I45" s="2">
        <v>0</v>
      </c>
      <c r="J45" s="2">
        <v>0</v>
      </c>
      <c r="K45" s="2"/>
    </row>
    <row r="46" spans="1:11" hidden="1" x14ac:dyDescent="0.25">
      <c r="A46" t="s">
        <v>86</v>
      </c>
      <c r="B46" t="s">
        <v>87</v>
      </c>
      <c r="C46" s="2">
        <v>285134</v>
      </c>
      <c r="D46" s="2">
        <v>287985</v>
      </c>
      <c r="E46" s="2">
        <v>280674</v>
      </c>
      <c r="F46" s="2">
        <v>297515</v>
      </c>
      <c r="G46" s="2">
        <v>315366</v>
      </c>
      <c r="H46" s="2">
        <v>334287</v>
      </c>
      <c r="I46" s="2">
        <v>0</v>
      </c>
      <c r="J46" s="2">
        <v>0</v>
      </c>
      <c r="K46" s="2"/>
    </row>
    <row r="47" spans="1:11" hidden="1" x14ac:dyDescent="0.25">
      <c r="A47" t="s">
        <v>88</v>
      </c>
      <c r="B47" t="s">
        <v>89</v>
      </c>
      <c r="C47" s="2">
        <v>149000</v>
      </c>
      <c r="D47" s="2">
        <v>149000</v>
      </c>
      <c r="E47" s="2">
        <v>151980</v>
      </c>
      <c r="F47" s="2">
        <v>151980</v>
      </c>
      <c r="G47" s="2">
        <v>126891</v>
      </c>
      <c r="H47" s="2">
        <v>128921</v>
      </c>
      <c r="I47" s="2">
        <v>131371</v>
      </c>
      <c r="J47" s="2">
        <v>133998</v>
      </c>
      <c r="K47" s="2"/>
    </row>
    <row r="48" spans="1:11" hidden="1" x14ac:dyDescent="0.25">
      <c r="A48" t="s">
        <v>90</v>
      </c>
      <c r="B48" t="s">
        <v>91</v>
      </c>
      <c r="C48" s="2">
        <v>9919034</v>
      </c>
      <c r="D48" s="2">
        <v>10216605</v>
      </c>
      <c r="E48" s="2">
        <v>10523103</v>
      </c>
      <c r="F48" s="2">
        <v>11049000</v>
      </c>
      <c r="G48" s="2">
        <v>11602000</v>
      </c>
      <c r="H48" s="2">
        <v>12182000</v>
      </c>
      <c r="I48" s="2">
        <v>12791000</v>
      </c>
      <c r="J48" s="2">
        <v>0</v>
      </c>
      <c r="K48" s="2"/>
    </row>
    <row r="49" spans="1:11" hidden="1" x14ac:dyDescent="0.25">
      <c r="A49" t="s">
        <v>92</v>
      </c>
      <c r="B49" t="s">
        <v>93</v>
      </c>
      <c r="C49" s="2">
        <v>150000</v>
      </c>
      <c r="D49" s="2">
        <v>150000</v>
      </c>
      <c r="E49" s="2">
        <v>175000</v>
      </c>
      <c r="F49" s="2">
        <v>175000</v>
      </c>
      <c r="G49" s="2">
        <v>175000</v>
      </c>
      <c r="H49" s="2">
        <v>175000</v>
      </c>
      <c r="I49" s="2">
        <v>0</v>
      </c>
      <c r="J49" s="2">
        <v>0</v>
      </c>
      <c r="K49" s="2"/>
    </row>
    <row r="50" spans="1:11" hidden="1" x14ac:dyDescent="0.25">
      <c r="A50" t="s">
        <v>94</v>
      </c>
      <c r="B50" t="s">
        <v>95</v>
      </c>
      <c r="C50" s="2">
        <v>298300</v>
      </c>
      <c r="D50" s="2">
        <v>346656</v>
      </c>
      <c r="E50" s="2">
        <v>583000</v>
      </c>
      <c r="F50" s="2">
        <v>617980</v>
      </c>
      <c r="G50" s="2">
        <v>655059</v>
      </c>
      <c r="H50" s="2">
        <v>694362</v>
      </c>
      <c r="I50" s="2">
        <v>0</v>
      </c>
      <c r="J50" s="2">
        <v>0</v>
      </c>
      <c r="K50" s="2"/>
    </row>
    <row r="51" spans="1:11" hidden="1" x14ac:dyDescent="0.25">
      <c r="A51" t="s">
        <v>96</v>
      </c>
      <c r="B51" t="s">
        <v>97</v>
      </c>
      <c r="C51" s="2">
        <v>18325</v>
      </c>
      <c r="D51" s="2">
        <v>18325</v>
      </c>
      <c r="E51" s="2">
        <v>18325</v>
      </c>
      <c r="F51" s="2">
        <v>18325</v>
      </c>
      <c r="G51" s="2">
        <v>18325</v>
      </c>
      <c r="H51" s="2">
        <v>18325</v>
      </c>
      <c r="I51" s="2">
        <v>0</v>
      </c>
      <c r="J51" s="2">
        <v>0</v>
      </c>
      <c r="K51" s="2"/>
    </row>
    <row r="52" spans="1:11" hidden="1" x14ac:dyDescent="0.25">
      <c r="A52" t="s">
        <v>98</v>
      </c>
      <c r="B52" t="s">
        <v>99</v>
      </c>
      <c r="C52" s="2">
        <v>185000</v>
      </c>
      <c r="D52" s="2">
        <v>190000</v>
      </c>
      <c r="E52" s="2">
        <v>195000</v>
      </c>
      <c r="F52" s="2">
        <v>200000</v>
      </c>
      <c r="G52" s="2">
        <v>205000</v>
      </c>
      <c r="H52" s="2">
        <v>210000</v>
      </c>
      <c r="I52" s="2">
        <v>215000</v>
      </c>
      <c r="J52" s="2">
        <v>220000</v>
      </c>
      <c r="K52" s="2"/>
    </row>
    <row r="53" spans="1:11" x14ac:dyDescent="0.25">
      <c r="A53" t="s">
        <v>100</v>
      </c>
      <c r="B53" t="s">
        <v>101</v>
      </c>
      <c r="C53" s="2">
        <v>60000</v>
      </c>
      <c r="D53" s="2">
        <v>60000</v>
      </c>
      <c r="E53" s="2">
        <v>60000</v>
      </c>
      <c r="F53" s="2">
        <v>0</v>
      </c>
      <c r="G53" s="2">
        <v>0</v>
      </c>
      <c r="H53" s="2">
        <v>0</v>
      </c>
      <c r="I53" s="2">
        <v>0</v>
      </c>
      <c r="J53" s="2">
        <v>0</v>
      </c>
      <c r="K53" s="2"/>
    </row>
    <row r="54" spans="1:11" x14ac:dyDescent="0.25">
      <c r="A54" t="s">
        <v>102</v>
      </c>
      <c r="B54" t="s">
        <v>103</v>
      </c>
      <c r="C54" s="2">
        <v>100000</v>
      </c>
      <c r="D54" s="2">
        <v>105312</v>
      </c>
      <c r="E54" s="2">
        <v>106582</v>
      </c>
      <c r="F54" s="2">
        <v>107149</v>
      </c>
      <c r="G54" s="2">
        <v>0</v>
      </c>
      <c r="H54" s="2">
        <v>0</v>
      </c>
      <c r="I54" s="2">
        <v>0</v>
      </c>
      <c r="J54" s="2">
        <v>0</v>
      </c>
      <c r="K54" s="2"/>
    </row>
    <row r="55" spans="1:11" hidden="1" x14ac:dyDescent="0.25">
      <c r="A55" t="s">
        <v>104</v>
      </c>
      <c r="B55" t="s">
        <v>105</v>
      </c>
      <c r="C55" s="2">
        <v>450000</v>
      </c>
      <c r="D55" s="2">
        <v>460000</v>
      </c>
      <c r="E55" s="2">
        <v>475000</v>
      </c>
      <c r="F55" s="2">
        <v>490000</v>
      </c>
      <c r="G55" s="138">
        <v>495000</v>
      </c>
      <c r="H55" s="138">
        <v>495000</v>
      </c>
      <c r="I55" s="138">
        <v>495000</v>
      </c>
      <c r="J55" s="138">
        <v>495000</v>
      </c>
      <c r="K55" s="2"/>
    </row>
    <row r="56" spans="1:11" hidden="1" x14ac:dyDescent="0.25">
      <c r="A56" t="s">
        <v>106</v>
      </c>
      <c r="B56" t="s">
        <v>107</v>
      </c>
      <c r="C56" s="2">
        <v>10537658</v>
      </c>
      <c r="D56" s="2">
        <v>11802177</v>
      </c>
      <c r="E56" s="2">
        <v>13218439</v>
      </c>
      <c r="F56" s="2">
        <v>14804651</v>
      </c>
      <c r="G56" s="2">
        <v>21500000</v>
      </c>
      <c r="H56" s="2">
        <v>25360000</v>
      </c>
      <c r="I56" s="2">
        <v>29680000</v>
      </c>
      <c r="J56" s="2">
        <v>34130000</v>
      </c>
      <c r="K56" s="2"/>
    </row>
    <row r="57" spans="1:11" hidden="1" x14ac:dyDescent="0.25">
      <c r="A57" t="s">
        <v>108</v>
      </c>
      <c r="B57" t="s">
        <v>109</v>
      </c>
      <c r="C57" s="2">
        <v>1850000</v>
      </c>
      <c r="D57" s="2">
        <v>1900000</v>
      </c>
      <c r="E57" s="2">
        <v>1950000</v>
      </c>
      <c r="F57" s="2">
        <v>2010000</v>
      </c>
      <c r="G57" s="2">
        <v>2010000</v>
      </c>
      <c r="H57" s="2">
        <v>2010000</v>
      </c>
      <c r="I57" s="2">
        <v>0</v>
      </c>
      <c r="J57" s="2">
        <v>0</v>
      </c>
      <c r="K57" s="2"/>
    </row>
    <row r="58" spans="1:11" x14ac:dyDescent="0.25">
      <c r="A58" t="s">
        <v>110</v>
      </c>
      <c r="B58" t="s">
        <v>111</v>
      </c>
      <c r="C58" s="2">
        <v>0</v>
      </c>
      <c r="D58" s="2">
        <v>0</v>
      </c>
      <c r="E58" s="2">
        <v>0</v>
      </c>
      <c r="F58" s="2">
        <v>0</v>
      </c>
      <c r="G58" s="2">
        <v>0</v>
      </c>
      <c r="H58" s="2">
        <v>0</v>
      </c>
      <c r="I58" s="2">
        <v>0</v>
      </c>
      <c r="J58" s="2">
        <v>0</v>
      </c>
      <c r="K58" s="2"/>
    </row>
    <row r="59" spans="1:11" hidden="1" x14ac:dyDescent="0.25">
      <c r="A59" t="s">
        <v>112</v>
      </c>
      <c r="B59" t="s">
        <v>113</v>
      </c>
      <c r="C59" s="2">
        <v>75000</v>
      </c>
      <c r="D59" s="2">
        <v>75000</v>
      </c>
      <c r="E59" s="2">
        <v>75000</v>
      </c>
      <c r="F59" s="2">
        <v>75000</v>
      </c>
      <c r="G59" s="2">
        <v>95000</v>
      </c>
      <c r="H59" s="2">
        <v>95000</v>
      </c>
      <c r="I59" s="2">
        <v>0</v>
      </c>
      <c r="J59" s="2">
        <v>0</v>
      </c>
      <c r="K59" s="2"/>
    </row>
    <row r="60" spans="1:11" hidden="1" x14ac:dyDescent="0.25">
      <c r="A60" t="s">
        <v>114</v>
      </c>
      <c r="B60" t="s">
        <v>115</v>
      </c>
      <c r="C60" s="2">
        <v>1080000</v>
      </c>
      <c r="D60" s="2">
        <v>1080000</v>
      </c>
      <c r="E60" s="2">
        <v>1080000</v>
      </c>
      <c r="F60" s="2">
        <v>1080000</v>
      </c>
      <c r="G60" s="2">
        <v>1080000</v>
      </c>
      <c r="H60" s="2">
        <v>0</v>
      </c>
      <c r="I60" s="2">
        <v>0</v>
      </c>
      <c r="J60" s="2">
        <v>0</v>
      </c>
      <c r="K60" s="2"/>
    </row>
    <row r="61" spans="1:11" hidden="1" x14ac:dyDescent="0.25">
      <c r="A61" t="s">
        <v>116</v>
      </c>
      <c r="B61" t="s">
        <v>117</v>
      </c>
      <c r="C61" s="2">
        <v>1860865</v>
      </c>
      <c r="D61" s="2">
        <v>1860865</v>
      </c>
      <c r="E61" s="2">
        <v>2214962</v>
      </c>
      <c r="F61" s="2">
        <v>2434238</v>
      </c>
      <c r="G61" s="2">
        <v>2232443</v>
      </c>
      <c r="H61" s="2">
        <v>2351209</v>
      </c>
      <c r="I61" s="2">
        <v>2476293</v>
      </c>
      <c r="J61" s="2">
        <v>2608032</v>
      </c>
      <c r="K61" s="2"/>
    </row>
    <row r="62" spans="1:11" hidden="1" x14ac:dyDescent="0.25">
      <c r="A62" t="s">
        <v>118</v>
      </c>
      <c r="B62" t="s">
        <v>119</v>
      </c>
      <c r="C62" s="2">
        <v>8460547</v>
      </c>
      <c r="D62" s="2">
        <v>7141484</v>
      </c>
      <c r="E62" s="2">
        <v>7998462</v>
      </c>
      <c r="F62" s="2">
        <v>8462372</v>
      </c>
      <c r="G62" s="2">
        <v>8359000</v>
      </c>
      <c r="H62" s="2">
        <v>8610000</v>
      </c>
      <c r="I62" s="2">
        <v>8868000</v>
      </c>
      <c r="J62" s="2">
        <v>9134000</v>
      </c>
      <c r="K62" s="2"/>
    </row>
    <row r="63" spans="1:11" hidden="1" x14ac:dyDescent="0.25">
      <c r="A63" t="s">
        <v>120</v>
      </c>
      <c r="B63" t="s">
        <v>121</v>
      </c>
      <c r="C63" s="2">
        <v>787147</v>
      </c>
      <c r="D63" s="2">
        <v>905219</v>
      </c>
      <c r="E63" s="2">
        <v>1082316</v>
      </c>
      <c r="F63" s="2">
        <v>1168901</v>
      </c>
      <c r="G63" s="2">
        <v>1259710</v>
      </c>
      <c r="H63" s="2">
        <v>1322696</v>
      </c>
      <c r="I63" s="2">
        <v>0</v>
      </c>
      <c r="J63" s="2">
        <v>0</v>
      </c>
      <c r="K63" s="2"/>
    </row>
    <row r="64" spans="1:11" hidden="1" x14ac:dyDescent="0.25">
      <c r="A64" t="s">
        <v>122</v>
      </c>
      <c r="B64" t="s">
        <v>123</v>
      </c>
      <c r="C64" s="2">
        <v>505924</v>
      </c>
      <c r="D64" s="2">
        <v>505924</v>
      </c>
      <c r="E64" s="2">
        <v>366318</v>
      </c>
      <c r="F64" s="2">
        <v>366318</v>
      </c>
      <c r="G64" s="2">
        <v>350624</v>
      </c>
      <c r="H64" s="2">
        <v>350624</v>
      </c>
      <c r="I64" s="2">
        <v>0</v>
      </c>
      <c r="J64" s="2">
        <v>0</v>
      </c>
      <c r="K64" s="2"/>
    </row>
    <row r="65" spans="1:11" hidden="1" x14ac:dyDescent="0.25">
      <c r="A65" t="s">
        <v>124</v>
      </c>
      <c r="B65" t="s">
        <v>125</v>
      </c>
      <c r="C65" s="2">
        <v>842366</v>
      </c>
      <c r="D65" s="2">
        <v>856534</v>
      </c>
      <c r="E65" s="2">
        <v>579000</v>
      </c>
      <c r="F65" s="2">
        <v>620000</v>
      </c>
      <c r="G65" s="2">
        <v>663000</v>
      </c>
      <c r="H65" s="2">
        <v>709000</v>
      </c>
      <c r="I65" s="2">
        <v>0</v>
      </c>
      <c r="J65" s="2">
        <v>0</v>
      </c>
      <c r="K65" s="2"/>
    </row>
    <row r="66" spans="1:11" hidden="1" x14ac:dyDescent="0.25">
      <c r="A66" t="s">
        <v>126</v>
      </c>
      <c r="B66" t="s">
        <v>127</v>
      </c>
      <c r="C66" s="2">
        <v>1370000</v>
      </c>
      <c r="D66" s="2">
        <v>1370000</v>
      </c>
      <c r="E66" s="2">
        <v>1370000</v>
      </c>
      <c r="F66" s="2">
        <v>1370000</v>
      </c>
      <c r="G66" s="2">
        <v>1370000</v>
      </c>
      <c r="H66" s="2">
        <v>1370000</v>
      </c>
      <c r="I66" s="2">
        <v>0</v>
      </c>
      <c r="J66" s="2">
        <v>0</v>
      </c>
      <c r="K66" s="2"/>
    </row>
    <row r="67" spans="1:11" hidden="1" x14ac:dyDescent="0.25">
      <c r="A67" t="s">
        <v>128</v>
      </c>
      <c r="B67" t="s">
        <v>129</v>
      </c>
      <c r="C67" s="2">
        <v>6718758</v>
      </c>
      <c r="D67" s="2">
        <v>6559024</v>
      </c>
      <c r="E67" s="2">
        <v>6952565</v>
      </c>
      <c r="F67" s="2">
        <v>7093914</v>
      </c>
      <c r="G67" s="2">
        <v>7661427</v>
      </c>
      <c r="H67" s="2">
        <v>8121113</v>
      </c>
      <c r="I67" s="2">
        <v>0</v>
      </c>
      <c r="J67" s="2">
        <v>0</v>
      </c>
      <c r="K67" s="2"/>
    </row>
    <row r="68" spans="1:11" hidden="1" x14ac:dyDescent="0.25">
      <c r="A68" t="s">
        <v>130</v>
      </c>
      <c r="B68" t="s">
        <v>131</v>
      </c>
      <c r="C68" s="2">
        <v>4006060</v>
      </c>
      <c r="D68" s="2">
        <v>1540000</v>
      </c>
      <c r="E68" s="2">
        <v>1694000</v>
      </c>
      <c r="F68" s="2">
        <v>1855000</v>
      </c>
      <c r="G68" s="2">
        <v>2004000</v>
      </c>
      <c r="H68" s="2">
        <v>2113500</v>
      </c>
      <c r="I68" s="2">
        <v>2230000</v>
      </c>
      <c r="J68" s="2">
        <v>0</v>
      </c>
      <c r="K68" s="2"/>
    </row>
    <row r="69" spans="1:11" hidden="1" x14ac:dyDescent="0.25">
      <c r="A69" t="s">
        <v>132</v>
      </c>
      <c r="B69" t="s">
        <v>133</v>
      </c>
      <c r="C69" s="2">
        <v>263500</v>
      </c>
      <c r="D69" s="2">
        <v>263500</v>
      </c>
      <c r="E69" s="2">
        <v>212375</v>
      </c>
      <c r="F69" s="2">
        <v>212375</v>
      </c>
      <c r="G69" s="2">
        <v>263500</v>
      </c>
      <c r="H69" s="2">
        <v>263500</v>
      </c>
      <c r="I69" s="2">
        <v>0</v>
      </c>
      <c r="J69" s="2">
        <v>0</v>
      </c>
      <c r="K69" s="2"/>
    </row>
    <row r="70" spans="1:11" x14ac:dyDescent="0.25">
      <c r="A70" t="s">
        <v>134</v>
      </c>
      <c r="B70" t="s">
        <v>135</v>
      </c>
      <c r="C70" s="2">
        <v>1130000</v>
      </c>
      <c r="D70" s="2">
        <v>475000</v>
      </c>
      <c r="E70" s="2">
        <v>806022</v>
      </c>
      <c r="F70" s="2">
        <v>845307</v>
      </c>
      <c r="G70" s="2">
        <v>0</v>
      </c>
      <c r="H70" s="2">
        <v>0</v>
      </c>
      <c r="I70" s="2">
        <v>0</v>
      </c>
      <c r="J70" s="2">
        <v>0</v>
      </c>
      <c r="K70" s="2"/>
    </row>
    <row r="71" spans="1:11" hidden="1" x14ac:dyDescent="0.25">
      <c r="A71" t="s">
        <v>136</v>
      </c>
      <c r="B71" t="s">
        <v>137</v>
      </c>
      <c r="C71" s="2">
        <v>5200000</v>
      </c>
      <c r="D71" s="2">
        <v>5200000</v>
      </c>
      <c r="E71" s="2">
        <v>5200000</v>
      </c>
      <c r="F71" s="2">
        <v>5200000</v>
      </c>
      <c r="G71" s="2">
        <v>5200000</v>
      </c>
      <c r="H71" s="2">
        <v>5200000</v>
      </c>
      <c r="I71" s="2">
        <v>0</v>
      </c>
      <c r="J71" s="2">
        <v>0</v>
      </c>
      <c r="K71" s="2"/>
    </row>
    <row r="72" spans="1:11" hidden="1" x14ac:dyDescent="0.25">
      <c r="A72" t="s">
        <v>138</v>
      </c>
      <c r="B72" t="s">
        <v>139</v>
      </c>
      <c r="C72" s="2">
        <v>2975750</v>
      </c>
      <c r="D72" s="2">
        <v>2975750</v>
      </c>
      <c r="E72" s="2">
        <v>1999296</v>
      </c>
      <c r="F72" s="2">
        <v>2287145</v>
      </c>
      <c r="G72" s="2">
        <v>2874962</v>
      </c>
      <c r="H72" s="2">
        <v>3306206</v>
      </c>
      <c r="I72" s="2">
        <v>0</v>
      </c>
      <c r="J72" s="2">
        <v>0</v>
      </c>
      <c r="K72" s="2"/>
    </row>
    <row r="73" spans="1:11" hidden="1" x14ac:dyDescent="0.25">
      <c r="A73" t="s">
        <v>140</v>
      </c>
      <c r="B73" t="s">
        <v>141</v>
      </c>
      <c r="C73" s="2">
        <v>1900742</v>
      </c>
      <c r="D73" s="2">
        <v>1900742</v>
      </c>
      <c r="E73" s="2">
        <v>2504168</v>
      </c>
      <c r="F73" s="2">
        <v>2504168</v>
      </c>
      <c r="G73" s="2">
        <v>2629000</v>
      </c>
      <c r="H73" s="2">
        <v>2708000</v>
      </c>
      <c r="I73" s="2">
        <v>0</v>
      </c>
      <c r="J73" s="2">
        <v>0</v>
      </c>
      <c r="K73" s="2"/>
    </row>
    <row r="74" spans="1:11" x14ac:dyDescent="0.25">
      <c r="A74" t="s">
        <v>142</v>
      </c>
      <c r="B74" t="s">
        <v>143</v>
      </c>
      <c r="C74" s="2">
        <v>800000</v>
      </c>
      <c r="D74" s="2">
        <v>800000</v>
      </c>
      <c r="E74" s="2">
        <v>815591</v>
      </c>
      <c r="F74" s="2">
        <v>937930</v>
      </c>
      <c r="G74" s="2">
        <v>0</v>
      </c>
      <c r="H74" s="2">
        <v>0</v>
      </c>
      <c r="I74" s="2">
        <v>0</v>
      </c>
      <c r="J74" s="2">
        <v>0</v>
      </c>
      <c r="K74" s="2"/>
    </row>
    <row r="75" spans="1:11" hidden="1" x14ac:dyDescent="0.25">
      <c r="A75" t="s">
        <v>144</v>
      </c>
      <c r="B75" t="s">
        <v>145</v>
      </c>
      <c r="C75" s="2">
        <v>2317041</v>
      </c>
      <c r="D75" s="2">
        <v>2317041</v>
      </c>
      <c r="E75" s="2">
        <v>2125182</v>
      </c>
      <c r="F75" s="2">
        <v>2337700</v>
      </c>
      <c r="G75" s="2">
        <v>2454586</v>
      </c>
      <c r="H75" s="2">
        <v>2700044</v>
      </c>
      <c r="I75" s="2">
        <v>0</v>
      </c>
      <c r="J75" s="2">
        <v>0</v>
      </c>
      <c r="K75" s="2"/>
    </row>
    <row r="76" spans="1:11" hidden="1" x14ac:dyDescent="0.25">
      <c r="A76" t="s">
        <v>146</v>
      </c>
      <c r="B76" t="s">
        <v>147</v>
      </c>
      <c r="C76" s="2">
        <v>2514435</v>
      </c>
      <c r="D76" s="2">
        <v>2514435</v>
      </c>
      <c r="E76" s="2">
        <v>2643570</v>
      </c>
      <c r="F76" s="2">
        <v>2775749</v>
      </c>
      <c r="G76" s="2">
        <v>3034031</v>
      </c>
      <c r="H76" s="2">
        <v>3422623</v>
      </c>
      <c r="I76" s="2">
        <v>0</v>
      </c>
      <c r="J76" s="2">
        <v>0</v>
      </c>
      <c r="K76" s="2"/>
    </row>
    <row r="77" spans="1:11" hidden="1" x14ac:dyDescent="0.25">
      <c r="A77" t="s">
        <v>148</v>
      </c>
      <c r="B77" t="s">
        <v>149</v>
      </c>
      <c r="C77" s="2">
        <v>150000</v>
      </c>
      <c r="D77" s="2">
        <v>150000</v>
      </c>
      <c r="E77" s="2">
        <v>35000</v>
      </c>
      <c r="F77" s="2">
        <v>36000</v>
      </c>
      <c r="G77" s="2">
        <v>35000</v>
      </c>
      <c r="H77" s="2">
        <v>35000</v>
      </c>
      <c r="I77" s="2">
        <v>35000</v>
      </c>
      <c r="J77" s="2">
        <v>0</v>
      </c>
      <c r="K77" s="2"/>
    </row>
    <row r="78" spans="1:11" hidden="1" x14ac:dyDescent="0.25">
      <c r="A78" t="s">
        <v>150</v>
      </c>
      <c r="B78" t="s">
        <v>151</v>
      </c>
      <c r="C78" s="2">
        <v>204509</v>
      </c>
      <c r="D78" s="2">
        <v>204509</v>
      </c>
      <c r="E78" s="2">
        <v>331448</v>
      </c>
      <c r="F78" s="2">
        <v>331448</v>
      </c>
      <c r="G78" s="2">
        <v>341311</v>
      </c>
      <c r="H78" s="2">
        <v>348855</v>
      </c>
      <c r="I78" s="2">
        <v>350054</v>
      </c>
      <c r="J78" s="2">
        <v>351253</v>
      </c>
      <c r="K78" s="2"/>
    </row>
    <row r="79" spans="1:11" hidden="1" x14ac:dyDescent="0.25">
      <c r="A79" t="s">
        <v>152</v>
      </c>
      <c r="B79" t="s">
        <v>153</v>
      </c>
      <c r="C79" s="2">
        <v>820000</v>
      </c>
      <c r="D79" s="2">
        <v>820000</v>
      </c>
      <c r="E79" s="2">
        <v>593758</v>
      </c>
      <c r="F79" s="2">
        <v>682821</v>
      </c>
      <c r="G79" s="2">
        <v>622985</v>
      </c>
      <c r="H79" s="2">
        <v>658970</v>
      </c>
      <c r="I79" s="2">
        <v>0</v>
      </c>
      <c r="J79" s="2">
        <v>0</v>
      </c>
      <c r="K79" s="2"/>
    </row>
    <row r="80" spans="1:11" hidden="1" x14ac:dyDescent="0.25">
      <c r="A80" t="s">
        <v>154</v>
      </c>
      <c r="B80" t="s">
        <v>155</v>
      </c>
      <c r="C80" s="2">
        <v>80000</v>
      </c>
      <c r="D80" s="2">
        <v>80000</v>
      </c>
      <c r="E80" s="2">
        <v>80000</v>
      </c>
      <c r="F80" s="2">
        <v>80000</v>
      </c>
      <c r="G80" s="2">
        <v>80000</v>
      </c>
      <c r="H80" s="2">
        <v>80000</v>
      </c>
      <c r="I80" s="2">
        <v>0</v>
      </c>
      <c r="J80" s="2">
        <v>0</v>
      </c>
      <c r="K80" s="2"/>
    </row>
    <row r="81" spans="1:11" hidden="1" x14ac:dyDescent="0.25">
      <c r="A81" t="s">
        <v>156</v>
      </c>
      <c r="B81" t="s">
        <v>157</v>
      </c>
      <c r="C81" s="2">
        <v>500000</v>
      </c>
      <c r="D81" s="2">
        <v>500000</v>
      </c>
      <c r="E81" s="2">
        <v>392654</v>
      </c>
      <c r="F81" s="2">
        <v>400506</v>
      </c>
      <c r="G81" s="2">
        <v>473000</v>
      </c>
      <c r="H81" s="2">
        <v>473000</v>
      </c>
      <c r="I81" s="2">
        <v>0</v>
      </c>
      <c r="J81" s="2">
        <v>0</v>
      </c>
      <c r="K81" s="2"/>
    </row>
    <row r="82" spans="1:11" hidden="1" x14ac:dyDescent="0.25">
      <c r="A82" t="s">
        <v>158</v>
      </c>
      <c r="B82" t="s">
        <v>159</v>
      </c>
      <c r="C82" s="2">
        <v>2000000</v>
      </c>
      <c r="D82" s="2">
        <v>2000000</v>
      </c>
      <c r="E82" s="2">
        <v>1594640</v>
      </c>
      <c r="F82" s="2">
        <v>1643000</v>
      </c>
      <c r="G82" s="2">
        <v>1692600</v>
      </c>
      <c r="H82" s="2">
        <v>0</v>
      </c>
      <c r="I82" s="2">
        <v>0</v>
      </c>
      <c r="J82" s="2">
        <v>0</v>
      </c>
      <c r="K82" s="2"/>
    </row>
    <row r="83" spans="1:11" hidden="1" x14ac:dyDescent="0.25">
      <c r="A83" t="s">
        <v>160</v>
      </c>
      <c r="B83" t="s">
        <v>161</v>
      </c>
      <c r="C83" s="2">
        <v>384200</v>
      </c>
      <c r="D83" s="2">
        <v>384200</v>
      </c>
      <c r="E83" s="2">
        <v>400000</v>
      </c>
      <c r="F83" s="2">
        <v>400000</v>
      </c>
      <c r="G83" s="2">
        <v>410000</v>
      </c>
      <c r="H83" s="2">
        <v>410000</v>
      </c>
      <c r="I83" s="2">
        <v>0</v>
      </c>
      <c r="J83" s="2">
        <v>0</v>
      </c>
      <c r="K83" s="2"/>
    </row>
    <row r="84" spans="1:11" hidden="1" x14ac:dyDescent="0.25">
      <c r="A84" t="s">
        <v>162</v>
      </c>
      <c r="B84" t="s">
        <v>163</v>
      </c>
      <c r="C84" s="2">
        <v>10000000</v>
      </c>
      <c r="D84" s="2">
        <v>10450000</v>
      </c>
      <c r="E84" s="2">
        <v>10950000</v>
      </c>
      <c r="F84" s="2">
        <v>11400000</v>
      </c>
      <c r="G84" s="2">
        <v>11850000</v>
      </c>
      <c r="H84" s="2">
        <v>12350000</v>
      </c>
      <c r="I84" s="2">
        <v>12850000</v>
      </c>
      <c r="J84" s="2">
        <v>0</v>
      </c>
      <c r="K84" s="2"/>
    </row>
    <row r="85" spans="1:11" hidden="1" x14ac:dyDescent="0.25">
      <c r="A85" t="s">
        <v>164</v>
      </c>
      <c r="B85" t="s">
        <v>165</v>
      </c>
      <c r="C85" s="2">
        <v>2440000</v>
      </c>
      <c r="D85" s="2">
        <v>2440000</v>
      </c>
      <c r="E85" s="2">
        <v>2440000</v>
      </c>
      <c r="F85" s="2">
        <v>2440000</v>
      </c>
      <c r="G85" s="2">
        <v>2500000</v>
      </c>
      <c r="H85" s="2">
        <v>2700000</v>
      </c>
      <c r="I85" s="2">
        <v>2700000</v>
      </c>
      <c r="J85" s="2">
        <v>2700000</v>
      </c>
      <c r="K85" s="2"/>
    </row>
    <row r="86" spans="1:11" hidden="1" x14ac:dyDescent="0.25">
      <c r="A86" t="s">
        <v>166</v>
      </c>
      <c r="B86" t="s">
        <v>167</v>
      </c>
      <c r="C86" s="2">
        <v>4300000</v>
      </c>
      <c r="D86" s="2">
        <v>4017000</v>
      </c>
      <c r="E86" s="2">
        <v>4018000</v>
      </c>
      <c r="F86" s="2">
        <v>4019000</v>
      </c>
      <c r="G86" s="2">
        <v>3400000</v>
      </c>
      <c r="H86" s="2">
        <v>3500000</v>
      </c>
      <c r="I86" s="2">
        <v>3600000</v>
      </c>
      <c r="J86" s="2">
        <v>0</v>
      </c>
      <c r="K86" s="2"/>
    </row>
    <row r="87" spans="1:11" hidden="1" x14ac:dyDescent="0.25">
      <c r="A87" t="s">
        <v>168</v>
      </c>
      <c r="B87" t="s">
        <v>169</v>
      </c>
      <c r="C87" s="2">
        <v>75000</v>
      </c>
      <c r="D87" s="2">
        <v>75000</v>
      </c>
      <c r="E87" s="2">
        <v>75000</v>
      </c>
      <c r="F87" s="2">
        <v>75000</v>
      </c>
      <c r="G87" s="2">
        <v>75000</v>
      </c>
      <c r="H87" s="2">
        <v>75000</v>
      </c>
      <c r="I87" s="2">
        <v>0</v>
      </c>
      <c r="J87" s="2">
        <v>0</v>
      </c>
      <c r="K87" s="2"/>
    </row>
    <row r="88" spans="1:11" hidden="1" x14ac:dyDescent="0.25">
      <c r="A88" t="s">
        <v>170</v>
      </c>
      <c r="B88" t="s">
        <v>171</v>
      </c>
      <c r="C88" s="2">
        <v>314681</v>
      </c>
      <c r="D88" s="2">
        <v>320975</v>
      </c>
      <c r="E88" s="2">
        <v>320975</v>
      </c>
      <c r="F88" s="2">
        <v>327395</v>
      </c>
      <c r="G88" s="2">
        <v>327395</v>
      </c>
      <c r="H88" s="2">
        <v>337217</v>
      </c>
      <c r="I88" s="2">
        <v>0</v>
      </c>
      <c r="J88" s="2">
        <v>0</v>
      </c>
      <c r="K88" s="2"/>
    </row>
    <row r="89" spans="1:11" hidden="1" x14ac:dyDescent="0.25">
      <c r="A89" t="s">
        <v>172</v>
      </c>
      <c r="B89" t="s">
        <v>173</v>
      </c>
      <c r="C89" s="2">
        <v>561915</v>
      </c>
      <c r="D89" s="2">
        <v>573153</v>
      </c>
      <c r="E89" s="2">
        <v>599004</v>
      </c>
      <c r="F89" s="2">
        <v>607737</v>
      </c>
      <c r="G89" s="2">
        <v>616602</v>
      </c>
      <c r="H89" s="2">
        <v>625599</v>
      </c>
      <c r="I89" s="2">
        <v>0</v>
      </c>
      <c r="J89" s="2">
        <v>0</v>
      </c>
      <c r="K89" s="2"/>
    </row>
    <row r="90" spans="1:11" hidden="1" x14ac:dyDescent="0.25">
      <c r="A90" t="s">
        <v>174</v>
      </c>
      <c r="B90" t="s">
        <v>175</v>
      </c>
      <c r="C90" s="2">
        <v>3595000</v>
      </c>
      <c r="D90" s="2">
        <v>3775000</v>
      </c>
      <c r="E90" s="2">
        <v>3965000</v>
      </c>
      <c r="F90" s="2">
        <v>2100000</v>
      </c>
      <c r="G90" s="2">
        <v>2150000</v>
      </c>
      <c r="H90" s="2">
        <v>2200000</v>
      </c>
      <c r="I90" s="2">
        <v>2250000</v>
      </c>
      <c r="J90" s="2">
        <v>0</v>
      </c>
      <c r="K90" s="2"/>
    </row>
    <row r="91" spans="1:11" hidden="1" x14ac:dyDescent="0.25">
      <c r="A91" t="s">
        <v>176</v>
      </c>
      <c r="B91" t="s">
        <v>177</v>
      </c>
      <c r="C91" s="2">
        <v>3880000</v>
      </c>
      <c r="D91" s="2">
        <v>3030000</v>
      </c>
      <c r="E91" s="2">
        <v>3195000</v>
      </c>
      <c r="F91" s="2">
        <v>3375000</v>
      </c>
      <c r="G91" s="2">
        <v>3450000</v>
      </c>
      <c r="H91" s="2">
        <v>3550000</v>
      </c>
      <c r="I91" s="2">
        <v>3525000</v>
      </c>
      <c r="J91" s="2">
        <v>0</v>
      </c>
      <c r="K91" s="2"/>
    </row>
    <row r="92" spans="1:11" hidden="1" x14ac:dyDescent="0.25">
      <c r="A92" t="s">
        <v>178</v>
      </c>
      <c r="B92" t="s">
        <v>179</v>
      </c>
      <c r="C92" s="2">
        <v>278600000</v>
      </c>
      <c r="D92" s="2">
        <v>271300000</v>
      </c>
      <c r="E92" s="2">
        <v>271700000</v>
      </c>
      <c r="F92" s="2">
        <v>272000000</v>
      </c>
      <c r="G92" s="2">
        <v>205900000</v>
      </c>
      <c r="H92" s="2">
        <v>215900000</v>
      </c>
      <c r="I92" s="2">
        <v>225000000</v>
      </c>
      <c r="J92" s="2">
        <v>0</v>
      </c>
      <c r="K92" s="2"/>
    </row>
    <row r="93" spans="1:11" hidden="1" x14ac:dyDescent="0.25">
      <c r="A93" t="s">
        <v>180</v>
      </c>
      <c r="B93" t="s">
        <v>181</v>
      </c>
      <c r="C93" s="2">
        <v>33000000</v>
      </c>
      <c r="D93" s="2">
        <v>33000000</v>
      </c>
      <c r="E93" s="2">
        <v>33000000</v>
      </c>
      <c r="F93" s="2">
        <v>33000000</v>
      </c>
      <c r="G93" s="2">
        <v>39000000</v>
      </c>
      <c r="H93" s="2">
        <v>42000000</v>
      </c>
      <c r="I93" s="2">
        <v>45000000</v>
      </c>
      <c r="J93" s="2">
        <v>48000000</v>
      </c>
      <c r="K93" s="2"/>
    </row>
    <row r="94" spans="1:11" hidden="1" x14ac:dyDescent="0.25">
      <c r="A94" t="s">
        <v>182</v>
      </c>
      <c r="B94" t="s">
        <v>183</v>
      </c>
      <c r="C94" s="2">
        <v>6320160</v>
      </c>
      <c r="D94" s="2">
        <v>7268164</v>
      </c>
      <c r="E94" s="2">
        <v>8358411</v>
      </c>
      <c r="F94" s="2">
        <v>9612173</v>
      </c>
      <c r="G94" s="2">
        <v>11698530</v>
      </c>
      <c r="H94" s="2">
        <v>12592978</v>
      </c>
      <c r="I94" s="2">
        <v>13539615</v>
      </c>
      <c r="J94" s="2">
        <v>14510581</v>
      </c>
      <c r="K94" s="2"/>
    </row>
    <row r="95" spans="1:11" hidden="1" x14ac:dyDescent="0.25">
      <c r="A95" t="s">
        <v>184</v>
      </c>
      <c r="B95" t="s">
        <v>185</v>
      </c>
      <c r="C95" s="2">
        <v>11750000</v>
      </c>
      <c r="D95" s="2">
        <v>12000000</v>
      </c>
      <c r="E95" s="2">
        <v>12300000</v>
      </c>
      <c r="F95" s="2">
        <v>12750000</v>
      </c>
      <c r="G95" s="2">
        <v>12000000</v>
      </c>
      <c r="H95" s="2">
        <v>12000000</v>
      </c>
      <c r="I95" s="2">
        <v>12000000</v>
      </c>
      <c r="J95" s="2">
        <v>12000000</v>
      </c>
      <c r="K95" s="2"/>
    </row>
    <row r="96" spans="1:11" hidden="1" x14ac:dyDescent="0.25">
      <c r="A96" t="s">
        <v>186</v>
      </c>
      <c r="B96" t="s">
        <v>187</v>
      </c>
      <c r="C96" s="2">
        <v>47329540</v>
      </c>
      <c r="D96" s="2">
        <v>48749426</v>
      </c>
      <c r="E96" s="2">
        <v>50211909</v>
      </c>
      <c r="F96" s="2">
        <v>51718266</v>
      </c>
      <c r="G96" s="2">
        <v>63808067</v>
      </c>
      <c r="H96" s="2">
        <v>66360390</v>
      </c>
      <c r="I96" s="2">
        <v>67988856</v>
      </c>
      <c r="J96" s="2">
        <v>69873487</v>
      </c>
      <c r="K96" s="2"/>
    </row>
    <row r="97" spans="1:11" hidden="1" x14ac:dyDescent="0.25">
      <c r="A97" t="s">
        <v>188</v>
      </c>
      <c r="B97" t="s">
        <v>189</v>
      </c>
      <c r="C97" s="2">
        <v>4556285</v>
      </c>
      <c r="D97" s="2">
        <v>4784099</v>
      </c>
      <c r="E97" s="2">
        <v>5023304</v>
      </c>
      <c r="F97" s="2">
        <v>5274470</v>
      </c>
      <c r="G97" s="2">
        <v>5711006</v>
      </c>
      <c r="H97" s="2">
        <v>6053642</v>
      </c>
      <c r="I97" s="2">
        <v>6416836</v>
      </c>
      <c r="J97" s="2">
        <v>6801821</v>
      </c>
      <c r="K97" s="2"/>
    </row>
    <row r="98" spans="1:11" hidden="1" x14ac:dyDescent="0.25">
      <c r="A98" t="s">
        <v>190</v>
      </c>
      <c r="B98" t="s">
        <v>191</v>
      </c>
      <c r="C98" s="2">
        <v>57151000</v>
      </c>
      <c r="D98" s="2">
        <v>56000000</v>
      </c>
      <c r="E98" s="2">
        <v>58000000</v>
      </c>
      <c r="F98" s="2">
        <v>59000000</v>
      </c>
      <c r="G98" s="2">
        <v>41236226</v>
      </c>
      <c r="H98" s="2">
        <v>41896005</v>
      </c>
      <c r="I98" s="2">
        <v>43272122</v>
      </c>
      <c r="J98" s="2">
        <v>44093427</v>
      </c>
      <c r="K98" s="2"/>
    </row>
    <row r="99" spans="1:11" hidden="1" x14ac:dyDescent="0.25">
      <c r="A99" t="s">
        <v>192</v>
      </c>
      <c r="B99" t="s">
        <v>193</v>
      </c>
      <c r="C99" s="2">
        <v>291554</v>
      </c>
      <c r="D99" s="2">
        <v>320709</v>
      </c>
      <c r="E99" s="2">
        <v>352780</v>
      </c>
      <c r="F99" s="2">
        <v>388058</v>
      </c>
      <c r="G99" s="2">
        <v>142561</v>
      </c>
      <c r="H99" s="2">
        <v>145215</v>
      </c>
      <c r="I99" s="2">
        <v>147923</v>
      </c>
      <c r="J99" s="2">
        <v>150684</v>
      </c>
      <c r="K99" s="2"/>
    </row>
    <row r="100" spans="1:11" hidden="1" x14ac:dyDescent="0.25">
      <c r="A100" t="s">
        <v>194</v>
      </c>
      <c r="B100" t="s">
        <v>195</v>
      </c>
      <c r="C100" s="2">
        <v>68000000</v>
      </c>
      <c r="D100" s="2">
        <v>74000000</v>
      </c>
      <c r="E100" s="2">
        <v>79000000</v>
      </c>
      <c r="F100" s="2">
        <v>83000000</v>
      </c>
      <c r="G100" s="2">
        <v>70000000</v>
      </c>
      <c r="H100" s="2">
        <v>75000000</v>
      </c>
      <c r="I100" s="2">
        <v>79000000</v>
      </c>
      <c r="J100" s="2">
        <v>84000000</v>
      </c>
      <c r="K100" s="2"/>
    </row>
    <row r="101" spans="1:11" hidden="1" x14ac:dyDescent="0.25">
      <c r="A101" t="s">
        <v>196</v>
      </c>
      <c r="B101" s="14" t="s">
        <v>956</v>
      </c>
      <c r="C101" s="2">
        <v>12662093</v>
      </c>
      <c r="D101" s="2">
        <v>13168576</v>
      </c>
      <c r="E101" s="2">
        <v>7850000</v>
      </c>
      <c r="F101" s="2">
        <v>8250000</v>
      </c>
      <c r="G101" s="2">
        <v>8700000</v>
      </c>
      <c r="H101" s="2">
        <v>9150000</v>
      </c>
      <c r="I101" s="2">
        <v>0</v>
      </c>
      <c r="J101" s="2">
        <v>0</v>
      </c>
      <c r="K101" s="2"/>
    </row>
    <row r="102" spans="1:11" hidden="1" x14ac:dyDescent="0.25">
      <c r="A102" t="s">
        <v>197</v>
      </c>
      <c r="B102" t="s">
        <v>198</v>
      </c>
      <c r="C102" s="2">
        <v>8450000</v>
      </c>
      <c r="D102" s="2">
        <v>7800000</v>
      </c>
      <c r="E102" s="2">
        <v>7820000</v>
      </c>
      <c r="F102" s="2">
        <v>7820000</v>
      </c>
      <c r="G102" s="2">
        <v>8690124</v>
      </c>
      <c r="H102" s="2">
        <v>9094041</v>
      </c>
      <c r="I102" s="2">
        <v>9544833</v>
      </c>
      <c r="J102" s="2">
        <v>10017970</v>
      </c>
      <c r="K102" s="2"/>
    </row>
    <row r="103" spans="1:11" hidden="1" x14ac:dyDescent="0.25">
      <c r="A103" t="s">
        <v>199</v>
      </c>
      <c r="B103" t="s">
        <v>200</v>
      </c>
      <c r="C103" s="2">
        <v>45400000</v>
      </c>
      <c r="D103" s="2">
        <v>47750000</v>
      </c>
      <c r="E103" s="2">
        <v>37652132</v>
      </c>
      <c r="F103" s="2">
        <v>41187668</v>
      </c>
      <c r="G103" s="2">
        <v>45055190</v>
      </c>
      <c r="H103" s="2">
        <v>49285872</v>
      </c>
      <c r="I103" s="2">
        <v>0</v>
      </c>
      <c r="J103" s="2">
        <v>0</v>
      </c>
      <c r="K103" s="2"/>
    </row>
    <row r="104" spans="1:11" hidden="1" x14ac:dyDescent="0.25">
      <c r="A104" t="s">
        <v>201</v>
      </c>
      <c r="B104" t="s">
        <v>202</v>
      </c>
      <c r="C104" s="2">
        <v>10710073</v>
      </c>
      <c r="D104" s="2">
        <v>11823067</v>
      </c>
      <c r="E104" s="2">
        <v>16419347</v>
      </c>
      <c r="F104" s="2">
        <v>17895669</v>
      </c>
      <c r="G104" s="2">
        <v>19504860</v>
      </c>
      <c r="H104" s="2">
        <v>21258878</v>
      </c>
      <c r="I104" s="2">
        <v>0</v>
      </c>
      <c r="J104" s="2">
        <v>0</v>
      </c>
      <c r="K104" s="2"/>
    </row>
    <row r="105" spans="1:11" hidden="1" x14ac:dyDescent="0.25">
      <c r="A105" t="s">
        <v>203</v>
      </c>
      <c r="B105" t="s">
        <v>204</v>
      </c>
      <c r="C105" s="2">
        <v>14250000</v>
      </c>
      <c r="D105" s="2">
        <v>15100000</v>
      </c>
      <c r="E105" s="2">
        <v>15950000</v>
      </c>
      <c r="F105" s="2">
        <v>16900000</v>
      </c>
      <c r="G105" s="2">
        <v>20585000</v>
      </c>
      <c r="H105" s="2">
        <v>21472000</v>
      </c>
      <c r="I105" s="2">
        <v>22382000</v>
      </c>
      <c r="J105" s="2">
        <v>23473000</v>
      </c>
      <c r="K105" s="2"/>
    </row>
    <row r="106" spans="1:11" hidden="1" x14ac:dyDescent="0.25">
      <c r="A106" t="s">
        <v>205</v>
      </c>
      <c r="B106" t="s">
        <v>206</v>
      </c>
      <c r="C106" s="2">
        <v>36300000</v>
      </c>
      <c r="D106" s="2">
        <v>44900000</v>
      </c>
      <c r="E106" s="2">
        <v>49850000</v>
      </c>
      <c r="F106" s="2">
        <v>54000000</v>
      </c>
      <c r="G106" s="2">
        <v>61000000</v>
      </c>
      <c r="H106" s="2">
        <v>64000000</v>
      </c>
      <c r="I106" s="2">
        <v>67000000</v>
      </c>
      <c r="J106" s="2">
        <v>70000000</v>
      </c>
      <c r="K106" s="2"/>
    </row>
    <row r="107" spans="1:11" hidden="1" x14ac:dyDescent="0.25">
      <c r="A107" t="s">
        <v>207</v>
      </c>
      <c r="B107" t="s">
        <v>208</v>
      </c>
      <c r="C107" s="2">
        <v>21300000</v>
      </c>
      <c r="D107" s="2">
        <v>23500000</v>
      </c>
      <c r="E107" s="2">
        <v>25602000</v>
      </c>
      <c r="F107" s="2">
        <v>28250000</v>
      </c>
      <c r="G107" s="2">
        <v>26000000</v>
      </c>
      <c r="H107" s="2">
        <v>26500000</v>
      </c>
      <c r="I107" s="2">
        <v>27500000</v>
      </c>
      <c r="J107" s="2">
        <v>28750000</v>
      </c>
      <c r="K107" s="2"/>
    </row>
    <row r="108" spans="1:11" hidden="1" x14ac:dyDescent="0.25">
      <c r="A108" t="s">
        <v>209</v>
      </c>
      <c r="B108" t="s">
        <v>210</v>
      </c>
      <c r="C108" s="2">
        <v>59200000</v>
      </c>
      <c r="D108" s="2">
        <v>62200000</v>
      </c>
      <c r="E108" s="2">
        <v>65100000</v>
      </c>
      <c r="F108" s="2">
        <v>67700000</v>
      </c>
      <c r="G108" s="2">
        <v>85600000</v>
      </c>
      <c r="H108" s="2">
        <v>89900000</v>
      </c>
      <c r="I108" s="2">
        <v>94400000</v>
      </c>
      <c r="J108" s="2">
        <v>99100000</v>
      </c>
      <c r="K108" s="2"/>
    </row>
    <row r="109" spans="1:11" hidden="1" x14ac:dyDescent="0.25">
      <c r="A109" t="s">
        <v>211</v>
      </c>
      <c r="B109" t="s">
        <v>212</v>
      </c>
      <c r="C109" s="2">
        <v>44000000</v>
      </c>
      <c r="D109" s="2">
        <v>50000000</v>
      </c>
      <c r="E109" s="2">
        <v>69000000</v>
      </c>
      <c r="F109" s="2">
        <v>76250000</v>
      </c>
      <c r="G109" s="2">
        <v>76250000</v>
      </c>
      <c r="H109" s="2">
        <v>76250000</v>
      </c>
      <c r="I109" s="2">
        <v>0</v>
      </c>
      <c r="J109" s="2">
        <v>0</v>
      </c>
      <c r="K109" s="2"/>
    </row>
    <row r="110" spans="1:11" hidden="1" x14ac:dyDescent="0.25">
      <c r="A110" t="s">
        <v>213</v>
      </c>
      <c r="B110" t="s">
        <v>214</v>
      </c>
      <c r="C110" s="2">
        <v>57000000</v>
      </c>
      <c r="D110" s="2">
        <v>58000000</v>
      </c>
      <c r="E110" s="2">
        <v>59000000</v>
      </c>
      <c r="F110" s="2">
        <v>60000000</v>
      </c>
      <c r="G110" s="2">
        <v>62500000</v>
      </c>
      <c r="H110" s="2">
        <v>64900000</v>
      </c>
      <c r="I110" s="2">
        <v>67500000</v>
      </c>
      <c r="J110" s="2">
        <v>70200000</v>
      </c>
      <c r="K110" s="2"/>
    </row>
    <row r="111" spans="1:11" hidden="1" x14ac:dyDescent="0.25">
      <c r="A111" t="s">
        <v>215</v>
      </c>
      <c r="B111" t="s">
        <v>216</v>
      </c>
      <c r="C111" s="2">
        <v>6652154</v>
      </c>
      <c r="D111" s="2">
        <v>8647800</v>
      </c>
      <c r="E111" s="2">
        <v>12787991</v>
      </c>
      <c r="F111" s="2">
        <v>13466996</v>
      </c>
      <c r="G111" s="2">
        <v>13851143</v>
      </c>
      <c r="H111" s="2">
        <v>14543700</v>
      </c>
      <c r="I111" s="2">
        <v>0</v>
      </c>
      <c r="J111" s="2">
        <v>0</v>
      </c>
      <c r="K111" s="2"/>
    </row>
    <row r="112" spans="1:11" hidden="1" x14ac:dyDescent="0.25">
      <c r="A112" t="s">
        <v>217</v>
      </c>
      <c r="B112" t="s">
        <v>218</v>
      </c>
      <c r="C112" s="2">
        <v>10600000</v>
      </c>
      <c r="D112" s="2">
        <v>10800000</v>
      </c>
      <c r="E112" s="2">
        <v>11000000</v>
      </c>
      <c r="F112" s="2">
        <v>10000000</v>
      </c>
      <c r="G112" s="2">
        <v>10300000</v>
      </c>
      <c r="H112" s="2">
        <v>10500000</v>
      </c>
      <c r="I112" s="2">
        <v>0</v>
      </c>
      <c r="J112" s="2">
        <v>0</v>
      </c>
      <c r="K112" s="2"/>
    </row>
    <row r="113" spans="1:11" hidden="1" x14ac:dyDescent="0.25">
      <c r="A113" t="s">
        <v>219</v>
      </c>
      <c r="B113" t="s">
        <v>220</v>
      </c>
      <c r="C113" s="2">
        <v>11405613</v>
      </c>
      <c r="D113" s="2">
        <v>11975894</v>
      </c>
      <c r="E113" s="2">
        <v>12574688</v>
      </c>
      <c r="F113" s="2">
        <v>13203423</v>
      </c>
      <c r="G113" s="2">
        <v>16972500</v>
      </c>
      <c r="H113" s="2">
        <v>17777000</v>
      </c>
      <c r="I113" s="2">
        <v>18706500</v>
      </c>
      <c r="J113" s="2">
        <v>19558500</v>
      </c>
      <c r="K113" s="2"/>
    </row>
    <row r="114" spans="1:11" hidden="1" x14ac:dyDescent="0.25">
      <c r="A114" t="s">
        <v>221</v>
      </c>
      <c r="B114" t="s">
        <v>222</v>
      </c>
      <c r="C114" s="2">
        <v>22900000</v>
      </c>
      <c r="D114" s="2">
        <v>18000000</v>
      </c>
      <c r="E114" s="2">
        <v>18000000</v>
      </c>
      <c r="F114" s="2">
        <v>18000000</v>
      </c>
      <c r="G114" s="138">
        <v>20000000</v>
      </c>
      <c r="H114" s="138">
        <v>20000000</v>
      </c>
      <c r="I114" s="2">
        <v>0</v>
      </c>
      <c r="J114" s="2">
        <v>0</v>
      </c>
      <c r="K114" s="2"/>
    </row>
    <row r="115" spans="1:11" hidden="1" x14ac:dyDescent="0.25">
      <c r="A115" t="s">
        <v>223</v>
      </c>
      <c r="B115" t="s">
        <v>224</v>
      </c>
      <c r="C115" s="2">
        <v>24650304</v>
      </c>
      <c r="D115" s="2">
        <v>25020059</v>
      </c>
      <c r="E115" s="2">
        <v>25520460</v>
      </c>
      <c r="F115" s="2">
        <v>27880220</v>
      </c>
      <c r="G115" s="2">
        <v>30386678</v>
      </c>
      <c r="H115" s="2">
        <v>33118717</v>
      </c>
      <c r="I115" s="2">
        <v>36096640</v>
      </c>
      <c r="J115" s="2">
        <v>0</v>
      </c>
      <c r="K115" s="2"/>
    </row>
    <row r="116" spans="1:11" hidden="1" x14ac:dyDescent="0.25">
      <c r="A116" t="s">
        <v>225</v>
      </c>
      <c r="B116" t="s">
        <v>226</v>
      </c>
      <c r="C116" s="2">
        <v>125000</v>
      </c>
      <c r="D116" s="2">
        <v>125000</v>
      </c>
      <c r="E116" s="2">
        <v>85000</v>
      </c>
      <c r="F116" s="2">
        <v>85000</v>
      </c>
      <c r="G116" s="2">
        <v>125000</v>
      </c>
      <c r="H116" s="2">
        <v>135000</v>
      </c>
      <c r="I116" s="2">
        <v>150000</v>
      </c>
      <c r="J116" s="2">
        <v>0</v>
      </c>
      <c r="K116" s="2"/>
    </row>
    <row r="117" spans="1:11" hidden="1" x14ac:dyDescent="0.25">
      <c r="A117" t="s">
        <v>227</v>
      </c>
      <c r="B117" t="s">
        <v>228</v>
      </c>
      <c r="C117" s="2">
        <v>495000</v>
      </c>
      <c r="D117" s="2">
        <v>495000</v>
      </c>
      <c r="E117" s="2">
        <v>495000</v>
      </c>
      <c r="F117" s="2">
        <v>495000</v>
      </c>
      <c r="G117" s="2">
        <v>495000</v>
      </c>
      <c r="H117" s="2">
        <v>495000</v>
      </c>
      <c r="I117" s="2">
        <v>495000</v>
      </c>
      <c r="J117" s="2">
        <v>495000</v>
      </c>
      <c r="K117" s="2"/>
    </row>
    <row r="118" spans="1:11" hidden="1" x14ac:dyDescent="0.25">
      <c r="A118" t="s">
        <v>229</v>
      </c>
      <c r="B118" t="s">
        <v>230</v>
      </c>
      <c r="C118" s="2">
        <v>776867</v>
      </c>
      <c r="D118" s="2">
        <v>776867</v>
      </c>
      <c r="E118" s="2">
        <v>776867</v>
      </c>
      <c r="F118" s="2">
        <v>776867</v>
      </c>
      <c r="G118" s="2">
        <v>613786</v>
      </c>
      <c r="H118" s="2">
        <v>625701</v>
      </c>
      <c r="I118" s="2">
        <v>638464</v>
      </c>
      <c r="J118" s="2">
        <v>653400</v>
      </c>
      <c r="K118" s="2"/>
    </row>
    <row r="119" spans="1:11" hidden="1" x14ac:dyDescent="0.25">
      <c r="A119" t="s">
        <v>231</v>
      </c>
      <c r="B119" t="s">
        <v>232</v>
      </c>
      <c r="C119" s="2">
        <v>4512578</v>
      </c>
      <c r="D119" s="2">
        <v>4625392</v>
      </c>
      <c r="E119" s="2">
        <v>4741027</v>
      </c>
      <c r="F119" s="2">
        <v>4859552</v>
      </c>
      <c r="G119" s="2">
        <v>9700000</v>
      </c>
      <c r="H119" s="2">
        <v>10200000</v>
      </c>
      <c r="I119" s="2">
        <v>10700000</v>
      </c>
      <c r="J119" s="2">
        <v>11225000</v>
      </c>
      <c r="K119" s="2"/>
    </row>
    <row r="120" spans="1:11" hidden="1" x14ac:dyDescent="0.25">
      <c r="A120" t="s">
        <v>233</v>
      </c>
      <c r="B120" t="s">
        <v>234</v>
      </c>
      <c r="C120" s="2">
        <v>1650108</v>
      </c>
      <c r="D120" s="2">
        <v>1666605</v>
      </c>
      <c r="E120" s="2">
        <v>1683268</v>
      </c>
      <c r="F120" s="2">
        <v>1700097</v>
      </c>
      <c r="G120" s="2">
        <v>1804449</v>
      </c>
      <c r="H120" s="2">
        <v>1804449</v>
      </c>
      <c r="I120" s="2">
        <v>1804449</v>
      </c>
      <c r="J120" s="2">
        <v>1804449</v>
      </c>
      <c r="K120" s="2"/>
    </row>
    <row r="121" spans="1:11" hidden="1" x14ac:dyDescent="0.25">
      <c r="A121" t="s">
        <v>235</v>
      </c>
      <c r="B121" t="s">
        <v>236</v>
      </c>
      <c r="C121" s="2">
        <v>2200000</v>
      </c>
      <c r="D121" s="2">
        <v>2200000</v>
      </c>
      <c r="E121" s="2">
        <v>2700000</v>
      </c>
      <c r="F121" s="2">
        <v>2700000</v>
      </c>
      <c r="G121" s="2">
        <v>2700000</v>
      </c>
      <c r="H121" s="2">
        <v>2700000</v>
      </c>
      <c r="I121" s="2">
        <v>0</v>
      </c>
      <c r="J121" s="2">
        <v>0</v>
      </c>
      <c r="K121" s="2"/>
    </row>
    <row r="122" spans="1:11" hidden="1" x14ac:dyDescent="0.25">
      <c r="A122" t="s">
        <v>237</v>
      </c>
      <c r="B122" t="s">
        <v>238</v>
      </c>
      <c r="C122" s="2">
        <v>75000</v>
      </c>
      <c r="D122" s="2">
        <v>75000</v>
      </c>
      <c r="E122" s="2">
        <v>75000</v>
      </c>
      <c r="F122" s="2">
        <v>75000</v>
      </c>
      <c r="G122" s="2">
        <v>75000</v>
      </c>
      <c r="H122" s="2">
        <v>75000</v>
      </c>
      <c r="I122" s="2">
        <v>0</v>
      </c>
      <c r="J122" s="2">
        <v>0</v>
      </c>
      <c r="K122" s="2"/>
    </row>
    <row r="123" spans="1:11" hidden="1" x14ac:dyDescent="0.25">
      <c r="A123" t="s">
        <v>239</v>
      </c>
      <c r="B123" t="s">
        <v>240</v>
      </c>
      <c r="C123" s="2">
        <v>300000</v>
      </c>
      <c r="D123" s="2">
        <v>300000</v>
      </c>
      <c r="E123" s="2">
        <v>300000</v>
      </c>
      <c r="F123" s="2">
        <v>300000</v>
      </c>
      <c r="G123" s="2">
        <v>300000</v>
      </c>
      <c r="H123" s="2">
        <v>300000</v>
      </c>
      <c r="I123" s="2">
        <v>0</v>
      </c>
      <c r="J123" s="2">
        <v>0</v>
      </c>
      <c r="K123" s="2"/>
    </row>
    <row r="124" spans="1:11" hidden="1" x14ac:dyDescent="0.25">
      <c r="A124" t="s">
        <v>241</v>
      </c>
      <c r="B124" t="s">
        <v>242</v>
      </c>
      <c r="C124" s="2">
        <v>225000</v>
      </c>
      <c r="D124" s="2">
        <v>225000</v>
      </c>
      <c r="E124" s="2">
        <v>295000</v>
      </c>
      <c r="F124" s="2">
        <v>295000</v>
      </c>
      <c r="G124" s="2">
        <v>295000</v>
      </c>
      <c r="H124" s="2">
        <v>295000</v>
      </c>
      <c r="I124" s="2">
        <v>0</v>
      </c>
      <c r="J124" s="2">
        <v>0</v>
      </c>
      <c r="K124" s="2"/>
    </row>
    <row r="125" spans="1:11" hidden="1" x14ac:dyDescent="0.25">
      <c r="A125" t="s">
        <v>243</v>
      </c>
      <c r="B125" t="s">
        <v>244</v>
      </c>
      <c r="C125" s="2">
        <v>412000</v>
      </c>
      <c r="D125" s="2">
        <v>290000</v>
      </c>
      <c r="E125" s="2">
        <v>290000</v>
      </c>
      <c r="F125" s="2">
        <v>540000</v>
      </c>
      <c r="G125" s="2">
        <v>575000</v>
      </c>
      <c r="H125" s="2">
        <v>0</v>
      </c>
      <c r="I125" s="2">
        <v>0</v>
      </c>
      <c r="J125" s="2">
        <v>0</v>
      </c>
      <c r="K125" s="2"/>
    </row>
    <row r="126" spans="1:11" hidden="1" x14ac:dyDescent="0.25">
      <c r="A126" t="s">
        <v>245</v>
      </c>
      <c r="B126" t="s">
        <v>246</v>
      </c>
      <c r="C126" s="2">
        <v>110000</v>
      </c>
      <c r="D126" s="2">
        <v>110000</v>
      </c>
      <c r="E126" s="2">
        <v>110000</v>
      </c>
      <c r="F126" s="2">
        <v>110000</v>
      </c>
      <c r="G126" s="2">
        <v>110000</v>
      </c>
      <c r="H126" s="2">
        <v>110000</v>
      </c>
      <c r="I126" s="2">
        <v>0</v>
      </c>
      <c r="J126" s="2">
        <v>0</v>
      </c>
      <c r="K126" s="2"/>
    </row>
    <row r="127" spans="1:11" hidden="1" x14ac:dyDescent="0.25">
      <c r="A127" t="s">
        <v>247</v>
      </c>
      <c r="B127" t="s">
        <v>248</v>
      </c>
      <c r="C127" s="2">
        <v>90000</v>
      </c>
      <c r="D127" s="2">
        <v>90000</v>
      </c>
      <c r="E127" s="2">
        <v>90000</v>
      </c>
      <c r="F127" s="2">
        <v>90000</v>
      </c>
      <c r="G127" s="2">
        <v>116000</v>
      </c>
      <c r="H127" s="2">
        <v>116000</v>
      </c>
      <c r="I127" s="2">
        <v>116000</v>
      </c>
      <c r="J127" s="2">
        <v>116000</v>
      </c>
      <c r="K127" s="2"/>
    </row>
    <row r="128" spans="1:11" hidden="1" x14ac:dyDescent="0.25">
      <c r="A128" t="s">
        <v>249</v>
      </c>
      <c r="B128" t="s">
        <v>250</v>
      </c>
      <c r="C128" s="2">
        <v>60000</v>
      </c>
      <c r="D128" s="2">
        <v>60000</v>
      </c>
      <c r="E128" s="2">
        <v>60000</v>
      </c>
      <c r="F128" s="2">
        <v>60000</v>
      </c>
      <c r="G128" s="2">
        <v>60000</v>
      </c>
      <c r="H128" s="2">
        <v>60000</v>
      </c>
      <c r="I128" s="2">
        <v>0</v>
      </c>
      <c r="J128" s="2">
        <v>0</v>
      </c>
      <c r="K128" s="2"/>
    </row>
    <row r="129" spans="1:11" hidden="1" x14ac:dyDescent="0.25">
      <c r="A129" t="s">
        <v>251</v>
      </c>
      <c r="B129" t="s">
        <v>252</v>
      </c>
      <c r="C129" s="2">
        <v>1943620</v>
      </c>
      <c r="D129" s="2">
        <v>1943620</v>
      </c>
      <c r="E129" s="2">
        <v>2472769</v>
      </c>
      <c r="F129" s="2">
        <v>2522224</v>
      </c>
      <c r="G129" s="2">
        <v>2572668</v>
      </c>
      <c r="H129" s="2">
        <v>2624121</v>
      </c>
      <c r="I129" s="2">
        <v>0</v>
      </c>
      <c r="J129" s="2">
        <v>0</v>
      </c>
      <c r="K129" s="2"/>
    </row>
    <row r="130" spans="1:11" hidden="1" x14ac:dyDescent="0.25">
      <c r="A130" t="s">
        <v>253</v>
      </c>
      <c r="B130" t="s">
        <v>254</v>
      </c>
      <c r="C130" s="2">
        <v>2830000</v>
      </c>
      <c r="D130" s="2">
        <v>2880000</v>
      </c>
      <c r="E130" s="2">
        <v>3260000</v>
      </c>
      <c r="F130" s="2">
        <v>3350000</v>
      </c>
      <c r="G130" s="2">
        <v>3425000</v>
      </c>
      <c r="H130" s="2">
        <v>0</v>
      </c>
      <c r="I130" s="2">
        <v>0</v>
      </c>
      <c r="J130" s="2">
        <v>0</v>
      </c>
      <c r="K130" s="2"/>
    </row>
    <row r="131" spans="1:11" hidden="1" x14ac:dyDescent="0.25">
      <c r="A131" t="s">
        <v>255</v>
      </c>
      <c r="B131" t="s">
        <v>256</v>
      </c>
      <c r="C131" s="2">
        <v>1026823</v>
      </c>
      <c r="D131" s="2">
        <v>700000</v>
      </c>
      <c r="E131" s="2">
        <v>700000</v>
      </c>
      <c r="F131" s="2">
        <v>700000</v>
      </c>
      <c r="G131" s="2">
        <v>700000</v>
      </c>
      <c r="H131" s="2">
        <v>0</v>
      </c>
      <c r="I131" s="2">
        <v>0</v>
      </c>
      <c r="J131" s="2">
        <v>0</v>
      </c>
      <c r="K131" s="2"/>
    </row>
    <row r="132" spans="1:11" hidden="1" x14ac:dyDescent="0.25">
      <c r="A132" t="s">
        <v>257</v>
      </c>
      <c r="B132" t="s">
        <v>258</v>
      </c>
      <c r="C132" s="2">
        <v>925000</v>
      </c>
      <c r="D132" s="2">
        <v>687924</v>
      </c>
      <c r="E132" s="2">
        <v>756716</v>
      </c>
      <c r="F132" s="2">
        <v>832388</v>
      </c>
      <c r="G132" s="2">
        <v>1075000</v>
      </c>
      <c r="H132" s="2">
        <v>1155000</v>
      </c>
      <c r="I132" s="2">
        <v>1245000</v>
      </c>
      <c r="J132" s="2">
        <v>0</v>
      </c>
      <c r="K132" s="2"/>
    </row>
    <row r="133" spans="1:11" hidden="1" x14ac:dyDescent="0.25">
      <c r="A133" t="s">
        <v>259</v>
      </c>
      <c r="B133" t="s">
        <v>260</v>
      </c>
      <c r="C133" s="2">
        <v>190000</v>
      </c>
      <c r="D133" s="2">
        <v>190000</v>
      </c>
      <c r="E133" s="2">
        <v>190000</v>
      </c>
      <c r="F133" s="2">
        <v>190000</v>
      </c>
      <c r="G133" s="2">
        <v>190000</v>
      </c>
      <c r="H133" s="2">
        <v>0</v>
      </c>
      <c r="I133" s="2">
        <v>0</v>
      </c>
      <c r="J133" s="2">
        <v>0</v>
      </c>
      <c r="K133" s="2"/>
    </row>
    <row r="134" spans="1:11" hidden="1" x14ac:dyDescent="0.25">
      <c r="A134" t="s">
        <v>261</v>
      </c>
      <c r="B134" t="s">
        <v>262</v>
      </c>
      <c r="C134" s="2">
        <v>946000</v>
      </c>
      <c r="D134" s="2">
        <v>687299</v>
      </c>
      <c r="E134" s="2">
        <v>721664</v>
      </c>
      <c r="F134" s="2">
        <v>757747</v>
      </c>
      <c r="G134" s="2">
        <v>930000</v>
      </c>
      <c r="H134" s="2">
        <v>985000</v>
      </c>
      <c r="I134" s="2">
        <v>1015000</v>
      </c>
      <c r="J134" s="2">
        <v>0</v>
      </c>
      <c r="K134" s="2"/>
    </row>
    <row r="135" spans="1:11" hidden="1" x14ac:dyDescent="0.25">
      <c r="A135" t="s">
        <v>263</v>
      </c>
      <c r="B135" t="s">
        <v>264</v>
      </c>
      <c r="C135" s="2">
        <v>805000</v>
      </c>
      <c r="D135" s="2">
        <v>805000</v>
      </c>
      <c r="E135" s="2">
        <v>900000</v>
      </c>
      <c r="F135" s="2">
        <v>950000</v>
      </c>
      <c r="G135" s="2">
        <v>1050000</v>
      </c>
      <c r="H135" s="2">
        <v>1115000</v>
      </c>
      <c r="I135" s="2">
        <v>0</v>
      </c>
      <c r="J135" s="2">
        <v>0</v>
      </c>
      <c r="K135" s="2"/>
    </row>
    <row r="136" spans="1:11" hidden="1" x14ac:dyDescent="0.25">
      <c r="A136" t="s">
        <v>265</v>
      </c>
      <c r="B136" t="s">
        <v>266</v>
      </c>
      <c r="C136" s="2">
        <v>683833</v>
      </c>
      <c r="D136" s="2">
        <v>718025</v>
      </c>
      <c r="E136" s="2">
        <v>906687</v>
      </c>
      <c r="F136" s="2">
        <v>1015489</v>
      </c>
      <c r="G136" s="2">
        <v>1075489</v>
      </c>
      <c r="H136" s="2">
        <v>1135489</v>
      </c>
      <c r="I136" s="2">
        <v>1195489</v>
      </c>
      <c r="J136" s="2">
        <v>1255489</v>
      </c>
      <c r="K136" s="2"/>
    </row>
    <row r="137" spans="1:11" hidden="1" x14ac:dyDescent="0.25">
      <c r="A137" t="s">
        <v>267</v>
      </c>
      <c r="B137" t="s">
        <v>268</v>
      </c>
      <c r="C137" s="2">
        <v>560000</v>
      </c>
      <c r="D137" s="2">
        <v>600000</v>
      </c>
      <c r="E137" s="2">
        <v>640000</v>
      </c>
      <c r="F137" s="2">
        <v>680000</v>
      </c>
      <c r="G137" s="2">
        <v>945000</v>
      </c>
      <c r="H137" s="2">
        <v>990000</v>
      </c>
      <c r="I137" s="2">
        <v>1015000</v>
      </c>
      <c r="J137" s="2">
        <v>0</v>
      </c>
      <c r="K137" s="2"/>
    </row>
    <row r="138" spans="1:11" hidden="1" x14ac:dyDescent="0.25">
      <c r="A138" t="s">
        <v>269</v>
      </c>
      <c r="B138" t="s">
        <v>270</v>
      </c>
      <c r="C138" s="2">
        <v>250000</v>
      </c>
      <c r="D138" s="2">
        <v>250000</v>
      </c>
      <c r="E138" s="2">
        <v>250000</v>
      </c>
      <c r="F138" s="2">
        <v>250000</v>
      </c>
      <c r="G138" s="2">
        <v>250000</v>
      </c>
      <c r="H138" s="2">
        <v>250000</v>
      </c>
      <c r="I138" s="2">
        <v>0</v>
      </c>
      <c r="J138" s="2">
        <v>0</v>
      </c>
      <c r="K138" s="2"/>
    </row>
    <row r="139" spans="1:11" hidden="1" x14ac:dyDescent="0.25">
      <c r="A139" t="s">
        <v>271</v>
      </c>
      <c r="B139" t="s">
        <v>272</v>
      </c>
      <c r="C139" s="2">
        <v>1100000</v>
      </c>
      <c r="D139" s="2">
        <v>895000</v>
      </c>
      <c r="E139" s="2">
        <v>895000</v>
      </c>
      <c r="F139" s="2">
        <v>1100000</v>
      </c>
      <c r="G139" s="2">
        <v>1150000</v>
      </c>
      <c r="H139" s="2">
        <v>1200000</v>
      </c>
      <c r="I139" s="2">
        <v>0</v>
      </c>
      <c r="J139" s="2">
        <v>0</v>
      </c>
      <c r="K139" s="2"/>
    </row>
    <row r="140" spans="1:11" hidden="1" x14ac:dyDescent="0.25">
      <c r="A140" t="s">
        <v>273</v>
      </c>
      <c r="B140" t="s">
        <v>274</v>
      </c>
      <c r="C140" s="2">
        <v>1100000</v>
      </c>
      <c r="D140" s="2">
        <v>864849</v>
      </c>
      <c r="E140" s="2">
        <v>916740</v>
      </c>
      <c r="F140" s="2">
        <v>971743</v>
      </c>
      <c r="G140" s="2">
        <v>1200000</v>
      </c>
      <c r="H140" s="2">
        <v>1200000</v>
      </c>
      <c r="I140" s="2">
        <v>1200000</v>
      </c>
      <c r="J140" s="2">
        <v>0</v>
      </c>
      <c r="K140" s="2"/>
    </row>
    <row r="141" spans="1:11" hidden="1" x14ac:dyDescent="0.25">
      <c r="A141" t="s">
        <v>275</v>
      </c>
      <c r="B141" t="s">
        <v>276</v>
      </c>
      <c r="C141" s="2">
        <v>350000</v>
      </c>
      <c r="D141" s="2">
        <v>350000</v>
      </c>
      <c r="E141" s="2">
        <v>350000</v>
      </c>
      <c r="F141" s="2">
        <v>350000</v>
      </c>
      <c r="G141" s="2">
        <v>350000</v>
      </c>
      <c r="H141" s="2">
        <v>350000</v>
      </c>
      <c r="I141" s="2">
        <v>350000</v>
      </c>
      <c r="J141" s="2">
        <v>0</v>
      </c>
      <c r="K141" s="2"/>
    </row>
    <row r="142" spans="1:11" hidden="1" x14ac:dyDescent="0.25">
      <c r="A142" t="s">
        <v>277</v>
      </c>
      <c r="B142" t="s">
        <v>278</v>
      </c>
      <c r="C142" s="2">
        <v>5000000</v>
      </c>
      <c r="D142" s="2">
        <v>5100000</v>
      </c>
      <c r="E142" s="2">
        <v>5215000</v>
      </c>
      <c r="F142" s="2">
        <v>5415000</v>
      </c>
      <c r="G142" s="2">
        <v>5650000</v>
      </c>
      <c r="H142" s="2">
        <v>5850000</v>
      </c>
      <c r="I142" s="2">
        <v>0</v>
      </c>
      <c r="J142" s="2">
        <v>0</v>
      </c>
      <c r="K142" s="2"/>
    </row>
    <row r="143" spans="1:11" hidden="1" x14ac:dyDescent="0.25">
      <c r="A143" t="s">
        <v>279</v>
      </c>
      <c r="B143" t="s">
        <v>280</v>
      </c>
      <c r="C143" s="2">
        <v>1188000</v>
      </c>
      <c r="D143" s="2">
        <v>1188000</v>
      </c>
      <c r="E143" s="2">
        <v>1188000</v>
      </c>
      <c r="F143" s="2">
        <v>932927</v>
      </c>
      <c r="G143" s="2">
        <v>932927</v>
      </c>
      <c r="H143" s="2">
        <v>932927</v>
      </c>
      <c r="I143" s="2">
        <v>932927</v>
      </c>
      <c r="J143" s="2">
        <v>0</v>
      </c>
      <c r="K143" s="2"/>
    </row>
    <row r="144" spans="1:11" hidden="1" x14ac:dyDescent="0.25">
      <c r="A144" t="s">
        <v>281</v>
      </c>
      <c r="B144" t="s">
        <v>282</v>
      </c>
      <c r="C144" s="2">
        <v>3300000</v>
      </c>
      <c r="D144" s="2">
        <v>3500000</v>
      </c>
      <c r="E144" s="2">
        <v>0</v>
      </c>
      <c r="F144" s="2">
        <v>4500000</v>
      </c>
      <c r="G144" s="2">
        <v>4600000</v>
      </c>
      <c r="H144" s="2">
        <v>0</v>
      </c>
      <c r="I144" s="2">
        <v>0</v>
      </c>
      <c r="J144" s="2">
        <v>0</v>
      </c>
      <c r="K144" s="2"/>
    </row>
    <row r="145" spans="1:11" hidden="1" x14ac:dyDescent="0.25">
      <c r="A145" t="s">
        <v>283</v>
      </c>
      <c r="B145" t="s">
        <v>284</v>
      </c>
      <c r="C145" s="2">
        <v>295000</v>
      </c>
      <c r="D145" s="2">
        <v>185000</v>
      </c>
      <c r="E145" s="2">
        <v>195000</v>
      </c>
      <c r="F145" s="2">
        <v>195000</v>
      </c>
      <c r="G145" s="2">
        <v>195000</v>
      </c>
      <c r="H145" s="2">
        <v>0</v>
      </c>
      <c r="I145" s="2">
        <v>0</v>
      </c>
      <c r="J145" s="2">
        <v>0</v>
      </c>
      <c r="K145" s="2"/>
    </row>
    <row r="146" spans="1:11" hidden="1" x14ac:dyDescent="0.25">
      <c r="A146" t="s">
        <v>285</v>
      </c>
      <c r="B146" t="s">
        <v>286</v>
      </c>
      <c r="C146" s="2">
        <v>903098</v>
      </c>
      <c r="D146" s="2">
        <v>1083718</v>
      </c>
      <c r="E146" s="2">
        <v>1300462</v>
      </c>
      <c r="F146" s="2">
        <v>1300112</v>
      </c>
      <c r="G146" s="2">
        <v>1358617</v>
      </c>
      <c r="H146" s="2">
        <v>1419755</v>
      </c>
      <c r="I146" s="2">
        <v>0</v>
      </c>
      <c r="J146" s="2">
        <v>0</v>
      </c>
      <c r="K146" s="2"/>
    </row>
    <row r="147" spans="1:11" x14ac:dyDescent="0.25">
      <c r="A147" t="s">
        <v>287</v>
      </c>
      <c r="B147" t="s">
        <v>288</v>
      </c>
      <c r="C147" s="2">
        <v>210000</v>
      </c>
      <c r="D147" s="2">
        <v>215000</v>
      </c>
      <c r="E147" s="2">
        <v>215000</v>
      </c>
      <c r="F147" s="2">
        <v>215000</v>
      </c>
      <c r="G147" s="2">
        <v>0</v>
      </c>
      <c r="H147" s="2">
        <v>0</v>
      </c>
      <c r="I147" s="2">
        <v>0</v>
      </c>
      <c r="J147" s="2">
        <v>0</v>
      </c>
      <c r="K147" s="2"/>
    </row>
    <row r="148" spans="1:11" hidden="1" x14ac:dyDescent="0.25">
      <c r="A148" t="s">
        <v>289</v>
      </c>
      <c r="B148" t="s">
        <v>290</v>
      </c>
      <c r="C148" s="2">
        <v>275000</v>
      </c>
      <c r="D148" s="2">
        <v>275000</v>
      </c>
      <c r="E148" s="2">
        <v>240000</v>
      </c>
      <c r="F148" s="2">
        <v>240000</v>
      </c>
      <c r="G148" s="2">
        <v>250000</v>
      </c>
      <c r="H148" s="2">
        <v>250000</v>
      </c>
      <c r="I148" s="2">
        <v>0</v>
      </c>
      <c r="J148" s="2">
        <v>0</v>
      </c>
      <c r="K148" s="2"/>
    </row>
    <row r="149" spans="1:11" hidden="1" x14ac:dyDescent="0.25">
      <c r="A149" t="s">
        <v>291</v>
      </c>
      <c r="B149" t="s">
        <v>292</v>
      </c>
      <c r="C149" s="2">
        <v>386000</v>
      </c>
      <c r="D149" s="2">
        <v>398328</v>
      </c>
      <c r="E149" s="2">
        <v>600000</v>
      </c>
      <c r="F149" s="2">
        <v>550000</v>
      </c>
      <c r="G149" s="2">
        <v>550000</v>
      </c>
      <c r="H149" s="2">
        <v>0</v>
      </c>
      <c r="I149" s="2">
        <v>0</v>
      </c>
      <c r="J149" s="2">
        <v>0</v>
      </c>
      <c r="K149" s="2"/>
    </row>
    <row r="150" spans="1:11" hidden="1" x14ac:dyDescent="0.25">
      <c r="A150" t="s">
        <v>293</v>
      </c>
      <c r="B150" t="s">
        <v>294</v>
      </c>
      <c r="C150" s="2">
        <v>305000</v>
      </c>
      <c r="D150" s="2">
        <v>350000</v>
      </c>
      <c r="E150" s="2">
        <v>465000</v>
      </c>
      <c r="F150" s="2">
        <v>465000</v>
      </c>
      <c r="G150" s="2">
        <v>475000</v>
      </c>
      <c r="H150" s="2">
        <v>475000</v>
      </c>
      <c r="I150" s="2">
        <v>0</v>
      </c>
      <c r="J150" s="2">
        <v>0</v>
      </c>
      <c r="K150" s="2"/>
    </row>
    <row r="151" spans="1:11" hidden="1" x14ac:dyDescent="0.25">
      <c r="A151" t="s">
        <v>295</v>
      </c>
      <c r="B151" t="s">
        <v>296</v>
      </c>
      <c r="C151" s="2">
        <v>270000</v>
      </c>
      <c r="D151" s="2">
        <v>270000</v>
      </c>
      <c r="E151" s="2">
        <v>375000</v>
      </c>
      <c r="F151" s="2">
        <v>375000</v>
      </c>
      <c r="G151" s="2">
        <v>375000</v>
      </c>
      <c r="H151" s="2">
        <v>375000</v>
      </c>
      <c r="I151" s="2">
        <v>0</v>
      </c>
      <c r="J151" s="2">
        <v>0</v>
      </c>
      <c r="K151" s="2"/>
    </row>
    <row r="152" spans="1:11" hidden="1" x14ac:dyDescent="0.25">
      <c r="A152" t="s">
        <v>297</v>
      </c>
      <c r="B152" t="s">
        <v>298</v>
      </c>
      <c r="C152" s="2">
        <v>1109000</v>
      </c>
      <c r="D152" s="2">
        <v>1131000</v>
      </c>
      <c r="E152" s="2">
        <v>738000</v>
      </c>
      <c r="F152" s="2">
        <v>760000</v>
      </c>
      <c r="G152" s="2">
        <v>782000</v>
      </c>
      <c r="H152" s="2">
        <v>805000</v>
      </c>
      <c r="I152" s="2">
        <v>0</v>
      </c>
      <c r="J152" s="2">
        <v>0</v>
      </c>
      <c r="K152" s="2"/>
    </row>
    <row r="153" spans="1:11" x14ac:dyDescent="0.25">
      <c r="A153" t="s">
        <v>299</v>
      </c>
      <c r="B153" t="s">
        <v>300</v>
      </c>
      <c r="C153" s="2">
        <v>573905</v>
      </c>
      <c r="D153" s="2">
        <v>585383</v>
      </c>
      <c r="E153" s="2">
        <v>597090</v>
      </c>
      <c r="F153" s="2">
        <v>609032</v>
      </c>
      <c r="G153" s="2">
        <v>0</v>
      </c>
      <c r="H153" s="2">
        <v>0</v>
      </c>
      <c r="I153" s="2">
        <v>0</v>
      </c>
      <c r="J153" s="2">
        <v>0</v>
      </c>
      <c r="K153" s="2"/>
    </row>
    <row r="154" spans="1:11" hidden="1" x14ac:dyDescent="0.25">
      <c r="A154" t="s">
        <v>301</v>
      </c>
      <c r="B154" t="s">
        <v>302</v>
      </c>
      <c r="C154" s="2">
        <v>736752</v>
      </c>
      <c r="D154" s="2">
        <v>751487</v>
      </c>
      <c r="E154" s="2">
        <v>735020</v>
      </c>
      <c r="F154" s="2">
        <v>751925</v>
      </c>
      <c r="G154" s="2">
        <v>776529</v>
      </c>
      <c r="H154" s="2">
        <v>807343</v>
      </c>
      <c r="I154" s="2">
        <v>0</v>
      </c>
      <c r="J154" s="2">
        <v>0</v>
      </c>
      <c r="K154" s="2"/>
    </row>
    <row r="155" spans="1:11" hidden="1" x14ac:dyDescent="0.25">
      <c r="A155" t="s">
        <v>303</v>
      </c>
      <c r="B155" t="s">
        <v>304</v>
      </c>
      <c r="C155" s="2">
        <v>7330000</v>
      </c>
      <c r="D155" s="2">
        <v>7330000</v>
      </c>
      <c r="E155" s="2">
        <v>5500000</v>
      </c>
      <c r="F155" s="2">
        <v>5500000</v>
      </c>
      <c r="G155" s="2">
        <v>5500000</v>
      </c>
      <c r="H155" s="2">
        <v>0</v>
      </c>
      <c r="I155" s="2">
        <v>0</v>
      </c>
      <c r="J155" s="2">
        <v>0</v>
      </c>
      <c r="K155" s="2"/>
    </row>
    <row r="156" spans="1:11" hidden="1" x14ac:dyDescent="0.25">
      <c r="A156" t="s">
        <v>305</v>
      </c>
      <c r="B156" t="s">
        <v>306</v>
      </c>
      <c r="C156" s="2">
        <v>505862</v>
      </c>
      <c r="D156" s="2">
        <v>505862</v>
      </c>
      <c r="E156" s="2">
        <v>560397</v>
      </c>
      <c r="F156" s="2">
        <v>655664</v>
      </c>
      <c r="G156" s="2">
        <v>586817</v>
      </c>
      <c r="H156" s="2">
        <v>639631</v>
      </c>
      <c r="I156" s="2">
        <v>0</v>
      </c>
      <c r="J156" s="2">
        <v>0</v>
      </c>
      <c r="K156" s="2"/>
    </row>
    <row r="157" spans="1:11" hidden="1" x14ac:dyDescent="0.25">
      <c r="A157" t="s">
        <v>307</v>
      </c>
      <c r="B157" t="s">
        <v>308</v>
      </c>
      <c r="C157" s="2">
        <v>2641258</v>
      </c>
      <c r="D157" s="2">
        <v>2641258</v>
      </c>
      <c r="E157" s="2">
        <v>2641258</v>
      </c>
      <c r="F157" s="2">
        <v>2720495</v>
      </c>
      <c r="G157" s="2">
        <v>2802110</v>
      </c>
      <c r="H157" s="2">
        <v>0</v>
      </c>
      <c r="I157" s="2">
        <v>0</v>
      </c>
      <c r="J157" s="2">
        <v>0</v>
      </c>
      <c r="K157" s="2"/>
    </row>
    <row r="158" spans="1:11" hidden="1" x14ac:dyDescent="0.25">
      <c r="A158" t="s">
        <v>309</v>
      </c>
      <c r="B158" t="s">
        <v>310</v>
      </c>
      <c r="C158" s="2">
        <v>4654330</v>
      </c>
      <c r="D158" s="2">
        <v>4654330</v>
      </c>
      <c r="E158" s="2">
        <v>0</v>
      </c>
      <c r="F158" s="2">
        <v>3831125</v>
      </c>
      <c r="G158" s="2">
        <v>3831125</v>
      </c>
      <c r="H158" s="2">
        <v>3831125</v>
      </c>
      <c r="I158" s="2">
        <v>3831125</v>
      </c>
      <c r="J158" s="2">
        <v>0</v>
      </c>
      <c r="K158" s="2"/>
    </row>
    <row r="159" spans="1:11" hidden="1" x14ac:dyDescent="0.25">
      <c r="A159" t="s">
        <v>311</v>
      </c>
      <c r="B159" t="s">
        <v>312</v>
      </c>
      <c r="C159" s="2">
        <v>1914895</v>
      </c>
      <c r="D159" s="2">
        <v>1363969</v>
      </c>
      <c r="E159" s="2">
        <v>1418528</v>
      </c>
      <c r="F159" s="2">
        <v>1475269</v>
      </c>
      <c r="G159" s="2">
        <v>1541656</v>
      </c>
      <c r="H159" s="2">
        <v>1611031</v>
      </c>
      <c r="I159" s="2">
        <v>1683527</v>
      </c>
      <c r="J159" s="2">
        <v>0</v>
      </c>
      <c r="K159" s="2"/>
    </row>
    <row r="160" spans="1:11" hidden="1" x14ac:dyDescent="0.25">
      <c r="A160" t="s">
        <v>313</v>
      </c>
      <c r="B160" t="s">
        <v>314</v>
      </c>
      <c r="C160" s="2">
        <v>36000</v>
      </c>
      <c r="D160" s="2">
        <v>36000</v>
      </c>
      <c r="E160" s="2">
        <v>36000</v>
      </c>
      <c r="F160" s="2">
        <v>36000</v>
      </c>
      <c r="G160" s="2">
        <v>36000</v>
      </c>
      <c r="H160" s="2">
        <v>36000</v>
      </c>
      <c r="I160" s="2">
        <v>0</v>
      </c>
      <c r="J160" s="2">
        <v>0</v>
      </c>
      <c r="K160" s="2"/>
    </row>
    <row r="161" spans="1:11" hidden="1" x14ac:dyDescent="0.25">
      <c r="A161" t="s">
        <v>315</v>
      </c>
      <c r="B161" t="s">
        <v>316</v>
      </c>
      <c r="C161" s="2">
        <v>995380</v>
      </c>
      <c r="D161" s="2">
        <v>995380</v>
      </c>
      <c r="E161" s="2">
        <v>1175719</v>
      </c>
      <c r="F161" s="2">
        <v>1187476</v>
      </c>
      <c r="G161" s="2">
        <v>1199351</v>
      </c>
      <c r="H161" s="2">
        <v>1211344</v>
      </c>
      <c r="I161" s="2">
        <v>0</v>
      </c>
      <c r="J161" s="2">
        <v>0</v>
      </c>
      <c r="K161" s="2"/>
    </row>
    <row r="162" spans="1:11" hidden="1" x14ac:dyDescent="0.25">
      <c r="A162" t="s">
        <v>317</v>
      </c>
      <c r="B162" t="s">
        <v>318</v>
      </c>
      <c r="C162" s="2">
        <v>919590</v>
      </c>
      <c r="D162" s="2">
        <v>612158</v>
      </c>
      <c r="E162" s="2">
        <v>642766</v>
      </c>
      <c r="F162" s="2">
        <v>674904</v>
      </c>
      <c r="G162" s="2">
        <v>708649</v>
      </c>
      <c r="H162" s="2">
        <v>0</v>
      </c>
      <c r="I162" s="2">
        <v>0</v>
      </c>
      <c r="J162" s="2">
        <v>0</v>
      </c>
      <c r="K162" s="2"/>
    </row>
    <row r="163" spans="1:11" hidden="1" x14ac:dyDescent="0.25">
      <c r="A163" t="s">
        <v>319</v>
      </c>
      <c r="B163" t="s">
        <v>320</v>
      </c>
      <c r="C163" s="2">
        <v>672176</v>
      </c>
      <c r="D163" s="2">
        <v>672176</v>
      </c>
      <c r="E163" s="2">
        <v>931940</v>
      </c>
      <c r="F163" s="2">
        <v>1144955</v>
      </c>
      <c r="G163" s="2">
        <v>1384679</v>
      </c>
      <c r="H163" s="2">
        <v>1488530</v>
      </c>
      <c r="I163" s="2">
        <v>0</v>
      </c>
      <c r="J163" s="2">
        <v>0</v>
      </c>
      <c r="K163" s="2"/>
    </row>
    <row r="164" spans="1:11" hidden="1" x14ac:dyDescent="0.25">
      <c r="A164" t="s">
        <v>321</v>
      </c>
      <c r="B164" t="s">
        <v>322</v>
      </c>
      <c r="C164" s="2">
        <v>664000</v>
      </c>
      <c r="D164" s="2">
        <v>664000</v>
      </c>
      <c r="E164" s="2">
        <v>664000</v>
      </c>
      <c r="F164" s="2">
        <v>664000</v>
      </c>
      <c r="G164" s="2">
        <v>602000</v>
      </c>
      <c r="H164" s="2">
        <v>602000</v>
      </c>
      <c r="I164" s="2">
        <v>602000</v>
      </c>
      <c r="J164" s="2">
        <v>602000</v>
      </c>
      <c r="K164" s="2"/>
    </row>
    <row r="165" spans="1:11" hidden="1" x14ac:dyDescent="0.25">
      <c r="A165" t="s">
        <v>323</v>
      </c>
      <c r="B165" t="s">
        <v>324</v>
      </c>
      <c r="C165" s="2">
        <v>1900000</v>
      </c>
      <c r="D165" s="2">
        <v>1950000</v>
      </c>
      <c r="E165" s="2">
        <v>2000000</v>
      </c>
      <c r="F165" s="2">
        <v>2050000</v>
      </c>
      <c r="G165" s="2">
        <v>2100000</v>
      </c>
      <c r="H165" s="2">
        <v>2150000</v>
      </c>
      <c r="I165" s="2">
        <v>0</v>
      </c>
      <c r="J165" s="2">
        <v>0</v>
      </c>
      <c r="K165" s="2"/>
    </row>
    <row r="166" spans="1:11" x14ac:dyDescent="0.25">
      <c r="A166" t="s">
        <v>325</v>
      </c>
      <c r="B166" t="s">
        <v>326</v>
      </c>
      <c r="C166" s="2">
        <v>830000</v>
      </c>
      <c r="D166" s="2">
        <v>900000</v>
      </c>
      <c r="E166" s="2">
        <v>878240</v>
      </c>
      <c r="F166" s="2">
        <v>922152</v>
      </c>
      <c r="G166" s="2">
        <v>0</v>
      </c>
      <c r="H166" s="2">
        <v>0</v>
      </c>
      <c r="I166" s="2">
        <v>0</v>
      </c>
      <c r="J166" s="2">
        <v>0</v>
      </c>
      <c r="K166" s="2"/>
    </row>
    <row r="167" spans="1:11" x14ac:dyDescent="0.25">
      <c r="A167" t="s">
        <v>327</v>
      </c>
      <c r="B167" t="s">
        <v>328</v>
      </c>
      <c r="C167" s="2">
        <v>1497371</v>
      </c>
      <c r="D167" s="2">
        <v>1497371</v>
      </c>
      <c r="E167" s="2">
        <v>1229600</v>
      </c>
      <c r="F167" s="2">
        <v>1229600</v>
      </c>
      <c r="G167" s="2">
        <v>0</v>
      </c>
      <c r="H167" s="2">
        <v>0</v>
      </c>
      <c r="I167" s="2">
        <v>0</v>
      </c>
      <c r="J167" s="2">
        <v>0</v>
      </c>
      <c r="K167" s="2"/>
    </row>
    <row r="168" spans="1:11" hidden="1" x14ac:dyDescent="0.25">
      <c r="A168" t="s">
        <v>329</v>
      </c>
      <c r="B168" t="s">
        <v>330</v>
      </c>
      <c r="C168" s="2">
        <v>3370370</v>
      </c>
      <c r="D168" s="2">
        <v>3471481</v>
      </c>
      <c r="E168" s="2">
        <v>2756000</v>
      </c>
      <c r="F168" s="2">
        <v>2838548</v>
      </c>
      <c r="G168" s="2">
        <v>2932497</v>
      </c>
      <c r="H168" s="2">
        <v>3020160</v>
      </c>
      <c r="I168" s="2">
        <v>0</v>
      </c>
      <c r="J168" s="2">
        <v>0</v>
      </c>
      <c r="K168" s="2"/>
    </row>
    <row r="169" spans="1:11" hidden="1" x14ac:dyDescent="0.25">
      <c r="A169" t="s">
        <v>331</v>
      </c>
      <c r="B169" t="s">
        <v>332</v>
      </c>
      <c r="C169" s="2">
        <v>860371</v>
      </c>
      <c r="D169" s="2">
        <v>860371</v>
      </c>
      <c r="E169" s="2">
        <v>632000</v>
      </c>
      <c r="F169" s="2">
        <v>632000</v>
      </c>
      <c r="G169" s="2">
        <v>632000</v>
      </c>
      <c r="H169" s="2">
        <v>632000</v>
      </c>
      <c r="I169" s="2">
        <v>0</v>
      </c>
      <c r="J169" s="2">
        <v>0</v>
      </c>
      <c r="K169" s="2"/>
    </row>
    <row r="170" spans="1:11" hidden="1" x14ac:dyDescent="0.25">
      <c r="A170" t="s">
        <v>333</v>
      </c>
      <c r="B170" t="s">
        <v>334</v>
      </c>
      <c r="C170" s="2">
        <v>711000</v>
      </c>
      <c r="D170" s="2">
        <v>711000</v>
      </c>
      <c r="E170" s="2">
        <v>525000</v>
      </c>
      <c r="F170" s="2">
        <v>525000</v>
      </c>
      <c r="G170" s="2">
        <v>525000</v>
      </c>
      <c r="H170" s="2">
        <v>525000</v>
      </c>
      <c r="I170" s="2">
        <v>0</v>
      </c>
      <c r="J170" s="2">
        <v>0</v>
      </c>
      <c r="K170" s="2"/>
    </row>
    <row r="171" spans="1:11" hidden="1" x14ac:dyDescent="0.25">
      <c r="A171" t="s">
        <v>335</v>
      </c>
      <c r="B171" t="s">
        <v>336</v>
      </c>
      <c r="C171" s="2">
        <v>450000</v>
      </c>
      <c r="D171" s="2">
        <v>450000</v>
      </c>
      <c r="E171" s="2">
        <v>450000</v>
      </c>
      <c r="F171" s="2">
        <v>579000</v>
      </c>
      <c r="G171" s="2">
        <v>579000</v>
      </c>
      <c r="H171" s="2">
        <v>579000</v>
      </c>
      <c r="I171" s="2">
        <v>0</v>
      </c>
      <c r="J171" s="2">
        <v>0</v>
      </c>
      <c r="K171" s="2"/>
    </row>
    <row r="172" spans="1:11" hidden="1" x14ac:dyDescent="0.25">
      <c r="A172" t="s">
        <v>337</v>
      </c>
      <c r="B172" t="s">
        <v>338</v>
      </c>
      <c r="C172" s="2">
        <v>724500</v>
      </c>
      <c r="D172" s="2">
        <v>724500</v>
      </c>
      <c r="E172" s="2">
        <v>0</v>
      </c>
      <c r="F172" s="2">
        <v>544125</v>
      </c>
      <c r="G172" s="2">
        <v>544125</v>
      </c>
      <c r="H172" s="2">
        <v>0</v>
      </c>
      <c r="I172" s="2">
        <v>0</v>
      </c>
      <c r="J172" s="2">
        <v>0</v>
      </c>
      <c r="K172" s="2"/>
    </row>
    <row r="173" spans="1:11" x14ac:dyDescent="0.25">
      <c r="A173" t="s">
        <v>339</v>
      </c>
      <c r="B173" t="s">
        <v>340</v>
      </c>
      <c r="C173" s="2">
        <v>0</v>
      </c>
      <c r="D173" s="2">
        <v>0</v>
      </c>
      <c r="E173" s="2">
        <v>0</v>
      </c>
      <c r="F173" s="2">
        <v>0</v>
      </c>
      <c r="G173" s="2">
        <v>0</v>
      </c>
      <c r="H173" s="2">
        <v>0</v>
      </c>
      <c r="I173" s="2">
        <v>0</v>
      </c>
      <c r="J173" s="2">
        <v>0</v>
      </c>
      <c r="K173" s="2"/>
    </row>
    <row r="174" spans="1:11" hidden="1" x14ac:dyDescent="0.25">
      <c r="A174" t="s">
        <v>341</v>
      </c>
      <c r="B174" t="s">
        <v>342</v>
      </c>
      <c r="C174" s="2">
        <v>1760445</v>
      </c>
      <c r="D174" s="2">
        <v>1786945</v>
      </c>
      <c r="E174" s="2">
        <v>1573148</v>
      </c>
      <c r="F174" s="2">
        <v>1606681</v>
      </c>
      <c r="G174" s="2">
        <v>1637634</v>
      </c>
      <c r="H174" s="2">
        <v>0</v>
      </c>
      <c r="I174" s="2">
        <v>0</v>
      </c>
      <c r="J174" s="2">
        <v>0</v>
      </c>
      <c r="K174" s="2"/>
    </row>
    <row r="175" spans="1:11" hidden="1" x14ac:dyDescent="0.25">
      <c r="A175" t="s">
        <v>343</v>
      </c>
      <c r="B175" t="s">
        <v>344</v>
      </c>
      <c r="C175" s="2">
        <v>425000</v>
      </c>
      <c r="D175" s="2">
        <v>425000</v>
      </c>
      <c r="E175" s="2">
        <v>495000</v>
      </c>
      <c r="F175" s="2">
        <v>495000</v>
      </c>
      <c r="G175" s="2">
        <v>495000</v>
      </c>
      <c r="H175" s="2">
        <v>0</v>
      </c>
      <c r="I175" s="2">
        <v>0</v>
      </c>
      <c r="J175" s="2">
        <v>0</v>
      </c>
      <c r="K175" s="2"/>
    </row>
    <row r="176" spans="1:11" hidden="1" x14ac:dyDescent="0.25">
      <c r="A176" t="s">
        <v>345</v>
      </c>
      <c r="B176" t="s">
        <v>346</v>
      </c>
      <c r="C176" s="2">
        <v>575000</v>
      </c>
      <c r="D176" s="2">
        <v>583000</v>
      </c>
      <c r="E176" s="2">
        <v>675910</v>
      </c>
      <c r="F176" s="2">
        <v>695760</v>
      </c>
      <c r="G176" s="2">
        <v>714981</v>
      </c>
      <c r="H176" s="2">
        <v>0</v>
      </c>
      <c r="I176" s="2">
        <v>0</v>
      </c>
      <c r="J176" s="2">
        <v>0</v>
      </c>
      <c r="K176" s="2"/>
    </row>
    <row r="177" spans="1:11" hidden="1" x14ac:dyDescent="0.25">
      <c r="A177" t="s">
        <v>347</v>
      </c>
      <c r="B177" t="s">
        <v>348</v>
      </c>
      <c r="C177" s="2">
        <v>4975000</v>
      </c>
      <c r="D177" s="2">
        <v>5475000</v>
      </c>
      <c r="E177" s="2">
        <v>6025000</v>
      </c>
      <c r="F177" s="2">
        <v>6625000</v>
      </c>
      <c r="G177" s="2">
        <v>7000000</v>
      </c>
      <c r="H177" s="2">
        <v>9600000</v>
      </c>
      <c r="I177" s="2">
        <v>9875000</v>
      </c>
      <c r="J177" s="2">
        <v>10150000</v>
      </c>
      <c r="K177" s="2"/>
    </row>
    <row r="178" spans="1:11" hidden="1" x14ac:dyDescent="0.25">
      <c r="A178" t="s">
        <v>349</v>
      </c>
      <c r="B178" t="s">
        <v>350</v>
      </c>
      <c r="C178" s="2">
        <v>31500000</v>
      </c>
      <c r="D178" s="2">
        <v>33000000</v>
      </c>
      <c r="E178" s="2">
        <v>52349127</v>
      </c>
      <c r="F178" s="2">
        <v>55725189</v>
      </c>
      <c r="G178" s="2">
        <v>62976738</v>
      </c>
      <c r="H178" s="2">
        <v>65357581</v>
      </c>
      <c r="I178" s="2">
        <v>67998879</v>
      </c>
      <c r="J178" s="2">
        <v>70716915</v>
      </c>
      <c r="K178" s="2"/>
    </row>
    <row r="179" spans="1:11" hidden="1" x14ac:dyDescent="0.25">
      <c r="A179" t="s">
        <v>351</v>
      </c>
      <c r="B179" t="s">
        <v>352</v>
      </c>
      <c r="C179" s="2">
        <v>70000000</v>
      </c>
      <c r="D179" s="2">
        <v>72000000</v>
      </c>
      <c r="E179" s="2">
        <v>74000000</v>
      </c>
      <c r="F179" s="2">
        <v>76000000</v>
      </c>
      <c r="G179" s="2">
        <v>77500000</v>
      </c>
      <c r="H179" s="2">
        <v>79000000</v>
      </c>
      <c r="I179" s="2">
        <v>80500000</v>
      </c>
      <c r="J179" s="2">
        <v>82000000</v>
      </c>
      <c r="K179" s="2"/>
    </row>
    <row r="180" spans="1:11" hidden="1" x14ac:dyDescent="0.25">
      <c r="A180" t="s">
        <v>353</v>
      </c>
      <c r="B180" t="s">
        <v>354</v>
      </c>
      <c r="C180" s="2">
        <v>607000</v>
      </c>
      <c r="D180" s="2">
        <v>619000</v>
      </c>
      <c r="E180" s="2">
        <v>383145</v>
      </c>
      <c r="F180" s="2">
        <v>410950</v>
      </c>
      <c r="G180" s="2">
        <v>441485</v>
      </c>
      <c r="H180" s="2">
        <v>480828</v>
      </c>
      <c r="I180" s="2">
        <v>0</v>
      </c>
      <c r="J180" s="2">
        <v>0</v>
      </c>
      <c r="K180" s="2"/>
    </row>
    <row r="181" spans="1:11" hidden="1" x14ac:dyDescent="0.25">
      <c r="A181" t="s">
        <v>355</v>
      </c>
      <c r="B181" t="s">
        <v>356</v>
      </c>
      <c r="C181" s="2">
        <v>9961000</v>
      </c>
      <c r="D181" s="2">
        <v>10957000</v>
      </c>
      <c r="E181" s="2">
        <v>12053000</v>
      </c>
      <c r="F181" s="2">
        <v>13258000</v>
      </c>
      <c r="G181" s="2">
        <v>15378000</v>
      </c>
      <c r="H181" s="2">
        <v>16532000</v>
      </c>
      <c r="I181" s="2">
        <v>17524000</v>
      </c>
      <c r="J181" s="2">
        <v>18313000</v>
      </c>
      <c r="K181" s="2"/>
    </row>
    <row r="182" spans="1:11" hidden="1" x14ac:dyDescent="0.25">
      <c r="A182" t="s">
        <v>357</v>
      </c>
      <c r="B182" t="s">
        <v>358</v>
      </c>
      <c r="C182" s="2">
        <v>20000000</v>
      </c>
      <c r="D182" s="2">
        <v>24000000</v>
      </c>
      <c r="E182" s="2">
        <v>28000000</v>
      </c>
      <c r="F182" s="2">
        <v>32500000</v>
      </c>
      <c r="G182" s="2">
        <v>38000000</v>
      </c>
      <c r="H182" s="2">
        <v>45000000</v>
      </c>
      <c r="I182" s="2">
        <v>0</v>
      </c>
      <c r="J182" s="2">
        <v>0</v>
      </c>
      <c r="K182" s="2"/>
    </row>
    <row r="183" spans="1:11" hidden="1" x14ac:dyDescent="0.25">
      <c r="A183" t="s">
        <v>359</v>
      </c>
      <c r="B183" t="s">
        <v>360</v>
      </c>
      <c r="C183" s="2">
        <v>6650000</v>
      </c>
      <c r="D183" s="2">
        <v>7250000</v>
      </c>
      <c r="E183" s="2">
        <v>6000000</v>
      </c>
      <c r="F183" s="2">
        <v>6500000</v>
      </c>
      <c r="G183" s="2">
        <v>5800000</v>
      </c>
      <c r="H183" s="2">
        <v>6000000</v>
      </c>
      <c r="I183" s="2">
        <v>6250000</v>
      </c>
      <c r="J183" s="2">
        <v>6450000</v>
      </c>
      <c r="K183" s="2"/>
    </row>
    <row r="184" spans="1:11" hidden="1" x14ac:dyDescent="0.25">
      <c r="A184" t="s">
        <v>361</v>
      </c>
      <c r="B184" t="s">
        <v>362</v>
      </c>
      <c r="C184" s="2">
        <v>3300000</v>
      </c>
      <c r="D184" s="2">
        <v>3900000</v>
      </c>
      <c r="E184" s="2">
        <v>3900000</v>
      </c>
      <c r="F184" s="2">
        <v>4100000</v>
      </c>
      <c r="G184" s="2">
        <v>5676309</v>
      </c>
      <c r="H184" s="2">
        <v>6527756</v>
      </c>
      <c r="I184" s="2">
        <v>7506919</v>
      </c>
      <c r="J184" s="2">
        <v>8632957</v>
      </c>
      <c r="K184" s="2"/>
    </row>
    <row r="185" spans="1:11" hidden="1" x14ac:dyDescent="0.25">
      <c r="A185" t="s">
        <v>363</v>
      </c>
      <c r="B185" t="s">
        <v>364</v>
      </c>
      <c r="C185" s="2">
        <v>23500000</v>
      </c>
      <c r="D185" s="2">
        <v>23500000</v>
      </c>
      <c r="E185" s="2">
        <v>20467699</v>
      </c>
      <c r="F185" s="2">
        <v>22105114</v>
      </c>
      <c r="G185" s="2">
        <v>23873524</v>
      </c>
      <c r="H185" s="2">
        <v>25783405</v>
      </c>
      <c r="I185" s="2">
        <v>0</v>
      </c>
      <c r="J185" s="2">
        <v>0</v>
      </c>
      <c r="K185" s="2"/>
    </row>
    <row r="186" spans="1:11" hidden="1" x14ac:dyDescent="0.25">
      <c r="A186" t="s">
        <v>365</v>
      </c>
      <c r="B186" t="s">
        <v>366</v>
      </c>
      <c r="C186" s="2">
        <v>26750000</v>
      </c>
      <c r="D186" s="2">
        <v>27690000</v>
      </c>
      <c r="E186" s="2">
        <v>25140000</v>
      </c>
      <c r="F186" s="2">
        <v>26900000</v>
      </c>
      <c r="G186" s="2">
        <v>28225000</v>
      </c>
      <c r="H186" s="2">
        <v>0</v>
      </c>
      <c r="I186" s="2">
        <v>0</v>
      </c>
      <c r="J186" s="2">
        <v>0</v>
      </c>
      <c r="K186" s="2"/>
    </row>
    <row r="187" spans="1:11" hidden="1" x14ac:dyDescent="0.25">
      <c r="A187" t="s">
        <v>367</v>
      </c>
      <c r="B187" t="s">
        <v>368</v>
      </c>
      <c r="C187" s="2">
        <v>19000000</v>
      </c>
      <c r="D187" s="2">
        <v>20000000</v>
      </c>
      <c r="E187" s="2">
        <v>21000000</v>
      </c>
      <c r="F187" s="2">
        <v>22000000</v>
      </c>
      <c r="G187" s="2">
        <v>18939414</v>
      </c>
      <c r="H187" s="2">
        <v>20833356</v>
      </c>
      <c r="I187" s="2">
        <v>22916691</v>
      </c>
      <c r="J187" s="2">
        <v>25208361</v>
      </c>
      <c r="K187" s="2"/>
    </row>
    <row r="188" spans="1:11" hidden="1" x14ac:dyDescent="0.25">
      <c r="A188" t="s">
        <v>369</v>
      </c>
      <c r="B188" t="s">
        <v>370</v>
      </c>
      <c r="C188" s="2">
        <v>25500000</v>
      </c>
      <c r="D188" s="2">
        <v>29500000</v>
      </c>
      <c r="E188" s="2">
        <v>34000000</v>
      </c>
      <c r="F188" s="2">
        <v>39000000</v>
      </c>
      <c r="G188" s="138">
        <v>40900000</v>
      </c>
      <c r="H188" s="138">
        <v>42500000</v>
      </c>
      <c r="I188" s="138">
        <v>43800000</v>
      </c>
      <c r="J188" s="138">
        <v>45100000</v>
      </c>
      <c r="K188" s="2"/>
    </row>
    <row r="189" spans="1:11" hidden="1" x14ac:dyDescent="0.25">
      <c r="A189" t="s">
        <v>371</v>
      </c>
      <c r="B189" t="s">
        <v>372</v>
      </c>
      <c r="C189" s="2">
        <v>3695438</v>
      </c>
      <c r="D189" s="2">
        <v>3898688</v>
      </c>
      <c r="E189" s="2">
        <v>5745000</v>
      </c>
      <c r="F189" s="2">
        <v>5750000</v>
      </c>
      <c r="G189" s="2">
        <v>6350000</v>
      </c>
      <c r="H189" s="2">
        <v>7300000</v>
      </c>
      <c r="I189" s="2">
        <v>0</v>
      </c>
      <c r="J189" s="2">
        <v>0</v>
      </c>
      <c r="K189" s="2"/>
    </row>
    <row r="190" spans="1:11" hidden="1" x14ac:dyDescent="0.25">
      <c r="A190" t="s">
        <v>373</v>
      </c>
      <c r="B190" t="s">
        <v>374</v>
      </c>
      <c r="C190" s="2">
        <v>4750000</v>
      </c>
      <c r="D190" s="2">
        <v>5100000</v>
      </c>
      <c r="E190" s="2">
        <v>9250000</v>
      </c>
      <c r="F190" s="2">
        <v>9750000</v>
      </c>
      <c r="G190" s="2">
        <v>11200000</v>
      </c>
      <c r="H190" s="2">
        <v>12000000</v>
      </c>
      <c r="I190" s="2">
        <v>12800000</v>
      </c>
      <c r="J190" s="2">
        <v>13600000</v>
      </c>
      <c r="K190" s="2"/>
    </row>
    <row r="191" spans="1:11" hidden="1" x14ac:dyDescent="0.25">
      <c r="A191" t="s">
        <v>375</v>
      </c>
      <c r="B191" t="s">
        <v>376</v>
      </c>
      <c r="C191" s="2">
        <v>9600000</v>
      </c>
      <c r="D191" s="2">
        <v>9700000</v>
      </c>
      <c r="E191" s="2">
        <v>9800000</v>
      </c>
      <c r="F191" s="2">
        <v>9900000</v>
      </c>
      <c r="G191" s="2">
        <v>10593000</v>
      </c>
      <c r="H191" s="2">
        <v>11017000</v>
      </c>
      <c r="I191" s="2">
        <v>11458000</v>
      </c>
      <c r="J191" s="2">
        <v>12145000</v>
      </c>
      <c r="K191" s="2"/>
    </row>
    <row r="192" spans="1:11" x14ac:dyDescent="0.25">
      <c r="A192" t="s">
        <v>377</v>
      </c>
      <c r="B192" t="s">
        <v>378</v>
      </c>
      <c r="C192" s="2">
        <v>0</v>
      </c>
      <c r="D192" s="2">
        <v>0</v>
      </c>
      <c r="E192" s="2">
        <v>0</v>
      </c>
      <c r="F192" s="2">
        <v>0</v>
      </c>
      <c r="G192" s="2">
        <v>0</v>
      </c>
      <c r="H192" s="2">
        <v>0</v>
      </c>
      <c r="I192" s="2">
        <v>0</v>
      </c>
      <c r="J192" s="2">
        <v>0</v>
      </c>
      <c r="K192" s="2"/>
    </row>
    <row r="193" spans="1:11" hidden="1" x14ac:dyDescent="0.25">
      <c r="A193" t="s">
        <v>379</v>
      </c>
      <c r="B193" t="s">
        <v>380</v>
      </c>
      <c r="C193" s="2">
        <v>2225000</v>
      </c>
      <c r="D193" s="2">
        <v>2225000</v>
      </c>
      <c r="E193" s="2">
        <v>2225000</v>
      </c>
      <c r="F193" s="2">
        <v>2225000</v>
      </c>
      <c r="G193" s="2">
        <v>2350000</v>
      </c>
      <c r="H193" s="2">
        <v>2350000</v>
      </c>
      <c r="I193" s="2">
        <v>0</v>
      </c>
      <c r="J193" s="2">
        <v>0</v>
      </c>
      <c r="K193" s="2"/>
    </row>
    <row r="194" spans="1:11" hidden="1" x14ac:dyDescent="0.25">
      <c r="A194" t="s">
        <v>381</v>
      </c>
      <c r="B194" t="s">
        <v>382</v>
      </c>
      <c r="C194" s="2">
        <v>953708</v>
      </c>
      <c r="D194" s="2">
        <v>970875</v>
      </c>
      <c r="E194" s="2">
        <v>988350</v>
      </c>
      <c r="F194" s="2">
        <v>1006141</v>
      </c>
      <c r="G194" s="2">
        <v>1026264</v>
      </c>
      <c r="H194" s="2">
        <v>1046789</v>
      </c>
      <c r="I194" s="2">
        <v>1067725</v>
      </c>
      <c r="J194" s="2">
        <v>1089079</v>
      </c>
      <c r="K194" s="2"/>
    </row>
    <row r="195" spans="1:11" hidden="1" x14ac:dyDescent="0.25">
      <c r="A195" t="s">
        <v>383</v>
      </c>
      <c r="B195" t="s">
        <v>384</v>
      </c>
      <c r="C195" s="2">
        <v>2426500</v>
      </c>
      <c r="D195" s="2">
        <v>2559958</v>
      </c>
      <c r="E195" s="2">
        <v>2700755</v>
      </c>
      <c r="F195" s="2">
        <v>2849297</v>
      </c>
      <c r="G195" s="2">
        <v>2787082</v>
      </c>
      <c r="H195" s="2">
        <v>2984965</v>
      </c>
      <c r="I195" s="2">
        <v>3196897</v>
      </c>
      <c r="J195" s="2">
        <v>3423877</v>
      </c>
      <c r="K195" s="2"/>
    </row>
    <row r="196" spans="1:11" hidden="1" x14ac:dyDescent="0.25">
      <c r="A196" t="s">
        <v>385</v>
      </c>
      <c r="B196" t="s">
        <v>386</v>
      </c>
      <c r="C196" s="2">
        <v>1806509</v>
      </c>
      <c r="D196" s="2">
        <v>1500000</v>
      </c>
      <c r="E196" s="2">
        <v>1500000</v>
      </c>
      <c r="F196" s="2">
        <v>1500000</v>
      </c>
      <c r="G196" s="2">
        <v>1500000</v>
      </c>
      <c r="H196" s="2">
        <v>1500000</v>
      </c>
      <c r="I196" s="2">
        <v>0</v>
      </c>
      <c r="J196" s="2">
        <v>0</v>
      </c>
      <c r="K196" s="2"/>
    </row>
    <row r="197" spans="1:11" hidden="1" x14ac:dyDescent="0.25">
      <c r="A197" t="s">
        <v>387</v>
      </c>
      <c r="B197" t="s">
        <v>388</v>
      </c>
      <c r="C197" s="2">
        <v>9100000</v>
      </c>
      <c r="D197" s="2">
        <v>9200000</v>
      </c>
      <c r="E197" s="2">
        <v>10258000</v>
      </c>
      <c r="F197" s="2">
        <v>10566000</v>
      </c>
      <c r="G197" s="2">
        <v>10499868</v>
      </c>
      <c r="H197" s="2">
        <v>11286790</v>
      </c>
      <c r="I197" s="2">
        <v>12132731</v>
      </c>
      <c r="J197" s="2">
        <v>13042118</v>
      </c>
      <c r="K197" s="2"/>
    </row>
    <row r="198" spans="1:11" hidden="1" x14ac:dyDescent="0.25">
      <c r="A198" t="s">
        <v>389</v>
      </c>
      <c r="B198" t="s">
        <v>390</v>
      </c>
      <c r="C198" s="2">
        <v>12046115</v>
      </c>
      <c r="D198" s="2">
        <v>12564097</v>
      </c>
      <c r="E198" s="2">
        <v>13104354</v>
      </c>
      <c r="F198" s="2">
        <v>13667841</v>
      </c>
      <c r="G198" s="2">
        <v>11919069</v>
      </c>
      <c r="H198" s="2">
        <v>12515023</v>
      </c>
      <c r="I198" s="2">
        <v>13140774</v>
      </c>
      <c r="J198" s="2">
        <v>13797813</v>
      </c>
      <c r="K198" s="2"/>
    </row>
    <row r="199" spans="1:11" hidden="1" x14ac:dyDescent="0.25">
      <c r="A199" t="s">
        <v>391</v>
      </c>
      <c r="B199" t="s">
        <v>392</v>
      </c>
      <c r="C199" s="2">
        <v>7623438</v>
      </c>
      <c r="D199" s="2">
        <v>7852141</v>
      </c>
      <c r="E199" s="2">
        <v>8087705</v>
      </c>
      <c r="F199" s="2">
        <v>8330336</v>
      </c>
      <c r="G199" s="2">
        <v>7407024</v>
      </c>
      <c r="H199" s="2">
        <v>7629235</v>
      </c>
      <c r="I199" s="2">
        <v>7858112</v>
      </c>
      <c r="J199" s="2">
        <v>8093855</v>
      </c>
      <c r="K199" s="2"/>
    </row>
    <row r="200" spans="1:11" hidden="1" x14ac:dyDescent="0.25">
      <c r="A200" t="s">
        <v>393</v>
      </c>
      <c r="B200" t="s">
        <v>394</v>
      </c>
      <c r="C200" s="2">
        <v>1250000</v>
      </c>
      <c r="D200" s="2">
        <v>874605</v>
      </c>
      <c r="E200" s="2">
        <v>874605</v>
      </c>
      <c r="F200" s="2">
        <v>964783</v>
      </c>
      <c r="G200" s="2">
        <v>993717</v>
      </c>
      <c r="H200" s="2">
        <v>1023519</v>
      </c>
      <c r="I200" s="2">
        <v>1054215</v>
      </c>
      <c r="J200" s="2">
        <v>0</v>
      </c>
      <c r="K200" s="2"/>
    </row>
    <row r="201" spans="1:11" hidden="1" x14ac:dyDescent="0.25">
      <c r="A201" t="s">
        <v>395</v>
      </c>
      <c r="B201" t="s">
        <v>396</v>
      </c>
      <c r="C201" s="2">
        <v>877000</v>
      </c>
      <c r="D201" s="2">
        <v>965000</v>
      </c>
      <c r="E201" s="2">
        <v>1075000</v>
      </c>
      <c r="F201" s="2">
        <v>1164000</v>
      </c>
      <c r="G201" s="2">
        <v>1198920</v>
      </c>
      <c r="H201" s="2">
        <v>1234888</v>
      </c>
      <c r="I201" s="2">
        <v>1271934</v>
      </c>
      <c r="J201" s="2">
        <v>1310092</v>
      </c>
      <c r="K201" s="2"/>
    </row>
    <row r="202" spans="1:11" hidden="1" x14ac:dyDescent="0.25">
      <c r="A202" t="s">
        <v>397</v>
      </c>
      <c r="B202" t="s">
        <v>398</v>
      </c>
      <c r="C202" s="2">
        <v>15417716</v>
      </c>
      <c r="D202" s="2">
        <v>11316941</v>
      </c>
      <c r="E202" s="2">
        <v>11882329</v>
      </c>
      <c r="F202" s="2">
        <v>13593622</v>
      </c>
      <c r="G202" s="2">
        <v>14953028</v>
      </c>
      <c r="H202" s="2">
        <v>16448331</v>
      </c>
      <c r="I202" s="2">
        <v>0</v>
      </c>
      <c r="J202" s="2">
        <v>0</v>
      </c>
      <c r="K202" s="2"/>
    </row>
    <row r="203" spans="1:11" hidden="1" x14ac:dyDescent="0.25">
      <c r="A203" t="s">
        <v>399</v>
      </c>
      <c r="B203" t="s">
        <v>400</v>
      </c>
      <c r="C203" s="2">
        <v>175000</v>
      </c>
      <c r="D203" s="2">
        <v>175000</v>
      </c>
      <c r="E203" s="2">
        <v>229400</v>
      </c>
      <c r="F203" s="2">
        <v>229400</v>
      </c>
      <c r="G203" s="2">
        <v>229400</v>
      </c>
      <c r="H203" s="2">
        <v>0</v>
      </c>
      <c r="I203" s="2">
        <v>0</v>
      </c>
      <c r="J203" s="2">
        <v>0</v>
      </c>
      <c r="K203" s="2"/>
    </row>
    <row r="204" spans="1:11" hidden="1" x14ac:dyDescent="0.25">
      <c r="A204" t="s">
        <v>401</v>
      </c>
      <c r="B204" t="s">
        <v>402</v>
      </c>
      <c r="C204" s="2">
        <v>155000</v>
      </c>
      <c r="D204" s="2">
        <v>155000</v>
      </c>
      <c r="E204" s="2">
        <v>155000</v>
      </c>
      <c r="F204" s="2">
        <v>155000</v>
      </c>
      <c r="G204" s="2">
        <v>155000</v>
      </c>
      <c r="H204" s="2">
        <v>155000</v>
      </c>
      <c r="I204" s="2">
        <v>155000</v>
      </c>
      <c r="J204" s="2">
        <v>0</v>
      </c>
      <c r="K204" s="2"/>
    </row>
    <row r="205" spans="1:11" x14ac:dyDescent="0.25">
      <c r="A205" t="s">
        <v>403</v>
      </c>
      <c r="B205" t="s">
        <v>404</v>
      </c>
      <c r="C205" s="2">
        <v>0</v>
      </c>
      <c r="D205" s="2">
        <v>0</v>
      </c>
      <c r="E205" s="2">
        <v>0</v>
      </c>
      <c r="F205" s="2">
        <v>0</v>
      </c>
      <c r="G205" s="2">
        <v>0</v>
      </c>
      <c r="H205" s="2">
        <v>0</v>
      </c>
      <c r="I205" s="2">
        <v>0</v>
      </c>
      <c r="J205" s="2">
        <v>0</v>
      </c>
      <c r="K205" s="2"/>
    </row>
    <row r="206" spans="1:11" hidden="1" x14ac:dyDescent="0.25">
      <c r="A206" t="s">
        <v>405</v>
      </c>
      <c r="B206" t="s">
        <v>406</v>
      </c>
      <c r="C206" s="2">
        <v>2000000</v>
      </c>
      <c r="D206" s="2">
        <v>2000000</v>
      </c>
      <c r="E206" s="2">
        <v>2100000</v>
      </c>
      <c r="F206" s="2">
        <v>2210000</v>
      </c>
      <c r="G206" s="2">
        <v>2300000</v>
      </c>
      <c r="H206" s="2">
        <v>0</v>
      </c>
      <c r="I206" s="2">
        <v>0</v>
      </c>
      <c r="J206" s="2">
        <v>0</v>
      </c>
      <c r="K206" s="2"/>
    </row>
    <row r="207" spans="1:11" hidden="1" x14ac:dyDescent="0.25">
      <c r="A207" t="s">
        <v>407</v>
      </c>
      <c r="B207" t="s">
        <v>408</v>
      </c>
      <c r="C207" s="2">
        <v>44220000</v>
      </c>
      <c r="D207" s="2">
        <v>45320000</v>
      </c>
      <c r="E207" s="2">
        <v>48880000</v>
      </c>
      <c r="F207" s="2">
        <v>53250000</v>
      </c>
      <c r="G207" s="2">
        <v>65500000</v>
      </c>
      <c r="H207" s="2">
        <v>67000000</v>
      </c>
      <c r="I207" s="2">
        <v>69000000</v>
      </c>
      <c r="J207" s="2">
        <v>71000000</v>
      </c>
      <c r="K207" s="2"/>
    </row>
    <row r="208" spans="1:11" hidden="1" x14ac:dyDescent="0.25">
      <c r="A208" t="s">
        <v>409</v>
      </c>
      <c r="B208" t="s">
        <v>410</v>
      </c>
      <c r="C208" s="2">
        <v>9548300</v>
      </c>
      <c r="D208" s="2">
        <v>10980500</v>
      </c>
      <c r="E208" s="2">
        <v>12627600</v>
      </c>
      <c r="F208" s="2">
        <v>14521800</v>
      </c>
      <c r="G208" s="2">
        <v>18150000</v>
      </c>
      <c r="H208" s="2">
        <v>19800000</v>
      </c>
      <c r="I208" s="2">
        <v>21550000</v>
      </c>
      <c r="J208" s="2">
        <v>23600000</v>
      </c>
      <c r="K208" s="2"/>
    </row>
    <row r="209" spans="1:11" hidden="1" x14ac:dyDescent="0.25">
      <c r="A209" t="s">
        <v>411</v>
      </c>
      <c r="B209" t="s">
        <v>412</v>
      </c>
      <c r="C209" s="2">
        <v>31636355</v>
      </c>
      <c r="D209" s="2">
        <v>36381808</v>
      </c>
      <c r="E209" s="2">
        <v>41839079</v>
      </c>
      <c r="F209" s="2">
        <v>48144941</v>
      </c>
      <c r="G209" s="2">
        <v>43425750</v>
      </c>
      <c r="H209" s="2">
        <v>45179064</v>
      </c>
      <c r="I209" s="2">
        <v>47003169</v>
      </c>
      <c r="J209" s="2">
        <v>48900922</v>
      </c>
      <c r="K209" s="2"/>
    </row>
    <row r="210" spans="1:11" hidden="1" x14ac:dyDescent="0.25">
      <c r="A210" t="s">
        <v>413</v>
      </c>
      <c r="B210" t="s">
        <v>414</v>
      </c>
      <c r="C210" s="2">
        <v>49000000</v>
      </c>
      <c r="D210" s="2">
        <v>57000000</v>
      </c>
      <c r="E210" s="2">
        <v>66500000</v>
      </c>
      <c r="F210" s="2">
        <v>78500000</v>
      </c>
      <c r="G210" s="2">
        <v>63500000</v>
      </c>
      <c r="H210" s="2">
        <v>67100000</v>
      </c>
      <c r="I210" s="2">
        <v>70800000</v>
      </c>
      <c r="J210" s="2">
        <v>74800000</v>
      </c>
      <c r="K210" s="2"/>
    </row>
    <row r="211" spans="1:11" hidden="1" x14ac:dyDescent="0.25">
      <c r="A211" t="s">
        <v>415</v>
      </c>
      <c r="B211" t="s">
        <v>416</v>
      </c>
      <c r="C211" s="2">
        <v>14541698</v>
      </c>
      <c r="D211" s="2">
        <v>15123366</v>
      </c>
      <c r="E211" s="2">
        <v>8950000</v>
      </c>
      <c r="F211" s="2">
        <v>9200000</v>
      </c>
      <c r="G211" s="2">
        <v>9500000</v>
      </c>
      <c r="H211" s="2">
        <v>9750000</v>
      </c>
      <c r="I211" s="2">
        <v>0</v>
      </c>
      <c r="J211" s="2">
        <v>0</v>
      </c>
      <c r="K211" s="2"/>
    </row>
    <row r="212" spans="1:11" x14ac:dyDescent="0.25">
      <c r="A212" t="s">
        <v>417</v>
      </c>
      <c r="B212" t="s">
        <v>418</v>
      </c>
      <c r="C212" s="2">
        <v>26500000</v>
      </c>
      <c r="D212" s="2">
        <v>26500000</v>
      </c>
      <c r="E212" s="2">
        <v>26500000</v>
      </c>
      <c r="F212" s="2">
        <v>26500000</v>
      </c>
      <c r="G212" s="2">
        <v>0</v>
      </c>
      <c r="H212" s="2">
        <v>0</v>
      </c>
      <c r="I212" s="2">
        <v>0</v>
      </c>
      <c r="J212" s="2">
        <v>0</v>
      </c>
      <c r="K212" s="2"/>
    </row>
    <row r="213" spans="1:11" hidden="1" x14ac:dyDescent="0.25">
      <c r="A213" t="s">
        <v>419</v>
      </c>
      <c r="B213" t="s">
        <v>420</v>
      </c>
      <c r="C213" s="2">
        <v>196000</v>
      </c>
      <c r="D213" s="2">
        <v>160000</v>
      </c>
      <c r="E213" s="2">
        <v>168000</v>
      </c>
      <c r="F213" s="2">
        <v>177000</v>
      </c>
      <c r="G213" s="2">
        <v>88000</v>
      </c>
      <c r="H213" s="2">
        <v>99000</v>
      </c>
      <c r="I213" s="2">
        <v>103000</v>
      </c>
      <c r="J213" s="2">
        <v>106000</v>
      </c>
      <c r="K213" s="2"/>
    </row>
    <row r="214" spans="1:11" x14ac:dyDescent="0.25">
      <c r="A214" t="s">
        <v>421</v>
      </c>
      <c r="B214" t="s">
        <v>422</v>
      </c>
      <c r="C214" s="2">
        <v>10350062</v>
      </c>
      <c r="D214" s="2">
        <v>11902571</v>
      </c>
      <c r="E214" s="2">
        <v>13687957</v>
      </c>
      <c r="F214" s="2">
        <v>15741150</v>
      </c>
      <c r="G214" s="2">
        <v>0</v>
      </c>
      <c r="H214" s="2">
        <v>0</v>
      </c>
      <c r="I214" s="2">
        <v>0</v>
      </c>
      <c r="J214" s="2">
        <v>0</v>
      </c>
      <c r="K214" s="2"/>
    </row>
    <row r="215" spans="1:11" hidden="1" x14ac:dyDescent="0.25">
      <c r="A215" t="s">
        <v>423</v>
      </c>
      <c r="B215" t="s">
        <v>424</v>
      </c>
      <c r="C215" s="2">
        <v>15085000</v>
      </c>
      <c r="D215" s="2">
        <v>17350000</v>
      </c>
      <c r="E215" s="2">
        <v>19950000</v>
      </c>
      <c r="F215" s="2">
        <v>22945000</v>
      </c>
      <c r="G215" s="2">
        <v>24545000</v>
      </c>
      <c r="H215" s="2">
        <v>26999000</v>
      </c>
      <c r="I215" s="2">
        <v>29698000</v>
      </c>
      <c r="J215" s="2">
        <v>32668000</v>
      </c>
      <c r="K215" s="2"/>
    </row>
    <row r="216" spans="1:11" hidden="1" x14ac:dyDescent="0.25">
      <c r="A216" t="s">
        <v>425</v>
      </c>
      <c r="B216" t="s">
        <v>426</v>
      </c>
      <c r="C216" s="2">
        <v>6725902</v>
      </c>
      <c r="D216" s="2">
        <v>6894049</v>
      </c>
      <c r="E216" s="2">
        <v>0</v>
      </c>
      <c r="F216" s="2">
        <v>6081871</v>
      </c>
      <c r="G216" s="2">
        <v>6446783</v>
      </c>
      <c r="H216" s="2">
        <v>6833590</v>
      </c>
      <c r="I216" s="2">
        <v>0</v>
      </c>
      <c r="J216" s="2">
        <v>0</v>
      </c>
      <c r="K216" s="2"/>
    </row>
    <row r="217" spans="1:11" hidden="1" x14ac:dyDescent="0.25">
      <c r="A217" t="s">
        <v>427</v>
      </c>
      <c r="B217" t="s">
        <v>428</v>
      </c>
      <c r="C217" s="2">
        <v>2372865</v>
      </c>
      <c r="D217" s="2">
        <v>2705066</v>
      </c>
      <c r="E217" s="2">
        <v>3083775</v>
      </c>
      <c r="F217" s="2">
        <v>3515504</v>
      </c>
      <c r="G217" s="2">
        <v>3912643</v>
      </c>
      <c r="H217" s="2">
        <v>4382161</v>
      </c>
      <c r="I217" s="2">
        <v>4820377</v>
      </c>
      <c r="J217" s="2">
        <v>5206007</v>
      </c>
      <c r="K217" s="2"/>
    </row>
    <row r="218" spans="1:11" hidden="1" x14ac:dyDescent="0.25">
      <c r="A218" t="s">
        <v>429</v>
      </c>
      <c r="B218" t="s">
        <v>430</v>
      </c>
      <c r="C218" s="2">
        <v>520596</v>
      </c>
      <c r="D218" s="2">
        <v>520596</v>
      </c>
      <c r="E218" s="2">
        <v>520596</v>
      </c>
      <c r="F218" s="2">
        <v>520596</v>
      </c>
      <c r="G218" s="2">
        <v>950000</v>
      </c>
      <c r="H218" s="2">
        <v>950000</v>
      </c>
      <c r="I218" s="2">
        <v>950000</v>
      </c>
      <c r="J218" s="2">
        <v>950000</v>
      </c>
      <c r="K218" s="2"/>
    </row>
    <row r="219" spans="1:11" hidden="1" x14ac:dyDescent="0.25">
      <c r="A219" t="s">
        <v>431</v>
      </c>
      <c r="B219" t="s">
        <v>432</v>
      </c>
      <c r="C219" s="2">
        <v>4449366</v>
      </c>
      <c r="D219" s="2">
        <v>4449366</v>
      </c>
      <c r="E219" s="2">
        <v>4449366</v>
      </c>
      <c r="F219" s="2">
        <v>4449366</v>
      </c>
      <c r="G219" s="138">
        <v>5000000</v>
      </c>
      <c r="H219" s="138">
        <v>5000000</v>
      </c>
      <c r="I219" s="138">
        <v>5000000</v>
      </c>
      <c r="J219" s="138">
        <v>5000000</v>
      </c>
      <c r="K219" s="2"/>
    </row>
    <row r="220" spans="1:11" hidden="1" x14ac:dyDescent="0.25">
      <c r="A220" t="s">
        <v>433</v>
      </c>
      <c r="B220" t="s">
        <v>434</v>
      </c>
      <c r="C220" s="2">
        <v>13049199</v>
      </c>
      <c r="D220" s="2">
        <v>13484964</v>
      </c>
      <c r="E220" s="2">
        <v>13163041</v>
      </c>
      <c r="F220" s="2">
        <v>13952824</v>
      </c>
      <c r="G220" s="2">
        <v>14650465</v>
      </c>
      <c r="H220" s="2">
        <v>15236482</v>
      </c>
      <c r="I220" s="2">
        <v>0</v>
      </c>
      <c r="J220" s="2">
        <v>0</v>
      </c>
      <c r="K220" s="2"/>
    </row>
    <row r="221" spans="1:11" hidden="1" x14ac:dyDescent="0.25">
      <c r="A221" t="s">
        <v>435</v>
      </c>
      <c r="B221" t="s">
        <v>436</v>
      </c>
      <c r="C221" s="2">
        <v>32000000</v>
      </c>
      <c r="D221" s="2">
        <v>35000000</v>
      </c>
      <c r="E221" s="2">
        <v>38000000</v>
      </c>
      <c r="F221" s="2">
        <v>65700000</v>
      </c>
      <c r="G221" s="2">
        <v>73800000</v>
      </c>
      <c r="H221" s="2">
        <v>82100000</v>
      </c>
      <c r="I221" s="2">
        <v>0</v>
      </c>
      <c r="J221" s="2">
        <v>0</v>
      </c>
      <c r="K221" s="2"/>
    </row>
    <row r="222" spans="1:11" hidden="1" x14ac:dyDescent="0.25">
      <c r="A222" t="s">
        <v>437</v>
      </c>
      <c r="B222" t="s">
        <v>438</v>
      </c>
      <c r="C222" s="2">
        <v>115000</v>
      </c>
      <c r="D222" s="2">
        <v>125000</v>
      </c>
      <c r="E222" s="2">
        <v>125000</v>
      </c>
      <c r="F222" s="2">
        <v>160000</v>
      </c>
      <c r="G222" s="2">
        <v>165000</v>
      </c>
      <c r="H222" s="2">
        <v>0</v>
      </c>
      <c r="I222" s="2">
        <v>0</v>
      </c>
      <c r="J222" s="2">
        <v>0</v>
      </c>
      <c r="K222" s="2"/>
    </row>
    <row r="223" spans="1:11" hidden="1" x14ac:dyDescent="0.25">
      <c r="A223" t="s">
        <v>439</v>
      </c>
      <c r="B223" t="s">
        <v>440</v>
      </c>
      <c r="C223" s="2">
        <v>185000</v>
      </c>
      <c r="D223" s="2">
        <v>200000</v>
      </c>
      <c r="E223" s="2">
        <v>215000</v>
      </c>
      <c r="F223" s="2">
        <v>242508</v>
      </c>
      <c r="G223" s="2">
        <v>253619</v>
      </c>
      <c r="H223" s="2">
        <v>266424</v>
      </c>
      <c r="I223" s="2">
        <v>0</v>
      </c>
      <c r="J223" s="2">
        <v>0</v>
      </c>
      <c r="K223" s="2"/>
    </row>
    <row r="224" spans="1:11" hidden="1" x14ac:dyDescent="0.25">
      <c r="A224" t="s">
        <v>441</v>
      </c>
      <c r="B224" t="s">
        <v>442</v>
      </c>
      <c r="C224" s="2">
        <v>1785000</v>
      </c>
      <c r="D224" s="2">
        <v>1995000</v>
      </c>
      <c r="E224" s="2">
        <v>2240000</v>
      </c>
      <c r="F224" s="2">
        <v>3375550</v>
      </c>
      <c r="G224" s="2">
        <v>3611575</v>
      </c>
      <c r="H224" s="2">
        <v>3864120</v>
      </c>
      <c r="I224" s="2">
        <v>0</v>
      </c>
      <c r="J224" s="2">
        <v>0</v>
      </c>
      <c r="K224" s="2"/>
    </row>
    <row r="225" spans="1:11" hidden="1" x14ac:dyDescent="0.25">
      <c r="A225" t="s">
        <v>443</v>
      </c>
      <c r="B225" t="s">
        <v>444</v>
      </c>
      <c r="C225" s="2">
        <v>976836</v>
      </c>
      <c r="D225" s="2">
        <v>1035446</v>
      </c>
      <c r="E225" s="2">
        <v>1097573</v>
      </c>
      <c r="F225" s="2">
        <v>1385117</v>
      </c>
      <c r="G225" s="2">
        <v>1523629</v>
      </c>
      <c r="H225" s="2">
        <v>1675992</v>
      </c>
      <c r="I225" s="2">
        <v>0</v>
      </c>
      <c r="J225" s="2">
        <v>0</v>
      </c>
      <c r="K225" s="2"/>
    </row>
    <row r="226" spans="1:11" hidden="1" x14ac:dyDescent="0.25">
      <c r="A226" t="s">
        <v>445</v>
      </c>
      <c r="B226" t="s">
        <v>446</v>
      </c>
      <c r="C226" s="2">
        <v>9500000</v>
      </c>
      <c r="D226" s="2">
        <v>9900000</v>
      </c>
      <c r="E226" s="2">
        <v>10500000</v>
      </c>
      <c r="F226" s="2">
        <v>16450000</v>
      </c>
      <c r="G226" s="2">
        <v>17750000</v>
      </c>
      <c r="H226" s="2">
        <v>19000000</v>
      </c>
      <c r="I226" s="2">
        <v>0</v>
      </c>
      <c r="J226" s="2">
        <v>0</v>
      </c>
      <c r="K226" s="2"/>
    </row>
    <row r="227" spans="1:11" hidden="1" x14ac:dyDescent="0.25">
      <c r="A227" t="s">
        <v>447</v>
      </c>
      <c r="B227" t="s">
        <v>448</v>
      </c>
      <c r="C227" s="2">
        <v>13646750</v>
      </c>
      <c r="D227" s="2">
        <v>14738500</v>
      </c>
      <c r="E227" s="2">
        <v>27665500</v>
      </c>
      <c r="F227" s="2">
        <v>29211000</v>
      </c>
      <c r="G227" s="2">
        <v>31110000</v>
      </c>
      <c r="H227" s="2">
        <v>33132000</v>
      </c>
      <c r="I227" s="2">
        <v>0</v>
      </c>
      <c r="J227" s="2">
        <v>0</v>
      </c>
      <c r="K227" s="2"/>
    </row>
    <row r="228" spans="1:11" hidden="1" x14ac:dyDescent="0.25">
      <c r="A228" t="s">
        <v>449</v>
      </c>
      <c r="B228" t="s">
        <v>450</v>
      </c>
      <c r="C228" s="2">
        <v>997304</v>
      </c>
      <c r="D228" s="2">
        <v>1097035</v>
      </c>
      <c r="E228" s="2">
        <v>1206738</v>
      </c>
      <c r="F228" s="2">
        <v>1318023</v>
      </c>
      <c r="G228" s="2">
        <v>1449825</v>
      </c>
      <c r="H228" s="2">
        <v>1594808</v>
      </c>
      <c r="I228" s="2">
        <v>0</v>
      </c>
      <c r="J228" s="2">
        <v>0</v>
      </c>
      <c r="K228" s="2"/>
    </row>
    <row r="229" spans="1:11" hidden="1" x14ac:dyDescent="0.25">
      <c r="A229" t="s">
        <v>451</v>
      </c>
      <c r="B229" t="s">
        <v>452</v>
      </c>
      <c r="C229" s="2">
        <v>5800000</v>
      </c>
      <c r="D229" s="2">
        <v>6400000</v>
      </c>
      <c r="E229" s="2">
        <v>7000000</v>
      </c>
      <c r="F229" s="2">
        <v>8700000</v>
      </c>
      <c r="G229" s="2">
        <v>9300000</v>
      </c>
      <c r="H229" s="2">
        <v>9900000</v>
      </c>
      <c r="I229" s="2">
        <v>0</v>
      </c>
      <c r="J229" s="2">
        <v>0</v>
      </c>
      <c r="K229" s="2"/>
    </row>
    <row r="230" spans="1:11" hidden="1" x14ac:dyDescent="0.25">
      <c r="A230" t="s">
        <v>453</v>
      </c>
      <c r="B230" t="s">
        <v>454</v>
      </c>
      <c r="C230" s="2">
        <v>13000000</v>
      </c>
      <c r="D230" s="2">
        <v>13400000</v>
      </c>
      <c r="E230" s="2">
        <v>9945273</v>
      </c>
      <c r="F230" s="2">
        <v>10939800</v>
      </c>
      <c r="G230" s="2">
        <v>12033780</v>
      </c>
      <c r="H230" s="2">
        <v>13237159</v>
      </c>
      <c r="I230" s="2">
        <v>0</v>
      </c>
      <c r="J230" s="2">
        <v>0</v>
      </c>
      <c r="K230" s="2"/>
    </row>
    <row r="231" spans="1:11" hidden="1" x14ac:dyDescent="0.25">
      <c r="A231" t="s">
        <v>455</v>
      </c>
      <c r="B231" t="s">
        <v>456</v>
      </c>
      <c r="C231" s="2">
        <v>1068175</v>
      </c>
      <c r="D231" s="2">
        <v>1281811</v>
      </c>
      <c r="E231" s="2">
        <v>1538173</v>
      </c>
      <c r="F231" s="2">
        <v>1484202</v>
      </c>
      <c r="G231" s="2">
        <v>1564881</v>
      </c>
      <c r="H231" s="2">
        <v>1647984</v>
      </c>
      <c r="I231" s="2">
        <v>0</v>
      </c>
      <c r="J231" s="2">
        <v>0</v>
      </c>
      <c r="K231" s="2"/>
    </row>
    <row r="232" spans="1:11" hidden="1" x14ac:dyDescent="0.25">
      <c r="A232" t="s">
        <v>457</v>
      </c>
      <c r="B232" t="s">
        <v>458</v>
      </c>
      <c r="C232" s="2">
        <v>3446815</v>
      </c>
      <c r="D232" s="2">
        <v>6319162</v>
      </c>
      <c r="E232" s="2">
        <v>6951077</v>
      </c>
      <c r="F232" s="2">
        <v>7574504</v>
      </c>
      <c r="G232" s="2">
        <v>8142592</v>
      </c>
      <c r="H232" s="2">
        <v>8753286</v>
      </c>
      <c r="I232" s="2">
        <v>0</v>
      </c>
      <c r="J232" s="2">
        <v>0</v>
      </c>
      <c r="K232" s="2"/>
    </row>
    <row r="233" spans="1:11" hidden="1" x14ac:dyDescent="0.25">
      <c r="A233" t="s">
        <v>459</v>
      </c>
      <c r="B233" t="s">
        <v>460</v>
      </c>
      <c r="C233" s="2">
        <v>2000000</v>
      </c>
      <c r="D233" s="2">
        <v>2000000</v>
      </c>
      <c r="E233" s="2">
        <v>2000000</v>
      </c>
      <c r="F233" s="2">
        <v>2550000</v>
      </c>
      <c r="G233" s="2">
        <v>2550000</v>
      </c>
      <c r="H233" s="2">
        <v>2550000</v>
      </c>
      <c r="I233" s="2">
        <v>0</v>
      </c>
      <c r="J233" s="2">
        <v>0</v>
      </c>
      <c r="K233" s="2"/>
    </row>
    <row r="234" spans="1:11" hidden="1" x14ac:dyDescent="0.25">
      <c r="A234" t="s">
        <v>461</v>
      </c>
      <c r="B234" t="s">
        <v>462</v>
      </c>
      <c r="C234" s="2">
        <v>1664500</v>
      </c>
      <c r="D234" s="2">
        <v>1864200</v>
      </c>
      <c r="E234" s="2">
        <v>2087900</v>
      </c>
      <c r="F234" s="2">
        <v>2196049</v>
      </c>
      <c r="G234" s="2">
        <v>2415654</v>
      </c>
      <c r="H234" s="2">
        <v>2657220</v>
      </c>
      <c r="I234" s="2">
        <v>0</v>
      </c>
      <c r="J234" s="2">
        <v>0</v>
      </c>
      <c r="K234" s="2"/>
    </row>
    <row r="235" spans="1:11" hidden="1" x14ac:dyDescent="0.25">
      <c r="A235" t="s">
        <v>463</v>
      </c>
      <c r="B235" t="s">
        <v>464</v>
      </c>
      <c r="C235" s="2">
        <v>45000</v>
      </c>
      <c r="D235" s="2">
        <v>45000</v>
      </c>
      <c r="E235" s="2">
        <v>74255</v>
      </c>
      <c r="F235" s="2">
        <v>76060</v>
      </c>
      <c r="G235" s="2">
        <v>77909</v>
      </c>
      <c r="H235" s="2">
        <v>79802</v>
      </c>
      <c r="I235" s="2">
        <v>0</v>
      </c>
      <c r="J235" s="2">
        <v>0</v>
      </c>
      <c r="K235" s="2"/>
    </row>
    <row r="236" spans="1:11" hidden="1" x14ac:dyDescent="0.25">
      <c r="A236" t="s">
        <v>465</v>
      </c>
      <c r="B236" t="s">
        <v>466</v>
      </c>
      <c r="C236" s="2">
        <v>1000000</v>
      </c>
      <c r="D236" s="2">
        <v>1000000</v>
      </c>
      <c r="E236" s="2">
        <v>1000000</v>
      </c>
      <c r="F236" s="2">
        <v>1000000</v>
      </c>
      <c r="G236" s="2">
        <v>1000000</v>
      </c>
      <c r="H236" s="2">
        <v>1000000</v>
      </c>
      <c r="I236" s="2">
        <v>0</v>
      </c>
      <c r="J236" s="2">
        <v>0</v>
      </c>
      <c r="K236" s="2"/>
    </row>
    <row r="237" spans="1:11" hidden="1" x14ac:dyDescent="0.25">
      <c r="A237" t="s">
        <v>467</v>
      </c>
      <c r="B237" t="s">
        <v>468</v>
      </c>
      <c r="C237" s="2">
        <v>50000</v>
      </c>
      <c r="D237" s="2">
        <v>50000</v>
      </c>
      <c r="E237" s="2">
        <v>50000</v>
      </c>
      <c r="F237" s="2">
        <v>50000</v>
      </c>
      <c r="G237" s="2">
        <v>75000</v>
      </c>
      <c r="H237" s="2">
        <v>75000</v>
      </c>
      <c r="I237" s="2">
        <v>75000</v>
      </c>
      <c r="J237" s="2">
        <v>75000</v>
      </c>
      <c r="K237" s="2"/>
    </row>
    <row r="238" spans="1:11" hidden="1" x14ac:dyDescent="0.25">
      <c r="A238" t="s">
        <v>469</v>
      </c>
      <c r="B238" t="s">
        <v>470</v>
      </c>
      <c r="C238" s="2">
        <v>152000</v>
      </c>
      <c r="D238" s="2">
        <v>152000</v>
      </c>
      <c r="E238" s="2">
        <v>152000</v>
      </c>
      <c r="F238" s="2">
        <v>152000</v>
      </c>
      <c r="G238" s="2">
        <v>152000</v>
      </c>
      <c r="H238" s="2">
        <v>152000</v>
      </c>
      <c r="I238" s="2">
        <v>152000</v>
      </c>
      <c r="J238" s="2">
        <v>152000</v>
      </c>
      <c r="K238" s="2"/>
    </row>
    <row r="239" spans="1:11" hidden="1" x14ac:dyDescent="0.25">
      <c r="A239" t="s">
        <v>471</v>
      </c>
      <c r="B239" t="s">
        <v>472</v>
      </c>
      <c r="C239" s="2">
        <v>1590688</v>
      </c>
      <c r="D239" s="2">
        <v>1622502</v>
      </c>
      <c r="E239" s="2">
        <v>1687402</v>
      </c>
      <c r="F239" s="2">
        <v>1738024</v>
      </c>
      <c r="G239" s="2">
        <v>2160000</v>
      </c>
      <c r="H239" s="2">
        <v>2245000</v>
      </c>
      <c r="I239" s="2">
        <v>2335000</v>
      </c>
      <c r="J239" s="2">
        <v>2435000</v>
      </c>
      <c r="K239" s="2"/>
    </row>
    <row r="240" spans="1:11" hidden="1" x14ac:dyDescent="0.25">
      <c r="A240" t="s">
        <v>473</v>
      </c>
      <c r="B240" t="s">
        <v>474</v>
      </c>
      <c r="C240" s="2">
        <v>250000</v>
      </c>
      <c r="D240" s="2">
        <v>250000</v>
      </c>
      <c r="E240" s="2">
        <v>250000</v>
      </c>
      <c r="F240" s="2">
        <v>250000</v>
      </c>
      <c r="G240" s="2">
        <v>250000</v>
      </c>
      <c r="H240" s="2">
        <v>250000</v>
      </c>
      <c r="I240" s="2">
        <v>0</v>
      </c>
      <c r="J240" s="2">
        <v>0</v>
      </c>
      <c r="K240" s="2"/>
    </row>
    <row r="241" spans="1:11" hidden="1" x14ac:dyDescent="0.25">
      <c r="A241" t="s">
        <v>475</v>
      </c>
      <c r="B241" t="s">
        <v>476</v>
      </c>
      <c r="C241" s="2">
        <v>91000</v>
      </c>
      <c r="D241" s="2">
        <v>92000</v>
      </c>
      <c r="E241" s="2">
        <v>93000</v>
      </c>
      <c r="F241" s="2">
        <v>94500</v>
      </c>
      <c r="G241" s="2">
        <v>96500</v>
      </c>
      <c r="H241" s="2">
        <v>98500</v>
      </c>
      <c r="I241" s="2">
        <v>101500</v>
      </c>
      <c r="J241" s="2">
        <v>0</v>
      </c>
      <c r="K241" s="2"/>
    </row>
    <row r="242" spans="1:11" hidden="1" x14ac:dyDescent="0.25">
      <c r="A242" t="s">
        <v>477</v>
      </c>
      <c r="B242" t="s">
        <v>478</v>
      </c>
      <c r="C242" s="2">
        <v>30000</v>
      </c>
      <c r="D242" s="2">
        <v>30000</v>
      </c>
      <c r="E242" s="2">
        <v>30000</v>
      </c>
      <c r="F242" s="2">
        <v>30000</v>
      </c>
      <c r="G242" s="2">
        <v>30000</v>
      </c>
      <c r="H242" s="2">
        <v>0</v>
      </c>
      <c r="I242" s="2">
        <v>0</v>
      </c>
      <c r="J242" s="2">
        <v>0</v>
      </c>
      <c r="K242" s="2"/>
    </row>
    <row r="243" spans="1:11" hidden="1" x14ac:dyDescent="0.25">
      <c r="A243" t="s">
        <v>479</v>
      </c>
      <c r="B243" t="s">
        <v>480</v>
      </c>
      <c r="C243" s="2">
        <v>125000</v>
      </c>
      <c r="D243" s="2">
        <v>125000</v>
      </c>
      <c r="E243" s="2">
        <v>175000</v>
      </c>
      <c r="F243" s="2">
        <v>175000</v>
      </c>
      <c r="G243" s="2">
        <v>175000</v>
      </c>
      <c r="H243" s="2">
        <v>175000</v>
      </c>
      <c r="I243" s="2">
        <v>0</v>
      </c>
      <c r="J243" s="2">
        <v>0</v>
      </c>
      <c r="K243" s="2"/>
    </row>
    <row r="244" spans="1:11" hidden="1" x14ac:dyDescent="0.25">
      <c r="A244" t="s">
        <v>481</v>
      </c>
      <c r="B244" t="s">
        <v>482</v>
      </c>
      <c r="C244" s="2">
        <v>287000</v>
      </c>
      <c r="D244" s="2">
        <v>287000</v>
      </c>
      <c r="E244" s="2">
        <v>287000</v>
      </c>
      <c r="F244" s="2">
        <v>342273</v>
      </c>
      <c r="G244" s="2">
        <v>350830</v>
      </c>
      <c r="H244" s="2">
        <v>359601</v>
      </c>
      <c r="I244" s="2">
        <v>368591</v>
      </c>
      <c r="J244" s="2">
        <v>0</v>
      </c>
      <c r="K244" s="2"/>
    </row>
    <row r="245" spans="1:11" hidden="1" x14ac:dyDescent="0.25">
      <c r="A245" t="s">
        <v>483</v>
      </c>
      <c r="B245" t="s">
        <v>484</v>
      </c>
      <c r="C245" s="2">
        <v>300000</v>
      </c>
      <c r="D245" s="2">
        <v>300000</v>
      </c>
      <c r="E245" s="2">
        <v>375000</v>
      </c>
      <c r="F245" s="2">
        <v>375000</v>
      </c>
      <c r="G245" s="2">
        <v>375000</v>
      </c>
      <c r="H245" s="2">
        <v>375000</v>
      </c>
      <c r="I245" s="2">
        <v>0</v>
      </c>
      <c r="J245" s="2">
        <v>0</v>
      </c>
      <c r="K245" s="2"/>
    </row>
    <row r="246" spans="1:11" hidden="1" x14ac:dyDescent="0.25">
      <c r="A246" t="s">
        <v>485</v>
      </c>
      <c r="B246" t="s">
        <v>486</v>
      </c>
      <c r="C246" s="2">
        <v>1459925</v>
      </c>
      <c r="D246" s="2">
        <v>859062</v>
      </c>
      <c r="E246" s="2">
        <v>910606</v>
      </c>
      <c r="F246" s="2">
        <v>965242</v>
      </c>
      <c r="G246" s="2">
        <v>1023157</v>
      </c>
      <c r="H246" s="2">
        <v>0</v>
      </c>
      <c r="I246" s="2">
        <v>0</v>
      </c>
      <c r="J246" s="2">
        <v>0</v>
      </c>
      <c r="K246" s="2"/>
    </row>
    <row r="247" spans="1:11" hidden="1" x14ac:dyDescent="0.25">
      <c r="A247" t="s">
        <v>487</v>
      </c>
      <c r="B247" t="s">
        <v>488</v>
      </c>
      <c r="C247" s="2">
        <v>11700000</v>
      </c>
      <c r="D247" s="2">
        <v>12300000</v>
      </c>
      <c r="E247" s="2">
        <v>10100000</v>
      </c>
      <c r="F247" s="2">
        <v>10925000</v>
      </c>
      <c r="G247" s="2">
        <v>11800000</v>
      </c>
      <c r="H247" s="2">
        <v>12750000</v>
      </c>
      <c r="I247" s="2">
        <v>0</v>
      </c>
      <c r="J247" s="2">
        <v>0</v>
      </c>
      <c r="K247" s="2"/>
    </row>
    <row r="248" spans="1:11" hidden="1" x14ac:dyDescent="0.25">
      <c r="A248" t="s">
        <v>489</v>
      </c>
      <c r="B248" t="s">
        <v>490</v>
      </c>
      <c r="C248" s="2">
        <v>42000000</v>
      </c>
      <c r="D248" s="2">
        <v>44500000</v>
      </c>
      <c r="E248" s="2">
        <v>43125000</v>
      </c>
      <c r="F248" s="2">
        <v>45700000</v>
      </c>
      <c r="G248" s="2">
        <v>48250000</v>
      </c>
      <c r="H248" s="2">
        <v>50875000</v>
      </c>
      <c r="I248" s="2">
        <v>0</v>
      </c>
      <c r="J248" s="2">
        <v>0</v>
      </c>
      <c r="K248" s="2"/>
    </row>
    <row r="249" spans="1:11" hidden="1" x14ac:dyDescent="0.25">
      <c r="A249" t="s">
        <v>491</v>
      </c>
      <c r="B249" t="s">
        <v>492</v>
      </c>
      <c r="C249" s="2">
        <v>16547000</v>
      </c>
      <c r="D249" s="2">
        <v>17209000</v>
      </c>
      <c r="E249" s="2">
        <v>16750000</v>
      </c>
      <c r="F249" s="2">
        <v>18100000</v>
      </c>
      <c r="G249" s="2">
        <v>19350000</v>
      </c>
      <c r="H249" s="2">
        <v>20500000</v>
      </c>
      <c r="I249" s="2">
        <v>0</v>
      </c>
      <c r="J249" s="2">
        <v>0</v>
      </c>
      <c r="K249" s="2"/>
    </row>
    <row r="250" spans="1:11" hidden="1" x14ac:dyDescent="0.25">
      <c r="A250" t="s">
        <v>493</v>
      </c>
      <c r="B250" t="s">
        <v>494</v>
      </c>
      <c r="C250" s="2">
        <v>27100000</v>
      </c>
      <c r="D250" s="2">
        <v>27900000</v>
      </c>
      <c r="E250" s="2">
        <v>30900000</v>
      </c>
      <c r="F250" s="2">
        <v>31970000</v>
      </c>
      <c r="G250" s="2">
        <v>34200000</v>
      </c>
      <c r="H250" s="2">
        <v>36500000</v>
      </c>
      <c r="I250" s="2">
        <v>0</v>
      </c>
      <c r="J250" s="2">
        <v>0</v>
      </c>
      <c r="K250" s="2"/>
    </row>
    <row r="251" spans="1:11" hidden="1" x14ac:dyDescent="0.25">
      <c r="A251" t="s">
        <v>495</v>
      </c>
      <c r="B251" t="s">
        <v>496</v>
      </c>
      <c r="C251" s="2">
        <v>1690000</v>
      </c>
      <c r="D251" s="2">
        <v>1690000</v>
      </c>
      <c r="E251" s="2">
        <v>1678103</v>
      </c>
      <c r="F251" s="2">
        <v>1879475</v>
      </c>
      <c r="G251" s="2">
        <v>2105012</v>
      </c>
      <c r="H251" s="2">
        <v>2357614</v>
      </c>
      <c r="I251" s="2">
        <v>0</v>
      </c>
      <c r="J251" s="2">
        <v>0</v>
      </c>
      <c r="K251" s="2"/>
    </row>
    <row r="252" spans="1:11" hidden="1" x14ac:dyDescent="0.25">
      <c r="A252" t="s">
        <v>497</v>
      </c>
      <c r="B252" t="s">
        <v>498</v>
      </c>
      <c r="C252" s="2">
        <v>2267000</v>
      </c>
      <c r="D252" s="2">
        <v>2301000</v>
      </c>
      <c r="E252" s="2">
        <v>2500000</v>
      </c>
      <c r="F252" s="2">
        <v>2750000</v>
      </c>
      <c r="G252" s="2">
        <v>3000000</v>
      </c>
      <c r="H252" s="2">
        <v>3250000</v>
      </c>
      <c r="I252" s="2">
        <v>0</v>
      </c>
      <c r="J252" s="2">
        <v>0</v>
      </c>
      <c r="K252" s="2"/>
    </row>
    <row r="253" spans="1:11" hidden="1" x14ac:dyDescent="0.25">
      <c r="A253" t="s">
        <v>499</v>
      </c>
      <c r="B253" t="s">
        <v>500</v>
      </c>
      <c r="C253" s="2">
        <v>4119985</v>
      </c>
      <c r="D253" s="2">
        <v>4198856</v>
      </c>
      <c r="E253" s="2">
        <v>3732229</v>
      </c>
      <c r="F253" s="2">
        <v>4105452</v>
      </c>
      <c r="G253" s="2">
        <v>4515997</v>
      </c>
      <c r="H253" s="2">
        <v>4967597</v>
      </c>
      <c r="I253" s="2">
        <v>0</v>
      </c>
      <c r="J253" s="2">
        <v>0</v>
      </c>
      <c r="K253" s="2"/>
    </row>
    <row r="254" spans="1:11" hidden="1" x14ac:dyDescent="0.25">
      <c r="A254" t="s">
        <v>501</v>
      </c>
      <c r="B254" t="s">
        <v>502</v>
      </c>
      <c r="C254" s="2">
        <v>3067927</v>
      </c>
      <c r="D254" s="2">
        <v>3067927</v>
      </c>
      <c r="E254" s="2">
        <v>3213815</v>
      </c>
      <c r="F254" s="2">
        <v>3535196</v>
      </c>
      <c r="G254" s="2">
        <v>3888716</v>
      </c>
      <c r="H254" s="2">
        <v>4277587</v>
      </c>
      <c r="I254" s="2">
        <v>0</v>
      </c>
      <c r="J254" s="2">
        <v>0</v>
      </c>
      <c r="K254" s="2"/>
    </row>
    <row r="255" spans="1:11" hidden="1" x14ac:dyDescent="0.25">
      <c r="A255" t="s">
        <v>503</v>
      </c>
      <c r="B255" t="s">
        <v>504</v>
      </c>
      <c r="C255" s="2">
        <v>997000</v>
      </c>
      <c r="D255" s="2">
        <v>997000</v>
      </c>
      <c r="E255" s="2">
        <v>997000</v>
      </c>
      <c r="F255" s="2">
        <v>997000</v>
      </c>
      <c r="G255" s="2">
        <v>997000</v>
      </c>
      <c r="H255" s="2">
        <v>997000</v>
      </c>
      <c r="I255" s="2">
        <v>997000</v>
      </c>
      <c r="J255" s="2">
        <v>997000</v>
      </c>
      <c r="K255" s="2"/>
    </row>
    <row r="256" spans="1:11" hidden="1" x14ac:dyDescent="0.25">
      <c r="A256" t="s">
        <v>505</v>
      </c>
      <c r="B256" t="s">
        <v>506</v>
      </c>
      <c r="C256" s="2">
        <v>230730</v>
      </c>
      <c r="D256" s="2">
        <v>230730</v>
      </c>
      <c r="E256" s="2">
        <v>350730</v>
      </c>
      <c r="F256" s="2">
        <v>350730</v>
      </c>
      <c r="G256" s="2">
        <v>137000</v>
      </c>
      <c r="H256" s="2">
        <v>140000</v>
      </c>
      <c r="I256" s="2">
        <v>0</v>
      </c>
      <c r="J256" s="2">
        <v>0</v>
      </c>
      <c r="K256" s="2"/>
    </row>
    <row r="257" spans="1:11" hidden="1" x14ac:dyDescent="0.25">
      <c r="A257" t="s">
        <v>507</v>
      </c>
      <c r="B257" t="s">
        <v>508</v>
      </c>
      <c r="C257" s="2">
        <v>11687674</v>
      </c>
      <c r="D257" s="2">
        <v>11921427</v>
      </c>
      <c r="E257" s="2">
        <v>11010402</v>
      </c>
      <c r="F257" s="2">
        <v>11285662</v>
      </c>
      <c r="G257" s="2">
        <v>11567804</v>
      </c>
      <c r="H257" s="2">
        <v>11856999</v>
      </c>
      <c r="I257" s="2">
        <v>0</v>
      </c>
      <c r="J257" s="2">
        <v>0</v>
      </c>
      <c r="K257" s="2"/>
    </row>
    <row r="258" spans="1:11" hidden="1" x14ac:dyDescent="0.25">
      <c r="A258" t="s">
        <v>509</v>
      </c>
      <c r="B258" t="s">
        <v>510</v>
      </c>
      <c r="C258" s="2">
        <v>2300000</v>
      </c>
      <c r="D258" s="2">
        <v>2450000</v>
      </c>
      <c r="E258" s="2">
        <v>2600000</v>
      </c>
      <c r="F258" s="2">
        <v>2750000</v>
      </c>
      <c r="G258" s="2">
        <v>4100000</v>
      </c>
      <c r="H258" s="2">
        <v>4500000</v>
      </c>
      <c r="I258" s="2">
        <v>4900000</v>
      </c>
      <c r="J258" s="2">
        <v>5400000</v>
      </c>
      <c r="K258" s="2"/>
    </row>
    <row r="259" spans="1:11" hidden="1" x14ac:dyDescent="0.25">
      <c r="A259" t="s">
        <v>511</v>
      </c>
      <c r="B259" t="s">
        <v>512</v>
      </c>
      <c r="C259" s="2">
        <v>688031</v>
      </c>
      <c r="D259" s="2">
        <v>734966</v>
      </c>
      <c r="E259" s="2">
        <v>734966</v>
      </c>
      <c r="F259" s="2">
        <v>734966</v>
      </c>
      <c r="G259" s="2">
        <v>734966</v>
      </c>
      <c r="H259" s="2">
        <v>734966</v>
      </c>
      <c r="I259" s="2">
        <v>734966</v>
      </c>
      <c r="J259" s="2">
        <v>0</v>
      </c>
      <c r="K259" s="2"/>
    </row>
    <row r="260" spans="1:11" hidden="1" x14ac:dyDescent="0.25">
      <c r="A260" t="s">
        <v>513</v>
      </c>
      <c r="B260" t="s">
        <v>514</v>
      </c>
      <c r="C260" s="2">
        <v>2300000</v>
      </c>
      <c r="D260" s="2">
        <v>2375000</v>
      </c>
      <c r="E260" s="2">
        <v>2500000</v>
      </c>
      <c r="F260" s="2">
        <v>2525000</v>
      </c>
      <c r="G260" s="2">
        <v>3336572</v>
      </c>
      <c r="H260" s="2">
        <v>3436669</v>
      </c>
      <c r="I260" s="2">
        <v>3550079</v>
      </c>
      <c r="J260" s="2">
        <v>3677882</v>
      </c>
      <c r="K260" s="2"/>
    </row>
    <row r="261" spans="1:11" hidden="1" x14ac:dyDescent="0.25">
      <c r="A261" t="s">
        <v>515</v>
      </c>
      <c r="B261" t="s">
        <v>516</v>
      </c>
      <c r="C261" s="2">
        <v>520846</v>
      </c>
      <c r="D261" s="2">
        <v>562433</v>
      </c>
      <c r="E261" s="2">
        <v>622156</v>
      </c>
      <c r="F261" s="2">
        <v>640535</v>
      </c>
      <c r="G261" s="2">
        <v>731953</v>
      </c>
      <c r="H261" s="2">
        <v>761218</v>
      </c>
      <c r="I261" s="2">
        <v>0</v>
      </c>
      <c r="J261" s="2">
        <v>0</v>
      </c>
      <c r="K261" s="2"/>
    </row>
    <row r="262" spans="1:11" hidden="1" x14ac:dyDescent="0.25">
      <c r="A262" t="s">
        <v>517</v>
      </c>
      <c r="B262" t="s">
        <v>518</v>
      </c>
      <c r="C262" s="2">
        <v>560600</v>
      </c>
      <c r="D262" s="2">
        <v>590000</v>
      </c>
      <c r="E262" s="2">
        <v>670000</v>
      </c>
      <c r="F262" s="2">
        <v>670000</v>
      </c>
      <c r="G262" s="2">
        <v>685000</v>
      </c>
      <c r="H262" s="2">
        <v>685000</v>
      </c>
      <c r="I262" s="2">
        <v>685000</v>
      </c>
      <c r="J262" s="2">
        <v>0</v>
      </c>
      <c r="K262" s="2"/>
    </row>
    <row r="263" spans="1:11" hidden="1" x14ac:dyDescent="0.25">
      <c r="A263" t="s">
        <v>519</v>
      </c>
      <c r="B263" t="s">
        <v>520</v>
      </c>
      <c r="C263" s="2">
        <v>34900000</v>
      </c>
      <c r="D263" s="2">
        <v>35900000</v>
      </c>
      <c r="E263" s="2">
        <v>31000000</v>
      </c>
      <c r="F263" s="2">
        <v>32000000</v>
      </c>
      <c r="G263" s="2">
        <v>33500000</v>
      </c>
      <c r="H263" s="2">
        <v>35000000</v>
      </c>
      <c r="I263" s="2">
        <v>0</v>
      </c>
      <c r="J263" s="2">
        <v>0</v>
      </c>
      <c r="K263" s="2"/>
    </row>
    <row r="264" spans="1:11" hidden="1" x14ac:dyDescent="0.25">
      <c r="A264" t="s">
        <v>521</v>
      </c>
      <c r="B264" t="s">
        <v>522</v>
      </c>
      <c r="C264" s="2">
        <v>15060000</v>
      </c>
      <c r="D264" s="2">
        <v>15360000</v>
      </c>
      <c r="E264" s="2">
        <v>8273000</v>
      </c>
      <c r="F264" s="2">
        <v>8687000</v>
      </c>
      <c r="G264" s="2">
        <v>11000000</v>
      </c>
      <c r="H264" s="2">
        <v>12000000</v>
      </c>
      <c r="I264" s="2">
        <v>0</v>
      </c>
      <c r="J264" s="2">
        <v>0</v>
      </c>
      <c r="K264" s="2"/>
    </row>
    <row r="265" spans="1:11" hidden="1" x14ac:dyDescent="0.25">
      <c r="A265" t="s">
        <v>523</v>
      </c>
      <c r="B265" t="s">
        <v>524</v>
      </c>
      <c r="C265" s="2">
        <v>7340000</v>
      </c>
      <c r="D265" s="2">
        <v>7500000</v>
      </c>
      <c r="E265" s="2">
        <v>6000000</v>
      </c>
      <c r="F265" s="2">
        <v>6400000</v>
      </c>
      <c r="G265" s="2">
        <v>6800000</v>
      </c>
      <c r="H265" s="2">
        <v>7250000</v>
      </c>
      <c r="I265" s="2">
        <v>0</v>
      </c>
      <c r="J265" s="2">
        <v>0</v>
      </c>
      <c r="K265" s="2"/>
    </row>
    <row r="266" spans="1:11" hidden="1" x14ac:dyDescent="0.25">
      <c r="A266" t="s">
        <v>525</v>
      </c>
      <c r="B266" t="s">
        <v>526</v>
      </c>
      <c r="C266" s="2">
        <v>6250000</v>
      </c>
      <c r="D266" s="2">
        <v>6450000</v>
      </c>
      <c r="E266" s="2">
        <v>6700000</v>
      </c>
      <c r="F266" s="2">
        <v>7200000</v>
      </c>
      <c r="G266" s="2">
        <v>7600000</v>
      </c>
      <c r="H266" s="2">
        <v>8000000</v>
      </c>
      <c r="I266" s="2">
        <v>0</v>
      </c>
      <c r="J266" s="2">
        <v>0</v>
      </c>
      <c r="K266" s="2"/>
    </row>
    <row r="267" spans="1:11" hidden="1" x14ac:dyDescent="0.25">
      <c r="A267" t="s">
        <v>527</v>
      </c>
      <c r="B267" t="s">
        <v>528</v>
      </c>
      <c r="C267" s="2">
        <v>4225000</v>
      </c>
      <c r="D267" s="2">
        <v>4250000</v>
      </c>
      <c r="E267" s="2">
        <v>4027516</v>
      </c>
      <c r="F267" s="2">
        <v>4269167</v>
      </c>
      <c r="G267" s="2">
        <v>4525317</v>
      </c>
      <c r="H267" s="2">
        <v>4796836</v>
      </c>
      <c r="I267" s="2">
        <v>0</v>
      </c>
      <c r="J267" s="2">
        <v>0</v>
      </c>
      <c r="K267" s="2"/>
    </row>
    <row r="268" spans="1:11" hidden="1" x14ac:dyDescent="0.25">
      <c r="A268" t="s">
        <v>529</v>
      </c>
      <c r="B268" t="s">
        <v>530</v>
      </c>
      <c r="C268" s="2">
        <v>3900000</v>
      </c>
      <c r="D268" s="2">
        <v>4000000</v>
      </c>
      <c r="E268" s="2">
        <v>2500000</v>
      </c>
      <c r="F268" s="2">
        <v>2700000</v>
      </c>
      <c r="G268" s="2">
        <v>2900000</v>
      </c>
      <c r="H268" s="2">
        <v>3100000</v>
      </c>
      <c r="I268" s="2">
        <v>0</v>
      </c>
      <c r="J268" s="2">
        <v>0</v>
      </c>
      <c r="K268" s="2"/>
    </row>
    <row r="269" spans="1:11" hidden="1" x14ac:dyDescent="0.25">
      <c r="A269" t="s">
        <v>531</v>
      </c>
      <c r="B269" t="s">
        <v>532</v>
      </c>
      <c r="C269" s="2">
        <v>5970000</v>
      </c>
      <c r="D269" s="2">
        <v>6060000</v>
      </c>
      <c r="E269" s="2">
        <v>5000000</v>
      </c>
      <c r="F269" s="2">
        <v>5100000</v>
      </c>
      <c r="G269" s="2">
        <v>5200000</v>
      </c>
      <c r="H269" s="2">
        <v>5350000</v>
      </c>
      <c r="I269" s="139">
        <v>0</v>
      </c>
      <c r="J269" s="2">
        <v>0</v>
      </c>
      <c r="K269" s="2"/>
    </row>
    <row r="270" spans="1:11" hidden="1" x14ac:dyDescent="0.25">
      <c r="A270" t="s">
        <v>533</v>
      </c>
      <c r="B270" t="s">
        <v>534</v>
      </c>
      <c r="C270" s="2">
        <v>614000</v>
      </c>
      <c r="D270" s="2">
        <v>614000</v>
      </c>
      <c r="E270" s="2">
        <v>614000</v>
      </c>
      <c r="F270" s="2">
        <v>614000</v>
      </c>
      <c r="G270" s="2">
        <v>300000</v>
      </c>
      <c r="H270" s="2">
        <v>300000</v>
      </c>
      <c r="I270" s="2">
        <v>0</v>
      </c>
      <c r="J270" s="2">
        <v>0</v>
      </c>
      <c r="K270" s="2"/>
    </row>
    <row r="271" spans="1:11" hidden="1" x14ac:dyDescent="0.25">
      <c r="A271" t="s">
        <v>535</v>
      </c>
      <c r="B271" t="s">
        <v>536</v>
      </c>
      <c r="C271" s="2">
        <v>170000</v>
      </c>
      <c r="D271" s="2">
        <v>85000</v>
      </c>
      <c r="E271" s="2">
        <v>90000</v>
      </c>
      <c r="F271" s="2">
        <v>130000</v>
      </c>
      <c r="G271" s="2">
        <v>132000</v>
      </c>
      <c r="H271" s="2">
        <v>0</v>
      </c>
      <c r="I271" s="2">
        <v>0</v>
      </c>
      <c r="J271" s="2">
        <v>0</v>
      </c>
      <c r="K271" s="2"/>
    </row>
    <row r="272" spans="1:11" hidden="1" x14ac:dyDescent="0.25">
      <c r="A272" t="s">
        <v>537</v>
      </c>
      <c r="B272" t="s">
        <v>538</v>
      </c>
      <c r="C272" s="2">
        <v>127000</v>
      </c>
      <c r="D272" s="2">
        <v>127000</v>
      </c>
      <c r="E272" s="2">
        <v>236818</v>
      </c>
      <c r="F272" s="2">
        <v>236818</v>
      </c>
      <c r="G272" s="2">
        <v>236818</v>
      </c>
      <c r="H272" s="2">
        <v>236818</v>
      </c>
      <c r="I272" s="2">
        <v>0</v>
      </c>
      <c r="J272" s="2">
        <v>0</v>
      </c>
      <c r="K272" s="2"/>
    </row>
    <row r="273" spans="1:11" hidden="1" x14ac:dyDescent="0.25">
      <c r="A273" t="s">
        <v>539</v>
      </c>
      <c r="B273" t="s">
        <v>540</v>
      </c>
      <c r="C273" s="2">
        <v>5500000</v>
      </c>
      <c r="D273" s="2">
        <v>5500000</v>
      </c>
      <c r="E273" s="2">
        <v>5300000</v>
      </c>
      <c r="F273" s="2">
        <v>5300000</v>
      </c>
      <c r="G273" s="2">
        <v>5300000</v>
      </c>
      <c r="H273" s="2">
        <v>5300000</v>
      </c>
      <c r="I273" s="2">
        <v>0</v>
      </c>
      <c r="J273" s="2">
        <v>0</v>
      </c>
      <c r="K273" s="2"/>
    </row>
    <row r="274" spans="1:11" hidden="1" x14ac:dyDescent="0.25">
      <c r="A274" t="s">
        <v>541</v>
      </c>
      <c r="B274" t="s">
        <v>542</v>
      </c>
      <c r="C274" s="2">
        <v>750000</v>
      </c>
      <c r="D274" s="2">
        <v>750000</v>
      </c>
      <c r="E274" s="2">
        <v>900000</v>
      </c>
      <c r="F274" s="2">
        <v>900000</v>
      </c>
      <c r="G274" s="2">
        <v>960000</v>
      </c>
      <c r="H274" s="2">
        <v>990000</v>
      </c>
      <c r="I274" s="2">
        <v>0</v>
      </c>
      <c r="J274" s="2">
        <v>0</v>
      </c>
      <c r="K274" s="2"/>
    </row>
    <row r="275" spans="1:11" hidden="1" x14ac:dyDescent="0.25">
      <c r="A275" t="s">
        <v>543</v>
      </c>
      <c r="B275" t="s">
        <v>544</v>
      </c>
      <c r="C275" s="2">
        <v>270000</v>
      </c>
      <c r="D275" s="2">
        <v>270000</v>
      </c>
      <c r="E275" s="2">
        <v>420574</v>
      </c>
      <c r="F275" s="2">
        <v>441603</v>
      </c>
      <c r="G275" s="2">
        <v>441000</v>
      </c>
      <c r="H275" s="2">
        <v>441000</v>
      </c>
      <c r="I275" s="2">
        <v>441000</v>
      </c>
      <c r="J275" s="2">
        <v>0</v>
      </c>
      <c r="K275" s="2"/>
    </row>
    <row r="276" spans="1:11" hidden="1" x14ac:dyDescent="0.25">
      <c r="A276" t="s">
        <v>545</v>
      </c>
      <c r="B276" t="s">
        <v>546</v>
      </c>
      <c r="C276" s="2">
        <v>165000</v>
      </c>
      <c r="D276" s="2">
        <v>165000</v>
      </c>
      <c r="E276" s="2">
        <v>176040</v>
      </c>
      <c r="F276" s="2">
        <v>176040</v>
      </c>
      <c r="G276" s="2">
        <v>176040</v>
      </c>
      <c r="H276" s="2">
        <v>176040</v>
      </c>
      <c r="I276" s="2">
        <v>176040</v>
      </c>
      <c r="J276" s="2">
        <v>0</v>
      </c>
      <c r="K276" s="2"/>
    </row>
    <row r="277" spans="1:11" hidden="1" x14ac:dyDescent="0.25">
      <c r="A277" t="s">
        <v>547</v>
      </c>
      <c r="B277" t="s">
        <v>548</v>
      </c>
      <c r="C277" s="2">
        <v>110000</v>
      </c>
      <c r="D277" s="2">
        <v>110000</v>
      </c>
      <c r="E277" s="2">
        <v>110000</v>
      </c>
      <c r="F277" s="2">
        <v>110000</v>
      </c>
      <c r="G277" s="2">
        <v>110000</v>
      </c>
      <c r="H277" s="2">
        <v>110000</v>
      </c>
      <c r="I277" s="2">
        <v>0</v>
      </c>
      <c r="J277" s="2">
        <v>0</v>
      </c>
      <c r="K277" s="2"/>
    </row>
    <row r="278" spans="1:11" hidden="1" x14ac:dyDescent="0.25">
      <c r="A278" t="s">
        <v>549</v>
      </c>
      <c r="B278" t="s">
        <v>550</v>
      </c>
      <c r="C278" s="2">
        <v>496935</v>
      </c>
      <c r="D278" s="2">
        <v>375000</v>
      </c>
      <c r="E278" s="2">
        <v>398947</v>
      </c>
      <c r="F278" s="2">
        <v>398947</v>
      </c>
      <c r="G278" s="2">
        <v>398947</v>
      </c>
      <c r="H278" s="2">
        <v>0</v>
      </c>
      <c r="I278" s="2">
        <v>0</v>
      </c>
      <c r="J278" s="2">
        <v>0</v>
      </c>
      <c r="K278" s="2"/>
    </row>
    <row r="279" spans="1:11" hidden="1" x14ac:dyDescent="0.25">
      <c r="A279" t="s">
        <v>551</v>
      </c>
      <c r="B279" t="s">
        <v>552</v>
      </c>
      <c r="C279" s="2">
        <v>370000</v>
      </c>
      <c r="D279" s="2">
        <v>370000</v>
      </c>
      <c r="E279" s="2">
        <v>231137</v>
      </c>
      <c r="F279" s="2">
        <v>241591</v>
      </c>
      <c r="G279" s="2">
        <v>236390</v>
      </c>
      <c r="H279" s="2">
        <v>243482</v>
      </c>
      <c r="I279" s="2">
        <v>0</v>
      </c>
      <c r="J279" s="2">
        <v>0</v>
      </c>
      <c r="K279" s="2"/>
    </row>
    <row r="280" spans="1:11" hidden="1" x14ac:dyDescent="0.25">
      <c r="A280" t="s">
        <v>553</v>
      </c>
      <c r="B280" t="s">
        <v>554</v>
      </c>
      <c r="C280" s="2">
        <v>305000</v>
      </c>
      <c r="D280" s="2">
        <v>335000</v>
      </c>
      <c r="E280" s="2">
        <v>448000</v>
      </c>
      <c r="F280" s="2">
        <v>448000</v>
      </c>
      <c r="G280" s="2">
        <v>434500</v>
      </c>
      <c r="H280" s="2">
        <v>456500</v>
      </c>
      <c r="I280" s="2">
        <v>0</v>
      </c>
      <c r="J280" s="2">
        <v>0</v>
      </c>
      <c r="K280" s="2"/>
    </row>
    <row r="281" spans="1:11" hidden="1" x14ac:dyDescent="0.25">
      <c r="A281" t="s">
        <v>555</v>
      </c>
      <c r="B281" t="s">
        <v>556</v>
      </c>
      <c r="C281" s="2">
        <v>510000</v>
      </c>
      <c r="D281" s="2">
        <v>510000</v>
      </c>
      <c r="E281" s="2">
        <v>400000</v>
      </c>
      <c r="F281" s="2">
        <v>415000</v>
      </c>
      <c r="G281" s="2">
        <v>404393</v>
      </c>
      <c r="H281" s="2">
        <v>416524</v>
      </c>
      <c r="I281" s="2">
        <v>0</v>
      </c>
      <c r="J281" s="2">
        <v>0</v>
      </c>
      <c r="K281" s="2"/>
    </row>
    <row r="282" spans="1:11" hidden="1" x14ac:dyDescent="0.25">
      <c r="A282" t="s">
        <v>557</v>
      </c>
      <c r="B282" t="s">
        <v>558</v>
      </c>
      <c r="C282" s="2">
        <v>676000</v>
      </c>
      <c r="D282" s="2">
        <v>667000</v>
      </c>
      <c r="E282" s="2">
        <v>667000</v>
      </c>
      <c r="F282" s="2">
        <v>667000</v>
      </c>
      <c r="G282" s="2">
        <v>667000</v>
      </c>
      <c r="H282" s="2">
        <v>0</v>
      </c>
      <c r="I282" s="2">
        <v>0</v>
      </c>
      <c r="J282" s="2">
        <v>0</v>
      </c>
      <c r="K282" s="2"/>
    </row>
    <row r="283" spans="1:11" hidden="1" x14ac:dyDescent="0.25">
      <c r="A283" t="s">
        <v>559</v>
      </c>
      <c r="B283" t="s">
        <v>560</v>
      </c>
      <c r="C283" s="2">
        <v>922500</v>
      </c>
      <c r="D283" s="2">
        <v>922500</v>
      </c>
      <c r="E283" s="2">
        <v>922500</v>
      </c>
      <c r="F283" s="2">
        <v>922500</v>
      </c>
      <c r="G283" s="2">
        <v>922500</v>
      </c>
      <c r="H283" s="2">
        <v>922500</v>
      </c>
      <c r="I283" s="2">
        <v>922500</v>
      </c>
      <c r="J283" s="2">
        <v>922500</v>
      </c>
      <c r="K283" s="2"/>
    </row>
    <row r="284" spans="1:11" hidden="1" x14ac:dyDescent="0.25">
      <c r="A284" t="s">
        <v>561</v>
      </c>
      <c r="B284" t="s">
        <v>562</v>
      </c>
      <c r="C284" s="2">
        <v>3099000</v>
      </c>
      <c r="D284" s="2">
        <v>3250000</v>
      </c>
      <c r="E284" s="2">
        <v>2750000</v>
      </c>
      <c r="F284" s="2">
        <v>2950000</v>
      </c>
      <c r="G284" s="2">
        <v>3175000</v>
      </c>
      <c r="H284" s="2">
        <v>3400000</v>
      </c>
      <c r="I284" s="2">
        <v>0</v>
      </c>
      <c r="J284" s="2">
        <v>0</v>
      </c>
      <c r="K284" s="2"/>
    </row>
    <row r="285" spans="1:11" hidden="1" x14ac:dyDescent="0.25">
      <c r="A285" t="s">
        <v>563</v>
      </c>
      <c r="B285" t="s">
        <v>564</v>
      </c>
      <c r="C285" s="2">
        <v>14400000</v>
      </c>
      <c r="D285" s="2">
        <v>14600000</v>
      </c>
      <c r="E285" s="2">
        <v>14694709</v>
      </c>
      <c r="F285" s="2">
        <v>15282497</v>
      </c>
      <c r="G285" s="2">
        <v>15893797</v>
      </c>
      <c r="H285" s="2">
        <v>16529549</v>
      </c>
      <c r="I285" s="2">
        <v>0</v>
      </c>
      <c r="J285" s="2">
        <v>0</v>
      </c>
      <c r="K285" s="2"/>
    </row>
    <row r="286" spans="1:11" hidden="1" x14ac:dyDescent="0.25">
      <c r="A286" t="s">
        <v>565</v>
      </c>
      <c r="B286" t="s">
        <v>566</v>
      </c>
      <c r="C286" s="2">
        <v>3462000</v>
      </c>
      <c r="D286" s="2">
        <v>3602000</v>
      </c>
      <c r="E286" s="2">
        <v>3746000</v>
      </c>
      <c r="F286" s="2">
        <v>4155352</v>
      </c>
      <c r="G286" s="2">
        <v>4464999</v>
      </c>
      <c r="H286" s="2">
        <v>4753174</v>
      </c>
      <c r="I286" s="2">
        <v>0</v>
      </c>
      <c r="J286" s="2">
        <v>0</v>
      </c>
      <c r="K286" s="2"/>
    </row>
    <row r="287" spans="1:11" hidden="1" x14ac:dyDescent="0.25">
      <c r="A287" t="s">
        <v>567</v>
      </c>
      <c r="B287" t="s">
        <v>568</v>
      </c>
      <c r="C287" s="2">
        <v>5730736</v>
      </c>
      <c r="D287" s="2">
        <v>3097205</v>
      </c>
      <c r="E287" s="2">
        <v>3468869</v>
      </c>
      <c r="F287" s="2">
        <v>3550187</v>
      </c>
      <c r="G287" s="2">
        <v>3905205</v>
      </c>
      <c r="H287" s="2">
        <v>0</v>
      </c>
      <c r="I287" s="2">
        <v>0</v>
      </c>
      <c r="J287" s="2">
        <v>0</v>
      </c>
      <c r="K287" s="2"/>
    </row>
    <row r="288" spans="1:11" hidden="1" x14ac:dyDescent="0.25">
      <c r="A288" t="s">
        <v>569</v>
      </c>
      <c r="B288" t="s">
        <v>570</v>
      </c>
      <c r="C288" s="2">
        <v>320000</v>
      </c>
      <c r="D288" s="2">
        <v>325000</v>
      </c>
      <c r="E288" s="2">
        <v>385000</v>
      </c>
      <c r="F288" s="2">
        <v>400000</v>
      </c>
      <c r="G288" s="2">
        <v>415000</v>
      </c>
      <c r="H288" s="2">
        <v>430000</v>
      </c>
      <c r="I288" s="2">
        <v>0</v>
      </c>
      <c r="J288" s="2">
        <v>0</v>
      </c>
      <c r="K288" s="2"/>
    </row>
    <row r="289" spans="1:11" hidden="1" x14ac:dyDescent="0.25">
      <c r="A289" t="s">
        <v>571</v>
      </c>
      <c r="B289" t="s">
        <v>572</v>
      </c>
      <c r="C289" s="2">
        <v>1660000</v>
      </c>
      <c r="D289" s="2">
        <v>1725000</v>
      </c>
      <c r="E289" s="2">
        <v>1800000</v>
      </c>
      <c r="F289" s="2">
        <v>1850000</v>
      </c>
      <c r="G289" s="138">
        <v>2000000</v>
      </c>
      <c r="H289" s="138">
        <v>2150000</v>
      </c>
      <c r="I289" s="138">
        <v>2300000</v>
      </c>
      <c r="J289" s="138">
        <v>2450000</v>
      </c>
      <c r="K289" s="2"/>
    </row>
    <row r="290" spans="1:11" hidden="1" x14ac:dyDescent="0.25">
      <c r="A290" t="s">
        <v>573</v>
      </c>
      <c r="B290" t="s">
        <v>574</v>
      </c>
      <c r="C290" s="2">
        <v>2582904</v>
      </c>
      <c r="D290" s="2">
        <v>2582904</v>
      </c>
      <c r="E290" s="2">
        <v>2800000</v>
      </c>
      <c r="F290" s="2">
        <v>3100000</v>
      </c>
      <c r="G290" s="2">
        <v>3400000</v>
      </c>
      <c r="H290" s="2">
        <v>3700000</v>
      </c>
      <c r="I290" s="2">
        <v>0</v>
      </c>
      <c r="J290" s="2">
        <v>0</v>
      </c>
      <c r="K290" s="2"/>
    </row>
    <row r="291" spans="1:11" hidden="1" x14ac:dyDescent="0.25">
      <c r="A291" t="s">
        <v>575</v>
      </c>
      <c r="B291" t="s">
        <v>576</v>
      </c>
      <c r="C291" s="2">
        <v>1320000</v>
      </c>
      <c r="D291" s="2">
        <v>1360000</v>
      </c>
      <c r="E291" s="2">
        <v>1400000</v>
      </c>
      <c r="F291" s="2">
        <v>1420000</v>
      </c>
      <c r="G291" s="2">
        <v>1460000</v>
      </c>
      <c r="H291" s="2">
        <v>1500000</v>
      </c>
      <c r="I291" s="2">
        <v>1540000</v>
      </c>
      <c r="J291" s="2">
        <v>0</v>
      </c>
      <c r="K291" s="2"/>
    </row>
    <row r="292" spans="1:11" hidden="1" x14ac:dyDescent="0.25">
      <c r="A292" t="s">
        <v>577</v>
      </c>
      <c r="B292" t="s">
        <v>578</v>
      </c>
      <c r="C292" s="2">
        <v>1400000</v>
      </c>
      <c r="D292" s="2">
        <v>1150000</v>
      </c>
      <c r="E292" s="2">
        <v>1200000</v>
      </c>
      <c r="F292" s="2">
        <v>1250000</v>
      </c>
      <c r="G292" s="2">
        <v>1350000</v>
      </c>
      <c r="H292" s="2">
        <v>0</v>
      </c>
      <c r="I292" s="2">
        <v>0</v>
      </c>
      <c r="J292" s="2">
        <v>0</v>
      </c>
      <c r="K292" s="2"/>
    </row>
    <row r="293" spans="1:11" hidden="1" x14ac:dyDescent="0.25">
      <c r="A293" t="s">
        <v>579</v>
      </c>
      <c r="B293" t="s">
        <v>580</v>
      </c>
      <c r="C293" s="2">
        <v>626000</v>
      </c>
      <c r="D293" s="2">
        <v>626000</v>
      </c>
      <c r="E293" s="2">
        <v>626000</v>
      </c>
      <c r="F293" s="2">
        <v>715000</v>
      </c>
      <c r="G293" s="2">
        <v>760000</v>
      </c>
      <c r="H293" s="2">
        <v>810000</v>
      </c>
      <c r="I293" s="2">
        <v>0</v>
      </c>
      <c r="J293" s="2">
        <v>0</v>
      </c>
      <c r="K293" s="2"/>
    </row>
    <row r="294" spans="1:11" hidden="1" x14ac:dyDescent="0.25">
      <c r="A294" t="s">
        <v>581</v>
      </c>
      <c r="B294" t="s">
        <v>582</v>
      </c>
      <c r="C294" s="2">
        <v>900000</v>
      </c>
      <c r="D294" s="2">
        <v>900000</v>
      </c>
      <c r="E294" s="2">
        <v>1100000</v>
      </c>
      <c r="F294" s="2">
        <v>1100000</v>
      </c>
      <c r="G294" s="2">
        <v>1300000</v>
      </c>
      <c r="H294" s="2">
        <v>1350000</v>
      </c>
      <c r="I294" s="2">
        <v>1400000</v>
      </c>
      <c r="J294" s="2">
        <v>1475000</v>
      </c>
      <c r="K294" s="2"/>
    </row>
    <row r="295" spans="1:11" hidden="1" x14ac:dyDescent="0.25">
      <c r="A295" t="s">
        <v>583</v>
      </c>
      <c r="B295" t="s">
        <v>584</v>
      </c>
      <c r="C295" s="2">
        <v>1200000</v>
      </c>
      <c r="D295" s="2">
        <v>1200000</v>
      </c>
      <c r="E295" s="2">
        <v>1350000</v>
      </c>
      <c r="F295" s="2">
        <v>1350000</v>
      </c>
      <c r="G295" s="2">
        <v>1525000</v>
      </c>
      <c r="H295" s="2">
        <v>1525000</v>
      </c>
      <c r="I295" s="2">
        <v>1675000</v>
      </c>
      <c r="J295" s="2">
        <v>1675000</v>
      </c>
      <c r="K295" s="2"/>
    </row>
    <row r="296" spans="1:11" hidden="1" x14ac:dyDescent="0.25">
      <c r="A296" t="s">
        <v>585</v>
      </c>
      <c r="B296" t="s">
        <v>586</v>
      </c>
      <c r="C296" s="2">
        <v>5965626</v>
      </c>
      <c r="D296" s="2">
        <v>5965626</v>
      </c>
      <c r="E296" s="2">
        <v>5965626</v>
      </c>
      <c r="F296" s="2">
        <v>5965626</v>
      </c>
      <c r="G296" s="2">
        <v>6901236</v>
      </c>
      <c r="H296" s="2">
        <v>6901236</v>
      </c>
      <c r="I296" s="2">
        <v>6901236</v>
      </c>
      <c r="J296" s="2">
        <v>6901236</v>
      </c>
      <c r="K296" s="2"/>
    </row>
    <row r="297" spans="1:11" hidden="1" x14ac:dyDescent="0.25">
      <c r="A297" t="s">
        <v>587</v>
      </c>
      <c r="B297" t="s">
        <v>588</v>
      </c>
      <c r="C297" s="2">
        <v>247000</v>
      </c>
      <c r="D297" s="2">
        <v>252000</v>
      </c>
      <c r="E297" s="2">
        <v>257000</v>
      </c>
      <c r="F297" s="2">
        <v>262000</v>
      </c>
      <c r="G297" s="2">
        <v>330000</v>
      </c>
      <c r="H297" s="2">
        <v>338783</v>
      </c>
      <c r="I297" s="2">
        <v>348892</v>
      </c>
      <c r="J297" s="2">
        <v>359305</v>
      </c>
      <c r="K297" s="2"/>
    </row>
    <row r="298" spans="1:11" hidden="1" x14ac:dyDescent="0.25">
      <c r="A298" s="20" t="s">
        <v>634</v>
      </c>
      <c r="B298" s="20" t="s">
        <v>650</v>
      </c>
      <c r="C298" s="6">
        <f t="shared" ref="C298:J298" si="1">SUM(C3:C297)</f>
        <v>2243795589</v>
      </c>
      <c r="D298" s="6">
        <f t="shared" si="1"/>
        <v>2276315760</v>
      </c>
      <c r="E298" s="6">
        <f t="shared" si="1"/>
        <v>2380406000</v>
      </c>
      <c r="F298" s="6">
        <f t="shared" si="1"/>
        <v>2547417684</v>
      </c>
      <c r="G298" s="6">
        <f t="shared" si="1"/>
        <v>2539331235</v>
      </c>
      <c r="H298" s="6">
        <f t="shared" si="1"/>
        <v>2534077919</v>
      </c>
      <c r="I298" s="6">
        <f t="shared" si="1"/>
        <v>1713430840</v>
      </c>
      <c r="J298" s="6">
        <f t="shared" si="1"/>
        <v>1331165676</v>
      </c>
    </row>
  </sheetData>
  <autoFilter ref="A1:J298" xr:uid="{00000000-0009-0000-0000-000006000000}">
    <filterColumn colId="6">
      <filters>
        <filter val="-"/>
      </filters>
    </filterColumn>
  </autoFilter>
  <sortState xmlns:xlrd2="http://schemas.microsoft.com/office/spreadsheetml/2017/richdata2" ref="A3:J297">
    <sortCondition ref="A3:A297"/>
  </sortState>
  <conditionalFormatting sqref="A298">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C3:G15"/>
  <sheetViews>
    <sheetView workbookViewId="0">
      <selection activeCell="C14" sqref="C10:D14"/>
    </sheetView>
  </sheetViews>
  <sheetFormatPr defaultRowHeight="15" x14ac:dyDescent="0.25"/>
  <sheetData>
    <row r="3" spans="3:7" x14ac:dyDescent="0.25">
      <c r="C3" s="46" t="s">
        <v>1012</v>
      </c>
      <c r="E3" s="46" t="s">
        <v>1012</v>
      </c>
    </row>
    <row r="4" spans="3:7" x14ac:dyDescent="0.25">
      <c r="C4">
        <v>2023</v>
      </c>
      <c r="D4" t="s">
        <v>972</v>
      </c>
      <c r="E4" t="s">
        <v>1066</v>
      </c>
      <c r="F4" t="s">
        <v>655</v>
      </c>
      <c r="G4" t="s">
        <v>1067</v>
      </c>
    </row>
    <row r="5" spans="3:7" x14ac:dyDescent="0.25">
      <c r="C5">
        <v>2024</v>
      </c>
      <c r="D5" t="s">
        <v>979</v>
      </c>
      <c r="E5" t="s">
        <v>1068</v>
      </c>
      <c r="F5" t="s">
        <v>653</v>
      </c>
      <c r="G5" t="s">
        <v>1026</v>
      </c>
    </row>
    <row r="6" spans="3:7" x14ac:dyDescent="0.25">
      <c r="C6">
        <v>2025</v>
      </c>
      <c r="D6" t="s">
        <v>1070</v>
      </c>
      <c r="E6" t="s">
        <v>1069</v>
      </c>
    </row>
    <row r="7" spans="3:7" x14ac:dyDescent="0.25">
      <c r="C7">
        <v>2026</v>
      </c>
      <c r="D7" t="s">
        <v>1072</v>
      </c>
      <c r="E7" t="s">
        <v>1071</v>
      </c>
    </row>
    <row r="8" spans="3:7" x14ac:dyDescent="0.25">
      <c r="C8">
        <v>2027</v>
      </c>
      <c r="D8" t="s">
        <v>1074</v>
      </c>
      <c r="E8" t="s">
        <v>1073</v>
      </c>
    </row>
    <row r="9" spans="3:7" x14ac:dyDescent="0.25">
      <c r="C9">
        <v>2028</v>
      </c>
      <c r="D9" t="s">
        <v>1076</v>
      </c>
      <c r="E9" t="s">
        <v>1075</v>
      </c>
    </row>
    <row r="10" spans="3:7" x14ac:dyDescent="0.25">
      <c r="E10" t="s">
        <v>1077</v>
      </c>
    </row>
    <row r="11" spans="3:7" x14ac:dyDescent="0.25">
      <c r="E11" t="s">
        <v>1078</v>
      </c>
    </row>
    <row r="12" spans="3:7" x14ac:dyDescent="0.25">
      <c r="E12" t="s">
        <v>1079</v>
      </c>
    </row>
    <row r="13" spans="3:7" x14ac:dyDescent="0.25">
      <c r="E13" t="s">
        <v>1080</v>
      </c>
    </row>
    <row r="14" spans="3:7" x14ac:dyDescent="0.25">
      <c r="E14" t="s">
        <v>1081</v>
      </c>
    </row>
    <row r="15" spans="3:7" x14ac:dyDescent="0.25">
      <c r="E15" t="s">
        <v>1082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Instructions for Pre-Ballot</vt:lpstr>
      <vt:lpstr>LevyCalc</vt:lpstr>
      <vt:lpstr>LevyCalc no Stab</vt:lpstr>
      <vt:lpstr>Pre-Ballot Approval</vt:lpstr>
      <vt:lpstr>Data</vt:lpstr>
      <vt:lpstr>District AAFTE</vt:lpstr>
      <vt:lpstr>VAL</vt:lpstr>
      <vt:lpstr>Sheet1</vt:lpstr>
      <vt:lpstr>CY</vt:lpstr>
      <vt:lpstr>Data</vt:lpstr>
      <vt:lpstr>enrollment</vt:lpstr>
      <vt:lpstr>LevyCalc!Print_Area</vt:lpstr>
      <vt:lpstr>'LevyCalc no Stab'!Print_Area</vt:lpstr>
      <vt:lpstr>'Pre-Ballot Approval'!Print_Area</vt:lpstr>
      <vt:lpstr>LevyCalc!Print_Titles</vt:lpstr>
      <vt:lpstr>'LevyCalc no Stab'!Print_Titles</vt:lpstr>
      <vt:lpstr>SY202021Growth</vt:lpstr>
      <vt:lpstr>SY202122Growth</vt:lpstr>
      <vt:lpstr>SY202223growth</vt:lpstr>
      <vt:lpstr>SY202324growth</vt:lpstr>
      <vt:lpstr>SY202425Growth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Levy Authority and LEA Estimator</dc:title>
  <dc:creator>Melissa Jarmon</dc:creator>
  <cp:keywords>2023Levy;2023LEA;Pre-ballot</cp:keywords>
  <cp:lastModifiedBy>Melissa Jarmon</cp:lastModifiedBy>
  <cp:lastPrinted>2022-03-31T21:57:12Z</cp:lastPrinted>
  <dcterms:created xsi:type="dcterms:W3CDTF">2018-05-30T18:28:14Z</dcterms:created>
  <dcterms:modified xsi:type="dcterms:W3CDTF">2023-11-14T15:51:05Z</dcterms:modified>
</cp:coreProperties>
</file>